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3_ncr:1_{8F9069A9-62B4-4CDA-AA44-83B609C32562}" xr6:coauthVersionLast="36" xr6:coauthVersionMax="36" xr10:uidLastSave="{00000000-0000-0000-0000-000000000000}"/>
  <bookViews>
    <workbookView xWindow="0" yWindow="0" windowWidth="20490" windowHeight="7545" firstSheet="7" activeTab="8" xr2:uid="{B79B89D5-7FB3-4679-B212-B8181FAA1DB9}"/>
  </bookViews>
  <sheets>
    <sheet name="Pesi elementi" sheetId="1" r:id="rId1"/>
    <sheet name="Azione del vento &amp; Neve" sheetId="2" r:id="rId2"/>
    <sheet name="Analisi statica lineare" sheetId="3" r:id="rId3"/>
    <sheet name="parametri geotecnici" sheetId="5" r:id="rId4"/>
    <sheet name="verifica a liquefazione CPT (5)" sheetId="38" r:id="rId5"/>
    <sheet name="verifica a liquefazione (4)" sheetId="37" r:id="rId6"/>
    <sheet name="verifica a liquefazione (3)" sheetId="36" r:id="rId7"/>
    <sheet name="verifica a liquefazione (2)" sheetId="35" r:id="rId8"/>
    <sheet name="Baricentro sezione e armatura" sheetId="30" r:id="rId9"/>
    <sheet name="verifiche SLE (tensini limite)" sheetId="31" r:id="rId10"/>
    <sheet name="qlim statico" sheetId="29" r:id="rId11"/>
    <sheet name="Qlim dinamico" sheetId="28" r:id="rId12"/>
    <sheet name="Verifica Cedimenti" sheetId="16" r:id="rId13"/>
    <sheet name="Cedimenti trave 9-11-13-15" sheetId="20" r:id="rId14"/>
    <sheet name="K Dinamica Trave 1-3-5-7" sheetId="23" r:id="rId15"/>
    <sheet name="K Dinamica Trave 9-11-13-15" sheetId="24" r:id="rId16"/>
    <sheet name="K Dinamica Trave 1-9-17" sheetId="25" r:id="rId17"/>
    <sheet name="K Dinamica Trave 3-11-19" sheetId="26" r:id="rId18"/>
    <sheet name="Riassunto Rigidezze" sheetId="27" r:id="rId19"/>
  </sheets>
  <definedNames>
    <definedName name="solver_adj" localSheetId="9" hidden="1">'verifiche SLE (tensini limite)'!$E$4</definedName>
    <definedName name="solver_cvg" localSheetId="9" hidden="1">0.0001</definedName>
    <definedName name="solver_drv" localSheetId="9" hidden="1">1</definedName>
    <definedName name="solver_eng" localSheetId="9" hidden="1">1</definedName>
    <definedName name="solver_est" localSheetId="9" hidden="1">1</definedName>
    <definedName name="solver_itr" localSheetId="9" hidden="1">2147483647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1</definedName>
    <definedName name="solver_nod" localSheetId="9" hidden="1">2147483647</definedName>
    <definedName name="solver_num" localSheetId="9" hidden="1">0</definedName>
    <definedName name="solver_nwt" localSheetId="9" hidden="1">1</definedName>
    <definedName name="solver_opt" localSheetId="9" hidden="1">'verifiche SLE (tensini limite)'!#REF!</definedName>
    <definedName name="solver_pre" localSheetId="9" hidden="1">0.000001</definedName>
    <definedName name="solver_rbv" localSheetId="9" hidden="1">1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3</definedName>
    <definedName name="solver_val" localSheetId="9" hidden="1">0</definedName>
    <definedName name="solver_ver" localSheetId="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B3" i="29" l="1"/>
  <c r="AB14" i="29" l="1"/>
  <c r="AB7" i="29"/>
  <c r="V5" i="29" l="1"/>
  <c r="AC53" i="38" l="1"/>
  <c r="AC52" i="38"/>
  <c r="AC51" i="38"/>
  <c r="AC5" i="38"/>
  <c r="AC6" i="38"/>
  <c r="AC7" i="38"/>
  <c r="AC8" i="38"/>
  <c r="AC9" i="38"/>
  <c r="AC10" i="38"/>
  <c r="AC11" i="38"/>
  <c r="AC12" i="38"/>
  <c r="AC13" i="38"/>
  <c r="AC14" i="38"/>
  <c r="AC15" i="38"/>
  <c r="AC16" i="38"/>
  <c r="P53" i="38"/>
  <c r="N52" i="38"/>
  <c r="O52" i="38" s="1"/>
  <c r="Q52" i="38" s="1"/>
  <c r="Z52" i="38" s="1"/>
  <c r="AA52" i="38" s="1"/>
  <c r="N53" i="38"/>
  <c r="O53" i="38" s="1"/>
  <c r="Q53" i="38" s="1"/>
  <c r="Z53" i="38" s="1"/>
  <c r="AA53" i="38" s="1"/>
  <c r="L5" i="38"/>
  <c r="L6" i="38"/>
  <c r="M6" i="38" s="1"/>
  <c r="L7" i="38"/>
  <c r="M7" i="38" s="1"/>
  <c r="L8" i="38"/>
  <c r="M8" i="38" s="1"/>
  <c r="L9" i="38"/>
  <c r="M9" i="38" s="1"/>
  <c r="L10" i="38"/>
  <c r="M10" i="38" s="1"/>
  <c r="L11" i="38"/>
  <c r="M11" i="38" s="1"/>
  <c r="L12" i="38"/>
  <c r="M12" i="38" s="1"/>
  <c r="L13" i="38"/>
  <c r="M13" i="38" s="1"/>
  <c r="L14" i="38"/>
  <c r="M14" i="38" s="1"/>
  <c r="L15" i="38"/>
  <c r="M15" i="38" s="1"/>
  <c r="L16" i="38"/>
  <c r="M16" i="38" s="1"/>
  <c r="L17" i="38"/>
  <c r="M17" i="38" s="1"/>
  <c r="L18" i="38"/>
  <c r="M18" i="38" s="1"/>
  <c r="L19" i="38"/>
  <c r="M19" i="38" s="1"/>
  <c r="L20" i="38"/>
  <c r="M20" i="38" s="1"/>
  <c r="L21" i="38"/>
  <c r="M21" i="38" s="1"/>
  <c r="L22" i="38"/>
  <c r="M22" i="38" s="1"/>
  <c r="L23" i="38"/>
  <c r="M23" i="38" s="1"/>
  <c r="L24" i="38"/>
  <c r="M24" i="38" s="1"/>
  <c r="L25" i="38"/>
  <c r="M25" i="38" s="1"/>
  <c r="L26" i="38"/>
  <c r="M26" i="38" s="1"/>
  <c r="L27" i="38"/>
  <c r="M27" i="38" s="1"/>
  <c r="L28" i="38"/>
  <c r="M28" i="38" s="1"/>
  <c r="L29" i="38"/>
  <c r="M29" i="38" s="1"/>
  <c r="L30" i="38"/>
  <c r="M30" i="38" s="1"/>
  <c r="L31" i="38"/>
  <c r="M31" i="38" s="1"/>
  <c r="L32" i="38"/>
  <c r="M32" i="38" s="1"/>
  <c r="L33" i="38"/>
  <c r="M33" i="38" s="1"/>
  <c r="L34" i="38"/>
  <c r="M34" i="38" s="1"/>
  <c r="L35" i="38"/>
  <c r="M35" i="38" s="1"/>
  <c r="L36" i="38"/>
  <c r="M36" i="38" s="1"/>
  <c r="L37" i="38"/>
  <c r="M37" i="38" s="1"/>
  <c r="L38" i="38"/>
  <c r="M38" i="38" s="1"/>
  <c r="L39" i="38"/>
  <c r="M39" i="38" s="1"/>
  <c r="L40" i="38"/>
  <c r="M40" i="38" s="1"/>
  <c r="L41" i="38"/>
  <c r="M41" i="38" s="1"/>
  <c r="L42" i="38"/>
  <c r="M42" i="38" s="1"/>
  <c r="L43" i="38"/>
  <c r="M43" i="38" s="1"/>
  <c r="L44" i="38"/>
  <c r="M44" i="38" s="1"/>
  <c r="L45" i="38"/>
  <c r="M45" i="38" s="1"/>
  <c r="L46" i="38"/>
  <c r="M46" i="38" s="1"/>
  <c r="L47" i="38"/>
  <c r="M47" i="38" s="1"/>
  <c r="L48" i="38"/>
  <c r="M48" i="38" s="1"/>
  <c r="L49" i="38"/>
  <c r="M49" i="38" s="1"/>
  <c r="L50" i="38"/>
  <c r="M50" i="38" s="1"/>
  <c r="L51" i="38"/>
  <c r="L52" i="38"/>
  <c r="L53" i="38"/>
  <c r="AF11" i="5"/>
  <c r="AF19" i="5"/>
  <c r="AF27" i="5"/>
  <c r="AF35" i="5"/>
  <c r="AF39" i="5"/>
  <c r="AF40" i="5"/>
  <c r="AF43" i="5"/>
  <c r="AF44" i="5"/>
  <c r="AF47" i="5"/>
  <c r="AF48" i="5"/>
  <c r="AF51" i="5"/>
  <c r="AF52" i="5"/>
  <c r="AD6" i="5"/>
  <c r="AF81" i="5"/>
  <c r="AF89" i="5"/>
  <c r="AF97" i="5"/>
  <c r="AF105" i="5"/>
  <c r="AE64" i="5"/>
  <c r="AF64" i="5" s="1"/>
  <c r="AE65" i="5"/>
  <c r="AF65" i="5" s="1"/>
  <c r="AE66" i="5"/>
  <c r="AF66" i="5" s="1"/>
  <c r="AE67" i="5"/>
  <c r="AF67" i="5" s="1"/>
  <c r="AE68" i="5"/>
  <c r="AF68" i="5" s="1"/>
  <c r="AE69" i="5"/>
  <c r="AF69" i="5" s="1"/>
  <c r="AE70" i="5"/>
  <c r="AF70" i="5" s="1"/>
  <c r="AE71" i="5"/>
  <c r="AF71" i="5" s="1"/>
  <c r="AE72" i="5"/>
  <c r="AF72" i="5" s="1"/>
  <c r="AE73" i="5"/>
  <c r="AF73" i="5" s="1"/>
  <c r="AE74" i="5"/>
  <c r="AF74" i="5" s="1"/>
  <c r="AE75" i="5"/>
  <c r="AF75" i="5" s="1"/>
  <c r="AE76" i="5"/>
  <c r="AF76" i="5" s="1"/>
  <c r="AE77" i="5"/>
  <c r="AF77" i="5" s="1"/>
  <c r="AE78" i="5"/>
  <c r="AF78" i="5" s="1"/>
  <c r="AE79" i="5"/>
  <c r="AF79" i="5" s="1"/>
  <c r="AE80" i="5"/>
  <c r="AF80" i="5" s="1"/>
  <c r="AE81" i="5"/>
  <c r="AE82" i="5"/>
  <c r="AF82" i="5" s="1"/>
  <c r="AE83" i="5"/>
  <c r="AF83" i="5" s="1"/>
  <c r="AE84" i="5"/>
  <c r="AF84" i="5" s="1"/>
  <c r="AE85" i="5"/>
  <c r="AF85" i="5" s="1"/>
  <c r="AE86" i="5"/>
  <c r="AF86" i="5" s="1"/>
  <c r="AE87" i="5"/>
  <c r="AF87" i="5" s="1"/>
  <c r="AE88" i="5"/>
  <c r="AF88" i="5" s="1"/>
  <c r="AE89" i="5"/>
  <c r="AE90" i="5"/>
  <c r="AF90" i="5" s="1"/>
  <c r="AE91" i="5"/>
  <c r="AF91" i="5" s="1"/>
  <c r="AE92" i="5"/>
  <c r="AF92" i="5" s="1"/>
  <c r="AE93" i="5"/>
  <c r="AF93" i="5" s="1"/>
  <c r="AE94" i="5"/>
  <c r="AF94" i="5" s="1"/>
  <c r="AE95" i="5"/>
  <c r="AF95" i="5" s="1"/>
  <c r="AE96" i="5"/>
  <c r="AF96" i="5" s="1"/>
  <c r="AE97" i="5"/>
  <c r="AE98" i="5"/>
  <c r="AF98" i="5" s="1"/>
  <c r="AE99" i="5"/>
  <c r="AF99" i="5" s="1"/>
  <c r="AE100" i="5"/>
  <c r="AF100" i="5" s="1"/>
  <c r="AE101" i="5"/>
  <c r="AF101" i="5" s="1"/>
  <c r="AE102" i="5"/>
  <c r="AF102" i="5" s="1"/>
  <c r="AE103" i="5"/>
  <c r="AF103" i="5" s="1"/>
  <c r="AE104" i="5"/>
  <c r="AF104" i="5" s="1"/>
  <c r="AE105" i="5"/>
  <c r="AE106" i="5"/>
  <c r="AF106" i="5" s="1"/>
  <c r="AE107" i="5"/>
  <c r="AF107" i="5" s="1"/>
  <c r="AE108" i="5"/>
  <c r="AF108" i="5" s="1"/>
  <c r="AE109" i="5"/>
  <c r="AF109" i="5" s="1"/>
  <c r="AE110" i="5"/>
  <c r="AF110" i="5" s="1"/>
  <c r="AE111" i="5"/>
  <c r="AF111" i="5" s="1"/>
  <c r="AE112" i="5"/>
  <c r="AE63" i="5"/>
  <c r="AE7" i="5"/>
  <c r="AF7" i="5" s="1"/>
  <c r="AE8" i="5"/>
  <c r="AF8" i="5" s="1"/>
  <c r="AE9" i="5"/>
  <c r="AF9" i="5" s="1"/>
  <c r="AE10" i="5"/>
  <c r="AF10" i="5" s="1"/>
  <c r="AE11" i="5"/>
  <c r="AE12" i="5"/>
  <c r="AF12" i="5" s="1"/>
  <c r="AE13" i="5"/>
  <c r="AF13" i="5" s="1"/>
  <c r="AE14" i="5"/>
  <c r="AF14" i="5" s="1"/>
  <c r="AE15" i="5"/>
  <c r="AF15" i="5" s="1"/>
  <c r="AE16" i="5"/>
  <c r="AF16" i="5" s="1"/>
  <c r="AE17" i="5"/>
  <c r="AF17" i="5" s="1"/>
  <c r="AE18" i="5"/>
  <c r="AF18" i="5" s="1"/>
  <c r="AE19" i="5"/>
  <c r="AE20" i="5"/>
  <c r="AF20" i="5" s="1"/>
  <c r="AE21" i="5"/>
  <c r="AF21" i="5" s="1"/>
  <c r="AE22" i="5"/>
  <c r="AF22" i="5" s="1"/>
  <c r="AE23" i="5"/>
  <c r="AF23" i="5" s="1"/>
  <c r="AE24" i="5"/>
  <c r="AF24" i="5" s="1"/>
  <c r="AE25" i="5"/>
  <c r="AF25" i="5" s="1"/>
  <c r="AE26" i="5"/>
  <c r="AF26" i="5" s="1"/>
  <c r="AE27" i="5"/>
  <c r="AE28" i="5"/>
  <c r="AF28" i="5" s="1"/>
  <c r="AE29" i="5"/>
  <c r="AF29" i="5" s="1"/>
  <c r="AE30" i="5"/>
  <c r="AF30" i="5" s="1"/>
  <c r="AE31" i="5"/>
  <c r="AF31" i="5" s="1"/>
  <c r="AE32" i="5"/>
  <c r="AF32" i="5" s="1"/>
  <c r="AE33" i="5"/>
  <c r="AF33" i="5" s="1"/>
  <c r="AE34" i="5"/>
  <c r="AF34" i="5" s="1"/>
  <c r="AE35" i="5"/>
  <c r="AE36" i="5"/>
  <c r="AF36" i="5" s="1"/>
  <c r="AE37" i="5"/>
  <c r="AF37" i="5" s="1"/>
  <c r="AE38" i="5"/>
  <c r="AF38" i="5" s="1"/>
  <c r="AE39" i="5"/>
  <c r="AE40" i="5"/>
  <c r="AE41" i="5"/>
  <c r="AF41" i="5" s="1"/>
  <c r="AE42" i="5"/>
  <c r="AF42" i="5" s="1"/>
  <c r="AE43" i="5"/>
  <c r="AE44" i="5"/>
  <c r="AE45" i="5"/>
  <c r="AF45" i="5" s="1"/>
  <c r="AE46" i="5"/>
  <c r="AF46" i="5" s="1"/>
  <c r="AE47" i="5"/>
  <c r="AE48" i="5"/>
  <c r="AE49" i="5"/>
  <c r="AF49" i="5" s="1"/>
  <c r="AE50" i="5"/>
  <c r="AF50" i="5" s="1"/>
  <c r="AE51" i="5"/>
  <c r="AE52" i="5"/>
  <c r="AE53" i="5"/>
  <c r="AE6" i="5"/>
  <c r="AF6" i="5" s="1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7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M52" i="38" l="1"/>
  <c r="P52" i="38"/>
  <c r="K107" i="38" s="1"/>
  <c r="M51" i="38"/>
  <c r="S53" i="38"/>
  <c r="AD52" i="38"/>
  <c r="AD53" i="38"/>
  <c r="N51" i="38"/>
  <c r="AC50" i="38"/>
  <c r="N50" i="38"/>
  <c r="AC49" i="38"/>
  <c r="N49" i="38"/>
  <c r="AC48" i="38"/>
  <c r="N48" i="38"/>
  <c r="AC47" i="38"/>
  <c r="N47" i="38"/>
  <c r="AC46" i="38"/>
  <c r="N46" i="38"/>
  <c r="AC45" i="38"/>
  <c r="N45" i="38"/>
  <c r="AC44" i="38"/>
  <c r="N44" i="38"/>
  <c r="AC43" i="38"/>
  <c r="N43" i="38"/>
  <c r="AC42" i="38"/>
  <c r="N42" i="38"/>
  <c r="AC41" i="38"/>
  <c r="N41" i="38"/>
  <c r="AC40" i="38"/>
  <c r="N40" i="38"/>
  <c r="AC39" i="38"/>
  <c r="N39" i="38"/>
  <c r="AC38" i="38"/>
  <c r="N38" i="38"/>
  <c r="AC37" i="38"/>
  <c r="N37" i="38"/>
  <c r="AC36" i="38"/>
  <c r="N36" i="38"/>
  <c r="AC35" i="38"/>
  <c r="N35" i="38"/>
  <c r="AC34" i="38"/>
  <c r="N34" i="38"/>
  <c r="AC33" i="38"/>
  <c r="N33" i="38"/>
  <c r="AC32" i="38"/>
  <c r="N32" i="38"/>
  <c r="AC31" i="38"/>
  <c r="N31" i="38"/>
  <c r="AC30" i="38"/>
  <c r="N30" i="38"/>
  <c r="AC29" i="38"/>
  <c r="N29" i="38"/>
  <c r="AC28" i="38"/>
  <c r="N28" i="38"/>
  <c r="AC27" i="38"/>
  <c r="N27" i="38"/>
  <c r="AC26" i="38"/>
  <c r="N26" i="38"/>
  <c r="AC25" i="38"/>
  <c r="R25" i="38"/>
  <c r="N25" i="38"/>
  <c r="AC24" i="38"/>
  <c r="N24" i="38"/>
  <c r="AC23" i="38"/>
  <c r="N23" i="38"/>
  <c r="AC22" i="38"/>
  <c r="N22" i="38"/>
  <c r="AC21" i="38"/>
  <c r="N21" i="38"/>
  <c r="AC20" i="38"/>
  <c r="N20" i="38"/>
  <c r="AC19" i="38"/>
  <c r="R19" i="38"/>
  <c r="N19" i="38"/>
  <c r="AC18" i="38"/>
  <c r="N18" i="38"/>
  <c r="AC17" i="38"/>
  <c r="N17" i="38"/>
  <c r="R16" i="38"/>
  <c r="N16" i="38"/>
  <c r="N15" i="38"/>
  <c r="N14" i="38"/>
  <c r="N13" i="38"/>
  <c r="N12" i="38"/>
  <c r="N11" i="38"/>
  <c r="N10" i="38"/>
  <c r="N9" i="38"/>
  <c r="N8" i="38"/>
  <c r="N7" i="38"/>
  <c r="N6" i="38"/>
  <c r="N5" i="38"/>
  <c r="AC4" i="38"/>
  <c r="X4" i="38"/>
  <c r="R4" i="38"/>
  <c r="N4" i="38"/>
  <c r="L4" i="38"/>
  <c r="AC51" i="37"/>
  <c r="X51" i="37"/>
  <c r="P51" i="37"/>
  <c r="N51" i="37"/>
  <c r="L51" i="37"/>
  <c r="AC50" i="37"/>
  <c r="N50" i="37"/>
  <c r="P50" i="37" s="1"/>
  <c r="L50" i="37"/>
  <c r="AC49" i="37"/>
  <c r="N49" i="37"/>
  <c r="P49" i="37" s="1"/>
  <c r="M49" i="37"/>
  <c r="S49" i="37" s="1"/>
  <c r="L49" i="37"/>
  <c r="AC48" i="37"/>
  <c r="N48" i="37"/>
  <c r="P48" i="37" s="1"/>
  <c r="L48" i="37"/>
  <c r="AC47" i="37"/>
  <c r="AD47" i="37" s="1"/>
  <c r="P47" i="37"/>
  <c r="O47" i="37"/>
  <c r="Q47" i="37" s="1"/>
  <c r="Z47" i="37" s="1"/>
  <c r="AA47" i="37" s="1"/>
  <c r="N47" i="37"/>
  <c r="L47" i="37"/>
  <c r="AC46" i="37"/>
  <c r="N46" i="37"/>
  <c r="P46" i="37" s="1"/>
  <c r="L46" i="37"/>
  <c r="AC45" i="37"/>
  <c r="N45" i="37"/>
  <c r="P45" i="37" s="1"/>
  <c r="M45" i="37"/>
  <c r="S45" i="37" s="1"/>
  <c r="L45" i="37"/>
  <c r="AC44" i="37"/>
  <c r="N44" i="37"/>
  <c r="P44" i="37" s="1"/>
  <c r="L44" i="37"/>
  <c r="AC43" i="37"/>
  <c r="P43" i="37"/>
  <c r="O43" i="37"/>
  <c r="Q43" i="37" s="1"/>
  <c r="Z43" i="37" s="1"/>
  <c r="AA43" i="37" s="1"/>
  <c r="N43" i="37"/>
  <c r="O51" i="37" s="1"/>
  <c r="Q51" i="37" s="1"/>
  <c r="Z51" i="37" s="1"/>
  <c r="AA51" i="37" s="1"/>
  <c r="L43" i="37"/>
  <c r="AC42" i="37"/>
  <c r="N42" i="37"/>
  <c r="L42" i="37"/>
  <c r="AC41" i="37"/>
  <c r="N41" i="37"/>
  <c r="P41" i="37" s="1"/>
  <c r="M41" i="37"/>
  <c r="L41" i="37"/>
  <c r="AC40" i="37"/>
  <c r="N40" i="37"/>
  <c r="O48" i="37" s="1"/>
  <c r="Q48" i="37" s="1"/>
  <c r="Z48" i="37" s="1"/>
  <c r="AA48" i="37" s="1"/>
  <c r="L40" i="37"/>
  <c r="AC39" i="37"/>
  <c r="O39" i="37"/>
  <c r="Q39" i="37" s="1"/>
  <c r="Z39" i="37" s="1"/>
  <c r="AA39" i="37" s="1"/>
  <c r="N39" i="37"/>
  <c r="P39" i="37" s="1"/>
  <c r="L39" i="37"/>
  <c r="AC38" i="37"/>
  <c r="N38" i="37"/>
  <c r="L38" i="37"/>
  <c r="AC37" i="37"/>
  <c r="N37" i="37"/>
  <c r="P37" i="37" s="1"/>
  <c r="M37" i="37"/>
  <c r="L37" i="37"/>
  <c r="AC36" i="37"/>
  <c r="N36" i="37"/>
  <c r="O44" i="37" s="1"/>
  <c r="Q44" i="37" s="1"/>
  <c r="Z44" i="37" s="1"/>
  <c r="AA44" i="37" s="1"/>
  <c r="L36" i="37"/>
  <c r="AC35" i="37"/>
  <c r="P35" i="37"/>
  <c r="N35" i="37"/>
  <c r="L35" i="37"/>
  <c r="AC34" i="37"/>
  <c r="N34" i="37"/>
  <c r="L34" i="37"/>
  <c r="AC33" i="37"/>
  <c r="N33" i="37"/>
  <c r="P33" i="37" s="1"/>
  <c r="M33" i="37"/>
  <c r="S33" i="37" s="1"/>
  <c r="L33" i="37"/>
  <c r="AC32" i="37"/>
  <c r="N32" i="37"/>
  <c r="O40" i="37" s="1"/>
  <c r="Q40" i="37" s="1"/>
  <c r="Z40" i="37" s="1"/>
  <c r="AA40" i="37" s="1"/>
  <c r="L32" i="37"/>
  <c r="AC31" i="37"/>
  <c r="O31" i="37"/>
  <c r="Q31" i="37" s="1"/>
  <c r="Z31" i="37" s="1"/>
  <c r="AA31" i="37" s="1"/>
  <c r="N31" i="37"/>
  <c r="P31" i="37" s="1"/>
  <c r="L31" i="37"/>
  <c r="AC30" i="37"/>
  <c r="N30" i="37"/>
  <c r="L30" i="37"/>
  <c r="AC29" i="37"/>
  <c r="N29" i="37"/>
  <c r="P29" i="37" s="1"/>
  <c r="M29" i="37"/>
  <c r="L29" i="37"/>
  <c r="AC28" i="37"/>
  <c r="N28" i="37"/>
  <c r="O36" i="37" s="1"/>
  <c r="Q36" i="37" s="1"/>
  <c r="Z36" i="37" s="1"/>
  <c r="AA36" i="37" s="1"/>
  <c r="L28" i="37"/>
  <c r="AC27" i="37"/>
  <c r="P27" i="37"/>
  <c r="AB27" i="37" s="1"/>
  <c r="N27" i="37"/>
  <c r="O35" i="37" s="1"/>
  <c r="Q35" i="37" s="1"/>
  <c r="Z35" i="37" s="1"/>
  <c r="AA35" i="37" s="1"/>
  <c r="AB35" i="37" s="1"/>
  <c r="L27" i="37"/>
  <c r="AC26" i="37"/>
  <c r="N26" i="37"/>
  <c r="L26" i="37"/>
  <c r="AC25" i="37"/>
  <c r="R25" i="37"/>
  <c r="N25" i="37"/>
  <c r="L25" i="37"/>
  <c r="M25" i="37" s="1"/>
  <c r="AC24" i="37"/>
  <c r="N24" i="37"/>
  <c r="O32" i="37" s="1"/>
  <c r="Q32" i="37" s="1"/>
  <c r="Z32" i="37" s="1"/>
  <c r="AA32" i="37" s="1"/>
  <c r="L24" i="37"/>
  <c r="M24" i="37" s="1"/>
  <c r="AC23" i="37"/>
  <c r="P23" i="37"/>
  <c r="N23" i="37"/>
  <c r="L23" i="37"/>
  <c r="AC22" i="37"/>
  <c r="N22" i="37"/>
  <c r="O30" i="37" s="1"/>
  <c r="Q30" i="37" s="1"/>
  <c r="Z30" i="37" s="1"/>
  <c r="AA30" i="37" s="1"/>
  <c r="L22" i="37"/>
  <c r="AC21" i="37"/>
  <c r="P21" i="37"/>
  <c r="AB21" i="37" s="1"/>
  <c r="N21" i="37"/>
  <c r="O29" i="37" s="1"/>
  <c r="Q29" i="37" s="1"/>
  <c r="L21" i="37"/>
  <c r="AC20" i="37"/>
  <c r="N20" i="37"/>
  <c r="L20" i="37"/>
  <c r="M20" i="37" s="1"/>
  <c r="AC19" i="37"/>
  <c r="R19" i="37"/>
  <c r="N19" i="37"/>
  <c r="P19" i="37" s="1"/>
  <c r="M19" i="37"/>
  <c r="L19" i="37"/>
  <c r="AC18" i="37"/>
  <c r="N18" i="37"/>
  <c r="P18" i="37" s="1"/>
  <c r="M18" i="37"/>
  <c r="S18" i="37" s="1"/>
  <c r="L18" i="37"/>
  <c r="AC17" i="37"/>
  <c r="N17" i="37"/>
  <c r="O25" i="37" s="1"/>
  <c r="Q25" i="37" s="1"/>
  <c r="Z25" i="37" s="1"/>
  <c r="AA25" i="37" s="1"/>
  <c r="L17" i="37"/>
  <c r="AC16" i="37"/>
  <c r="R16" i="37"/>
  <c r="P16" i="37"/>
  <c r="N16" i="37"/>
  <c r="O24" i="37" s="1"/>
  <c r="Q24" i="37" s="1"/>
  <c r="L16" i="37"/>
  <c r="AC15" i="37"/>
  <c r="O15" i="37"/>
  <c r="Q15" i="37" s="1"/>
  <c r="Z15" i="37" s="1"/>
  <c r="AA15" i="37" s="1"/>
  <c r="N15" i="37"/>
  <c r="O23" i="37" s="1"/>
  <c r="Q23" i="37" s="1"/>
  <c r="Z23" i="37" s="1"/>
  <c r="AA23" i="37" s="1"/>
  <c r="L15" i="37"/>
  <c r="AC14" i="37"/>
  <c r="N14" i="37"/>
  <c r="L14" i="37"/>
  <c r="AC13" i="37"/>
  <c r="N13" i="37"/>
  <c r="P13" i="37" s="1"/>
  <c r="M13" i="37"/>
  <c r="AC12" i="37"/>
  <c r="N12" i="37"/>
  <c r="O20" i="37" s="1"/>
  <c r="Q20" i="37" s="1"/>
  <c r="Z20" i="37" s="1"/>
  <c r="AA20" i="37" s="1"/>
  <c r="L12" i="37"/>
  <c r="AC11" i="37"/>
  <c r="N11" i="37"/>
  <c r="L11" i="37"/>
  <c r="AC10" i="37"/>
  <c r="N10" i="37"/>
  <c r="P10" i="37" s="1"/>
  <c r="M10" i="37"/>
  <c r="S10" i="37" s="1"/>
  <c r="L10" i="37"/>
  <c r="AC9" i="37"/>
  <c r="N9" i="37"/>
  <c r="O17" i="37" s="1"/>
  <c r="Q17" i="37" s="1"/>
  <c r="Z17" i="37" s="1"/>
  <c r="AA17" i="37" s="1"/>
  <c r="L9" i="37"/>
  <c r="AC8" i="37"/>
  <c r="N8" i="37"/>
  <c r="O16" i="37" s="1"/>
  <c r="Q16" i="37" s="1"/>
  <c r="Z16" i="37" s="1"/>
  <c r="AA16" i="37" s="1"/>
  <c r="L8" i="37"/>
  <c r="AC7" i="37"/>
  <c r="N7" i="37"/>
  <c r="L7" i="37"/>
  <c r="AC6" i="37"/>
  <c r="N6" i="37"/>
  <c r="P6" i="37" s="1"/>
  <c r="L6" i="37"/>
  <c r="M6" i="37" s="1"/>
  <c r="S6" i="37" s="1"/>
  <c r="AC5" i="37"/>
  <c r="N5" i="37"/>
  <c r="L5" i="37"/>
  <c r="AC4" i="37"/>
  <c r="X4" i="37"/>
  <c r="R4" i="37"/>
  <c r="P4" i="37"/>
  <c r="AB4" i="37" s="1"/>
  <c r="N4" i="37"/>
  <c r="O4" i="37" s="1"/>
  <c r="Q4" i="37" s="1"/>
  <c r="Z4" i="37" s="1"/>
  <c r="AA4" i="37" s="1"/>
  <c r="L4" i="37"/>
  <c r="AC51" i="36"/>
  <c r="X51" i="36"/>
  <c r="N51" i="36"/>
  <c r="P51" i="36" s="1"/>
  <c r="L51" i="36"/>
  <c r="S51" i="36" s="1"/>
  <c r="AC50" i="36"/>
  <c r="N50" i="36"/>
  <c r="P50" i="36" s="1"/>
  <c r="L50" i="36"/>
  <c r="M50" i="36" s="1"/>
  <c r="S50" i="36" s="1"/>
  <c r="AC49" i="36"/>
  <c r="P49" i="36"/>
  <c r="N49" i="36"/>
  <c r="L49" i="36"/>
  <c r="AC48" i="36"/>
  <c r="N48" i="36"/>
  <c r="P48" i="36" s="1"/>
  <c r="L48" i="36"/>
  <c r="AC47" i="36"/>
  <c r="N47" i="36"/>
  <c r="P47" i="36" s="1"/>
  <c r="L47" i="36"/>
  <c r="AC46" i="36"/>
  <c r="N46" i="36"/>
  <c r="P46" i="36" s="1"/>
  <c r="L46" i="36"/>
  <c r="M46" i="36" s="1"/>
  <c r="AC45" i="36"/>
  <c r="P45" i="36"/>
  <c r="N45" i="36"/>
  <c r="L45" i="36"/>
  <c r="AC44" i="36"/>
  <c r="N44" i="36"/>
  <c r="P44" i="36" s="1"/>
  <c r="L44" i="36"/>
  <c r="AC43" i="36"/>
  <c r="N43" i="36"/>
  <c r="L43" i="36"/>
  <c r="AC42" i="36"/>
  <c r="N42" i="36"/>
  <c r="P42" i="36" s="1"/>
  <c r="L42" i="36"/>
  <c r="M42" i="36" s="1"/>
  <c r="S42" i="36" s="1"/>
  <c r="AC41" i="36"/>
  <c r="P41" i="36"/>
  <c r="N41" i="36"/>
  <c r="O49" i="36" s="1"/>
  <c r="Q49" i="36" s="1"/>
  <c r="Z49" i="36" s="1"/>
  <c r="AA49" i="36" s="1"/>
  <c r="L41" i="36"/>
  <c r="AC40" i="36"/>
  <c r="P40" i="36"/>
  <c r="N40" i="36"/>
  <c r="O48" i="36" s="1"/>
  <c r="Q48" i="36" s="1"/>
  <c r="Z48" i="36" s="1"/>
  <c r="AA48" i="36" s="1"/>
  <c r="L40" i="36"/>
  <c r="AC39" i="36"/>
  <c r="N39" i="36"/>
  <c r="L39" i="36"/>
  <c r="AC38" i="36"/>
  <c r="N38" i="36"/>
  <c r="P38" i="36" s="1"/>
  <c r="M38" i="36"/>
  <c r="S38" i="36" s="1"/>
  <c r="L38" i="36"/>
  <c r="AC37" i="36"/>
  <c r="N37" i="36"/>
  <c r="O45" i="36" s="1"/>
  <c r="Q45" i="36" s="1"/>
  <c r="Z45" i="36" s="1"/>
  <c r="AA45" i="36" s="1"/>
  <c r="L37" i="36"/>
  <c r="M37" i="36" s="1"/>
  <c r="AC36" i="36"/>
  <c r="P36" i="36"/>
  <c r="N36" i="36"/>
  <c r="O44" i="36" s="1"/>
  <c r="Q44" i="36" s="1"/>
  <c r="Z44" i="36" s="1"/>
  <c r="AA44" i="36" s="1"/>
  <c r="L36" i="36"/>
  <c r="AC35" i="36"/>
  <c r="O35" i="36"/>
  <c r="Q35" i="36" s="1"/>
  <c r="Z35" i="36" s="1"/>
  <c r="AA35" i="36" s="1"/>
  <c r="N35" i="36"/>
  <c r="L35" i="36"/>
  <c r="AC34" i="36"/>
  <c r="N34" i="36"/>
  <c r="L34" i="36"/>
  <c r="AC33" i="36"/>
  <c r="N33" i="36"/>
  <c r="L33" i="36"/>
  <c r="AC32" i="36"/>
  <c r="N32" i="36"/>
  <c r="O40" i="36" s="1"/>
  <c r="Q40" i="36" s="1"/>
  <c r="Z40" i="36" s="1"/>
  <c r="AA40" i="36" s="1"/>
  <c r="M32" i="36"/>
  <c r="L32" i="36"/>
  <c r="AC31" i="36"/>
  <c r="N31" i="36"/>
  <c r="O39" i="36" s="1"/>
  <c r="Q39" i="36" s="1"/>
  <c r="Z39" i="36" s="1"/>
  <c r="AA39" i="36" s="1"/>
  <c r="L31" i="36"/>
  <c r="AC30" i="36"/>
  <c r="P30" i="36"/>
  <c r="O30" i="36"/>
  <c r="Q30" i="36" s="1"/>
  <c r="N30" i="36"/>
  <c r="O38" i="36" s="1"/>
  <c r="Q38" i="36" s="1"/>
  <c r="Z38" i="36" s="1"/>
  <c r="AA38" i="36" s="1"/>
  <c r="M30" i="36"/>
  <c r="S30" i="36" s="1"/>
  <c r="L30" i="36"/>
  <c r="AC29" i="36"/>
  <c r="N29" i="36"/>
  <c r="L29" i="36"/>
  <c r="AC28" i="36"/>
  <c r="N28" i="36"/>
  <c r="P28" i="36" s="1"/>
  <c r="L28" i="36"/>
  <c r="M28" i="36" s="1"/>
  <c r="AC27" i="36"/>
  <c r="P27" i="36"/>
  <c r="N27" i="36"/>
  <c r="L27" i="36"/>
  <c r="AC26" i="36"/>
  <c r="P26" i="36"/>
  <c r="N26" i="36"/>
  <c r="O34" i="36" s="1"/>
  <c r="Q34" i="36" s="1"/>
  <c r="Z34" i="36" s="1"/>
  <c r="AA34" i="36" s="1"/>
  <c r="M26" i="36"/>
  <c r="L26" i="36"/>
  <c r="AC25" i="36"/>
  <c r="R25" i="36"/>
  <c r="P25" i="36"/>
  <c r="N25" i="36"/>
  <c r="O33" i="36" s="1"/>
  <c r="Q33" i="36" s="1"/>
  <c r="Z33" i="36" s="1"/>
  <c r="AA33" i="36" s="1"/>
  <c r="L25" i="36"/>
  <c r="M25" i="36" s="1"/>
  <c r="S25" i="36" s="1"/>
  <c r="AC24" i="36"/>
  <c r="N24" i="36"/>
  <c r="L24" i="36"/>
  <c r="AC23" i="36"/>
  <c r="N23" i="36"/>
  <c r="O31" i="36" s="1"/>
  <c r="Q31" i="36" s="1"/>
  <c r="Z31" i="36" s="1"/>
  <c r="AA31" i="36" s="1"/>
  <c r="M23" i="36"/>
  <c r="L23" i="36"/>
  <c r="AC22" i="36"/>
  <c r="N22" i="36"/>
  <c r="P22" i="36" s="1"/>
  <c r="M22" i="36"/>
  <c r="S22" i="36" s="1"/>
  <c r="L22" i="36"/>
  <c r="AC21" i="36"/>
  <c r="N21" i="36"/>
  <c r="O29" i="36" s="1"/>
  <c r="Q29" i="36" s="1"/>
  <c r="Z29" i="36" s="1"/>
  <c r="AA29" i="36" s="1"/>
  <c r="L21" i="36"/>
  <c r="AC20" i="36"/>
  <c r="P20" i="36"/>
  <c r="O20" i="36"/>
  <c r="Q20" i="36" s="1"/>
  <c r="N20" i="36"/>
  <c r="O28" i="36" s="1"/>
  <c r="Q28" i="36" s="1"/>
  <c r="M20" i="36"/>
  <c r="S20" i="36" s="1"/>
  <c r="L20" i="36"/>
  <c r="AC19" i="36"/>
  <c r="R19" i="36"/>
  <c r="N19" i="36"/>
  <c r="O27" i="36" s="1"/>
  <c r="Q27" i="36" s="1"/>
  <c r="Z27" i="36" s="1"/>
  <c r="AA27" i="36" s="1"/>
  <c r="M19" i="36"/>
  <c r="L19" i="36"/>
  <c r="AC18" i="36"/>
  <c r="N18" i="36"/>
  <c r="P18" i="36" s="1"/>
  <c r="L18" i="36"/>
  <c r="AC17" i="36"/>
  <c r="P17" i="36"/>
  <c r="N17" i="36"/>
  <c r="O25" i="36" s="1"/>
  <c r="Q25" i="36" s="1"/>
  <c r="Z25" i="36" s="1"/>
  <c r="AA25" i="36" s="1"/>
  <c r="M17" i="36"/>
  <c r="S17" i="36" s="1"/>
  <c r="L17" i="36"/>
  <c r="AC16" i="36"/>
  <c r="R16" i="36"/>
  <c r="N16" i="36"/>
  <c r="P16" i="36" s="1"/>
  <c r="L16" i="36"/>
  <c r="M16" i="36" s="1"/>
  <c r="S16" i="36" s="1"/>
  <c r="AC15" i="36"/>
  <c r="P15" i="36"/>
  <c r="N15" i="36"/>
  <c r="O23" i="36" s="1"/>
  <c r="Q23" i="36" s="1"/>
  <c r="Z23" i="36" s="1"/>
  <c r="AA23" i="36" s="1"/>
  <c r="L15" i="36"/>
  <c r="AC14" i="36"/>
  <c r="P14" i="36"/>
  <c r="N14" i="36"/>
  <c r="O22" i="36" s="1"/>
  <c r="Q22" i="36" s="1"/>
  <c r="Z22" i="36" s="1"/>
  <c r="AA22" i="36" s="1"/>
  <c r="M14" i="36"/>
  <c r="S14" i="36" s="1"/>
  <c r="L14" i="36"/>
  <c r="AC13" i="36"/>
  <c r="N13" i="36"/>
  <c r="M13" i="36"/>
  <c r="AC12" i="36"/>
  <c r="P12" i="36"/>
  <c r="N12" i="36"/>
  <c r="L12" i="36"/>
  <c r="AC11" i="36"/>
  <c r="N11" i="36"/>
  <c r="P11" i="36" s="1"/>
  <c r="AB11" i="36" s="1"/>
  <c r="L11" i="36"/>
  <c r="M11" i="36" s="1"/>
  <c r="AC10" i="36"/>
  <c r="N10" i="36"/>
  <c r="L10" i="36"/>
  <c r="AC9" i="36"/>
  <c r="N9" i="36"/>
  <c r="P9" i="36" s="1"/>
  <c r="L9" i="36"/>
  <c r="M9" i="36" s="1"/>
  <c r="S9" i="36" s="1"/>
  <c r="AC8" i="36"/>
  <c r="N8" i="36"/>
  <c r="O16" i="36" s="1"/>
  <c r="Q16" i="36" s="1"/>
  <c r="Z16" i="36" s="1"/>
  <c r="AA16" i="36" s="1"/>
  <c r="L8" i="36"/>
  <c r="AC7" i="36"/>
  <c r="N7" i="36"/>
  <c r="O15" i="36" s="1"/>
  <c r="Q15" i="36" s="1"/>
  <c r="Z15" i="36" s="1"/>
  <c r="AA15" i="36" s="1"/>
  <c r="L7" i="36"/>
  <c r="AC6" i="36"/>
  <c r="N6" i="36"/>
  <c r="P6" i="36" s="1"/>
  <c r="L6" i="36"/>
  <c r="M6" i="36" s="1"/>
  <c r="S6" i="36" s="1"/>
  <c r="AC5" i="36"/>
  <c r="N5" i="36"/>
  <c r="O13" i="36" s="1"/>
  <c r="Q13" i="36" s="1"/>
  <c r="Z13" i="36" s="1"/>
  <c r="AA13" i="36" s="1"/>
  <c r="L5" i="36"/>
  <c r="AC4" i="36"/>
  <c r="X4" i="36"/>
  <c r="R4" i="36"/>
  <c r="P4" i="36"/>
  <c r="AB4" i="36" s="1"/>
  <c r="N4" i="36"/>
  <c r="O12" i="36" s="1"/>
  <c r="Q12" i="36" s="1"/>
  <c r="Z12" i="36" s="1"/>
  <c r="AA12" i="36" s="1"/>
  <c r="L4" i="36"/>
  <c r="S11" i="36" l="1"/>
  <c r="AB12" i="36"/>
  <c r="O4" i="36"/>
  <c r="Q4" i="36" s="1"/>
  <c r="Z4" i="36" s="1"/>
  <c r="AA4" i="36" s="1"/>
  <c r="O9" i="36"/>
  <c r="Q9" i="36" s="1"/>
  <c r="O11" i="36"/>
  <c r="Q11" i="36" s="1"/>
  <c r="AD11" i="36" s="1"/>
  <c r="AB18" i="36"/>
  <c r="P21" i="36"/>
  <c r="O8" i="37"/>
  <c r="Q8" i="37" s="1"/>
  <c r="Z8" i="37" s="1"/>
  <c r="AA8" i="37" s="1"/>
  <c r="P17" i="37"/>
  <c r="AB17" i="37" s="1"/>
  <c r="P22" i="37"/>
  <c r="AB22" i="37" s="1"/>
  <c r="P28" i="37"/>
  <c r="AB28" i="37" s="1"/>
  <c r="O8" i="38"/>
  <c r="Q8" i="38" s="1"/>
  <c r="Z8" i="38" s="1"/>
  <c r="AA8" i="38" s="1"/>
  <c r="P8" i="38"/>
  <c r="O12" i="38"/>
  <c r="Q12" i="38" s="1"/>
  <c r="Z12" i="38" s="1"/>
  <c r="AA12" i="38" s="1"/>
  <c r="P12" i="38"/>
  <c r="O16" i="38"/>
  <c r="Q16" i="38" s="1"/>
  <c r="Z16" i="38" s="1"/>
  <c r="AA16" i="38" s="1"/>
  <c r="P16" i="38"/>
  <c r="O18" i="38"/>
  <c r="Q18" i="38" s="1"/>
  <c r="P18" i="38"/>
  <c r="S18" i="38" s="1"/>
  <c r="O22" i="38"/>
  <c r="Q22" i="38" s="1"/>
  <c r="P22" i="38"/>
  <c r="S22" i="38" s="1"/>
  <c r="O24" i="38"/>
  <c r="Q24" i="38" s="1"/>
  <c r="Z24" i="38" s="1"/>
  <c r="AA24" i="38" s="1"/>
  <c r="P24" i="38"/>
  <c r="S24" i="38" s="1"/>
  <c r="O28" i="38"/>
  <c r="Q28" i="38" s="1"/>
  <c r="Z28" i="38" s="1"/>
  <c r="AA28" i="38" s="1"/>
  <c r="P28" i="38"/>
  <c r="S28" i="38" s="1"/>
  <c r="O34" i="38"/>
  <c r="Q34" i="38" s="1"/>
  <c r="Z34" i="38" s="1"/>
  <c r="AA34" i="38" s="1"/>
  <c r="P34" i="38"/>
  <c r="S34" i="38" s="1"/>
  <c r="P39" i="38"/>
  <c r="S39" i="38" s="1"/>
  <c r="O39" i="38"/>
  <c r="Q39" i="38" s="1"/>
  <c r="P41" i="38"/>
  <c r="S41" i="38" s="1"/>
  <c r="O41" i="38"/>
  <c r="Q41" i="38" s="1"/>
  <c r="O44" i="38"/>
  <c r="Q44" i="38" s="1"/>
  <c r="Z44" i="38" s="1"/>
  <c r="AA44" i="38" s="1"/>
  <c r="P44" i="38"/>
  <c r="S44" i="38" s="1"/>
  <c r="AB53" i="38"/>
  <c r="O19" i="36"/>
  <c r="Q19" i="36" s="1"/>
  <c r="Z19" i="36" s="1"/>
  <c r="AA19" i="36" s="1"/>
  <c r="AD25" i="36"/>
  <c r="P8" i="37"/>
  <c r="AB8" i="37" s="1"/>
  <c r="O12" i="37"/>
  <c r="Q12" i="37" s="1"/>
  <c r="Z12" i="37" s="1"/>
  <c r="AA12" i="37" s="1"/>
  <c r="AD17" i="37"/>
  <c r="AB23" i="37"/>
  <c r="AB31" i="37"/>
  <c r="AB39" i="37"/>
  <c r="AB43" i="37"/>
  <c r="AB47" i="37"/>
  <c r="P5" i="38"/>
  <c r="O5" i="38"/>
  <c r="Q5" i="38" s="1"/>
  <c r="Z5" i="38" s="1"/>
  <c r="AA5" i="38" s="1"/>
  <c r="P9" i="38"/>
  <c r="O9" i="38"/>
  <c r="Q9" i="38" s="1"/>
  <c r="Z9" i="38" s="1"/>
  <c r="AA9" i="38" s="1"/>
  <c r="P13" i="38"/>
  <c r="O13" i="38"/>
  <c r="Q13" i="38" s="1"/>
  <c r="Z13" i="38" s="1"/>
  <c r="AA13" i="38" s="1"/>
  <c r="Z39" i="38"/>
  <c r="AA39" i="38" s="1"/>
  <c r="AB39" i="38" s="1"/>
  <c r="P31" i="38"/>
  <c r="S31" i="38" s="1"/>
  <c r="O31" i="38"/>
  <c r="Q31" i="38" s="1"/>
  <c r="P33" i="38"/>
  <c r="S33" i="38" s="1"/>
  <c r="O33" i="38"/>
  <c r="Q33" i="38" s="1"/>
  <c r="Z33" i="38" s="1"/>
  <c r="AA33" i="38" s="1"/>
  <c r="O36" i="38"/>
  <c r="Q36" i="38" s="1"/>
  <c r="P36" i="38"/>
  <c r="S36" i="38" s="1"/>
  <c r="O38" i="38"/>
  <c r="Q38" i="38" s="1"/>
  <c r="Z38" i="38" s="1"/>
  <c r="AA38" i="38" s="1"/>
  <c r="P38" i="38"/>
  <c r="S38" i="38" s="1"/>
  <c r="P43" i="38"/>
  <c r="S43" i="38" s="1"/>
  <c r="O43" i="38"/>
  <c r="Q43" i="38" s="1"/>
  <c r="Z43" i="38" s="1"/>
  <c r="AA43" i="38" s="1"/>
  <c r="O46" i="38"/>
  <c r="Q46" i="38" s="1"/>
  <c r="P46" i="38"/>
  <c r="S46" i="38" s="1"/>
  <c r="P49" i="38"/>
  <c r="S49" i="38" s="1"/>
  <c r="O49" i="38"/>
  <c r="Q49" i="38" s="1"/>
  <c r="P51" i="38"/>
  <c r="S51" i="38" s="1"/>
  <c r="O51" i="38"/>
  <c r="Q51" i="38" s="1"/>
  <c r="Z51" i="38" s="1"/>
  <c r="AA51" i="38" s="1"/>
  <c r="S52" i="38"/>
  <c r="L107" i="38" s="1"/>
  <c r="M107" i="38" s="1"/>
  <c r="N107" i="38" s="1"/>
  <c r="O107" i="38" s="1"/>
  <c r="P107" i="38" s="1"/>
  <c r="Q107" i="38" s="1"/>
  <c r="R107" i="38" s="1"/>
  <c r="S107" i="38" s="1"/>
  <c r="T107" i="38" s="1"/>
  <c r="U107" i="38" s="1"/>
  <c r="V107" i="38" s="1"/>
  <c r="W107" i="38" s="1"/>
  <c r="X107" i="38" s="1"/>
  <c r="Y107" i="38" s="1"/>
  <c r="Z107" i="38" s="1"/>
  <c r="AA107" i="38" s="1"/>
  <c r="AB107" i="38" s="1"/>
  <c r="AC107" i="38" s="1"/>
  <c r="AD107" i="38" s="1"/>
  <c r="AE107" i="38" s="1"/>
  <c r="AF107" i="38" s="1"/>
  <c r="AG107" i="38" s="1"/>
  <c r="AH107" i="38" s="1"/>
  <c r="AI107" i="38" s="1"/>
  <c r="AJ107" i="38" s="1"/>
  <c r="T52" i="38" s="1"/>
  <c r="AB52" i="38"/>
  <c r="AD4" i="36"/>
  <c r="AB25" i="36"/>
  <c r="AB27" i="36"/>
  <c r="O8" i="36"/>
  <c r="Q8" i="36" s="1"/>
  <c r="Z8" i="36" s="1"/>
  <c r="AA8" i="36" s="1"/>
  <c r="P31" i="36"/>
  <c r="P37" i="36"/>
  <c r="S37" i="36" s="1"/>
  <c r="AD40" i="36"/>
  <c r="AD45" i="36"/>
  <c r="AD48" i="36"/>
  <c r="P9" i="37"/>
  <c r="AB9" i="37" s="1"/>
  <c r="P12" i="37"/>
  <c r="AB12" i="37" s="1"/>
  <c r="P15" i="37"/>
  <c r="AB15" i="37" s="1"/>
  <c r="O21" i="37"/>
  <c r="Q21" i="37" s="1"/>
  <c r="Z21" i="37" s="1"/>
  <c r="AA21" i="37" s="1"/>
  <c r="AD23" i="37"/>
  <c r="O27" i="37"/>
  <c r="Q27" i="37" s="1"/>
  <c r="Z27" i="37" s="1"/>
  <c r="AA27" i="37" s="1"/>
  <c r="P32" i="37"/>
  <c r="P36" i="37"/>
  <c r="P40" i="37"/>
  <c r="AB40" i="37" s="1"/>
  <c r="O6" i="38"/>
  <c r="Q6" i="38" s="1"/>
  <c r="Z6" i="38" s="1"/>
  <c r="AA6" i="38" s="1"/>
  <c r="P6" i="38"/>
  <c r="O10" i="38"/>
  <c r="Q10" i="38" s="1"/>
  <c r="Z10" i="38" s="1"/>
  <c r="AA10" i="38" s="1"/>
  <c r="P10" i="38"/>
  <c r="O14" i="38"/>
  <c r="Q14" i="38" s="1"/>
  <c r="Z14" i="38" s="1"/>
  <c r="AA14" i="38" s="1"/>
  <c r="P14" i="38"/>
  <c r="P17" i="38"/>
  <c r="S17" i="38" s="1"/>
  <c r="O17" i="38"/>
  <c r="Q17" i="38" s="1"/>
  <c r="P19" i="38"/>
  <c r="O19" i="38"/>
  <c r="Q19" i="38" s="1"/>
  <c r="Z19" i="38" s="1"/>
  <c r="AA19" i="38" s="1"/>
  <c r="P21" i="38"/>
  <c r="S21" i="38" s="1"/>
  <c r="O21" i="38"/>
  <c r="Q21" i="38" s="1"/>
  <c r="P23" i="38"/>
  <c r="S23" i="38" s="1"/>
  <c r="O23" i="38"/>
  <c r="Q23" i="38" s="1"/>
  <c r="P27" i="38"/>
  <c r="S27" i="38" s="1"/>
  <c r="O27" i="38"/>
  <c r="Q27" i="38" s="1"/>
  <c r="Z27" i="38" s="1"/>
  <c r="AA27" i="38" s="1"/>
  <c r="O30" i="38"/>
  <c r="Q30" i="38" s="1"/>
  <c r="P30" i="38"/>
  <c r="O40" i="38"/>
  <c r="Q40" i="38" s="1"/>
  <c r="P40" i="38"/>
  <c r="S40" i="38" s="1"/>
  <c r="O42" i="38"/>
  <c r="Q42" i="38" s="1"/>
  <c r="Z42" i="38" s="1"/>
  <c r="AA42" i="38" s="1"/>
  <c r="P42" i="38"/>
  <c r="S42" i="38" s="1"/>
  <c r="O48" i="38"/>
  <c r="Q48" i="38" s="1"/>
  <c r="Z48" i="38" s="1"/>
  <c r="AA48" i="38" s="1"/>
  <c r="P48" i="38"/>
  <c r="S48" i="38" s="1"/>
  <c r="P8" i="36"/>
  <c r="AB8" i="36" s="1"/>
  <c r="S26" i="36"/>
  <c r="AD8" i="37"/>
  <c r="AB16" i="37"/>
  <c r="AD31" i="37"/>
  <c r="AD35" i="37"/>
  <c r="AD40" i="37"/>
  <c r="AD44" i="37"/>
  <c r="P7" i="38"/>
  <c r="O7" i="38"/>
  <c r="Q7" i="38" s="1"/>
  <c r="Z7" i="38" s="1"/>
  <c r="AA7" i="38" s="1"/>
  <c r="P11" i="38"/>
  <c r="O11" i="38"/>
  <c r="Q11" i="38" s="1"/>
  <c r="Z11" i="38" s="1"/>
  <c r="AA11" i="38" s="1"/>
  <c r="Z23" i="38"/>
  <c r="AA23" i="38" s="1"/>
  <c r="P15" i="38"/>
  <c r="O15" i="38"/>
  <c r="Q15" i="38" s="1"/>
  <c r="Z15" i="38" s="1"/>
  <c r="AA15" i="38" s="1"/>
  <c r="O20" i="38"/>
  <c r="Q20" i="38" s="1"/>
  <c r="Z20" i="38" s="1"/>
  <c r="AA20" i="38" s="1"/>
  <c r="P20" i="38"/>
  <c r="S20" i="38" s="1"/>
  <c r="P25" i="38"/>
  <c r="O25" i="38"/>
  <c r="Q25" i="38" s="1"/>
  <c r="O26" i="38"/>
  <c r="Q26" i="38" s="1"/>
  <c r="Z26" i="38" s="1"/>
  <c r="AA26" i="38" s="1"/>
  <c r="P26" i="38"/>
  <c r="S26" i="38" s="1"/>
  <c r="P29" i="38"/>
  <c r="S29" i="38" s="1"/>
  <c r="O29" i="38"/>
  <c r="Q29" i="38" s="1"/>
  <c r="Z29" i="38" s="1"/>
  <c r="AA29" i="38" s="1"/>
  <c r="O32" i="38"/>
  <c r="Q32" i="38" s="1"/>
  <c r="P32" i="38"/>
  <c r="S32" i="38" s="1"/>
  <c r="P35" i="38"/>
  <c r="S35" i="38" s="1"/>
  <c r="O35" i="38"/>
  <c r="Q35" i="38" s="1"/>
  <c r="Z35" i="38" s="1"/>
  <c r="AA35" i="38" s="1"/>
  <c r="AB35" i="38" s="1"/>
  <c r="P37" i="38"/>
  <c r="S37" i="38" s="1"/>
  <c r="O37" i="38"/>
  <c r="Q37" i="38" s="1"/>
  <c r="AD38" i="38"/>
  <c r="P45" i="38"/>
  <c r="S45" i="38" s="1"/>
  <c r="O45" i="38"/>
  <c r="Q45" i="38" s="1"/>
  <c r="P47" i="38"/>
  <c r="S47" i="38" s="1"/>
  <c r="O47" i="38"/>
  <c r="Q47" i="38" s="1"/>
  <c r="Z47" i="38" s="1"/>
  <c r="AA47" i="38" s="1"/>
  <c r="O50" i="38"/>
  <c r="Q50" i="38" s="1"/>
  <c r="P50" i="38"/>
  <c r="S50" i="38" s="1"/>
  <c r="K108" i="38"/>
  <c r="L108" i="38" s="1"/>
  <c r="M108" i="38" s="1"/>
  <c r="N108" i="38" s="1"/>
  <c r="O108" i="38" s="1"/>
  <c r="P108" i="38" s="1"/>
  <c r="Q108" i="38" s="1"/>
  <c r="R108" i="38" s="1"/>
  <c r="S108" i="38" s="1"/>
  <c r="T108" i="38" s="1"/>
  <c r="U108" i="38" s="1"/>
  <c r="V108" i="38" s="1"/>
  <c r="W108" i="38" s="1"/>
  <c r="X108" i="38" s="1"/>
  <c r="Y108" i="38" s="1"/>
  <c r="Z108" i="38" s="1"/>
  <c r="AA108" i="38" s="1"/>
  <c r="AB108" i="38" s="1"/>
  <c r="AC108" i="38" s="1"/>
  <c r="AD108" i="38" s="1"/>
  <c r="AE108" i="38" s="1"/>
  <c r="AF108" i="38" s="1"/>
  <c r="AG108" i="38" s="1"/>
  <c r="AH108" i="38" s="1"/>
  <c r="AI108" i="38" s="1"/>
  <c r="AJ108" i="38" s="1"/>
  <c r="T53" i="38" s="1"/>
  <c r="U53" i="38" s="1"/>
  <c r="X53" i="38" s="1"/>
  <c r="K63" i="38"/>
  <c r="AD39" i="38"/>
  <c r="AD34" i="38"/>
  <c r="AD43" i="38"/>
  <c r="AD27" i="38"/>
  <c r="AB47" i="38"/>
  <c r="AD48" i="38"/>
  <c r="R22" i="36"/>
  <c r="AE11" i="36" s="1"/>
  <c r="R22" i="38"/>
  <c r="Z29" i="37"/>
  <c r="AA29" i="37" s="1"/>
  <c r="Z24" i="37"/>
  <c r="AA24" i="37" s="1"/>
  <c r="AD29" i="37"/>
  <c r="M17" i="37"/>
  <c r="S17" i="37" s="1"/>
  <c r="K72" i="37"/>
  <c r="K78" i="37"/>
  <c r="M23" i="37"/>
  <c r="S23" i="37" s="1"/>
  <c r="AD51" i="37"/>
  <c r="M9" i="37"/>
  <c r="S9" i="37" s="1"/>
  <c r="AD15" i="37"/>
  <c r="K87" i="37"/>
  <c r="M32" i="37"/>
  <c r="S32" i="37" s="1"/>
  <c r="AD39" i="37"/>
  <c r="K103" i="37"/>
  <c r="M48" i="37"/>
  <c r="S48" i="37" s="1"/>
  <c r="K59" i="37"/>
  <c r="AB29" i="37"/>
  <c r="K84" i="37"/>
  <c r="AB36" i="37"/>
  <c r="O50" i="37"/>
  <c r="Q50" i="37" s="1"/>
  <c r="AD50" i="37" s="1"/>
  <c r="P42" i="37"/>
  <c r="K99" i="37"/>
  <c r="M44" i="37"/>
  <c r="S44" i="37" s="1"/>
  <c r="O5" i="37"/>
  <c r="Q5" i="37" s="1"/>
  <c r="O13" i="37"/>
  <c r="Q13" i="37" s="1"/>
  <c r="P5" i="37"/>
  <c r="AB6" i="37"/>
  <c r="P7" i="37"/>
  <c r="O7" i="37"/>
  <c r="Q7" i="37" s="1"/>
  <c r="AB18" i="37"/>
  <c r="AD27" i="37"/>
  <c r="AD4" i="37"/>
  <c r="AB10" i="37"/>
  <c r="O11" i="37"/>
  <c r="Q11" i="37" s="1"/>
  <c r="P11" i="37"/>
  <c r="AD11" i="37" s="1"/>
  <c r="O19" i="37"/>
  <c r="Q19" i="37" s="1"/>
  <c r="N74" i="37" s="1"/>
  <c r="O74" i="37" s="1"/>
  <c r="P74" i="37" s="1"/>
  <c r="S13" i="37"/>
  <c r="R22" i="37"/>
  <c r="AE40" i="37" s="1"/>
  <c r="AD16" i="37"/>
  <c r="AE16" i="37" s="1"/>
  <c r="S19" i="37"/>
  <c r="AB19" i="37"/>
  <c r="AD21" i="37"/>
  <c r="AE21" i="37" s="1"/>
  <c r="O33" i="37"/>
  <c r="Q33" i="37" s="1"/>
  <c r="K88" i="37" s="1"/>
  <c r="L88" i="37" s="1"/>
  <c r="M88" i="37" s="1"/>
  <c r="N88" i="37" s="1"/>
  <c r="O88" i="37" s="1"/>
  <c r="P88" i="37" s="1"/>
  <c r="Q88" i="37" s="1"/>
  <c r="R88" i="37" s="1"/>
  <c r="S88" i="37" s="1"/>
  <c r="T88" i="37" s="1"/>
  <c r="U88" i="37" s="1"/>
  <c r="V88" i="37" s="1"/>
  <c r="W88" i="37" s="1"/>
  <c r="X88" i="37" s="1"/>
  <c r="Y88" i="37" s="1"/>
  <c r="Z88" i="37" s="1"/>
  <c r="AA88" i="37" s="1"/>
  <c r="AB88" i="37" s="1"/>
  <c r="AC88" i="37" s="1"/>
  <c r="AD88" i="37" s="1"/>
  <c r="AE88" i="37" s="1"/>
  <c r="AF88" i="37" s="1"/>
  <c r="AG88" i="37" s="1"/>
  <c r="AH88" i="37" s="1"/>
  <c r="AI88" i="37" s="1"/>
  <c r="AJ88" i="37" s="1"/>
  <c r="T33" i="37" s="1"/>
  <c r="U33" i="37" s="1"/>
  <c r="V33" i="37" s="1"/>
  <c r="X33" i="37" s="1"/>
  <c r="P25" i="37"/>
  <c r="AD32" i="37"/>
  <c r="P34" i="37"/>
  <c r="AD34" i="37" s="1"/>
  <c r="O42" i="37"/>
  <c r="Q42" i="37" s="1"/>
  <c r="AD42" i="37" s="1"/>
  <c r="K91" i="37"/>
  <c r="M36" i="37"/>
  <c r="S36" i="37" s="1"/>
  <c r="S37" i="37"/>
  <c r="AD43" i="37"/>
  <c r="AB44" i="37"/>
  <c r="AD48" i="37"/>
  <c r="M22" i="37"/>
  <c r="S22" i="37" s="1"/>
  <c r="O38" i="37"/>
  <c r="Q38" i="37" s="1"/>
  <c r="P30" i="37"/>
  <c r="K85" i="37" s="1"/>
  <c r="AB13" i="37"/>
  <c r="K68" i="37"/>
  <c r="L68" i="37" s="1"/>
  <c r="M68" i="37" s="1"/>
  <c r="N68" i="37" s="1"/>
  <c r="O68" i="37" s="1"/>
  <c r="P68" i="37" s="1"/>
  <c r="Q68" i="37" s="1"/>
  <c r="R68" i="37" s="1"/>
  <c r="S68" i="37" s="1"/>
  <c r="T68" i="37" s="1"/>
  <c r="U68" i="37" s="1"/>
  <c r="V68" i="37" s="1"/>
  <c r="W68" i="37" s="1"/>
  <c r="X68" i="37" s="1"/>
  <c r="Y68" i="37" s="1"/>
  <c r="Z68" i="37" s="1"/>
  <c r="AA68" i="37" s="1"/>
  <c r="AB68" i="37" s="1"/>
  <c r="AC68" i="37" s="1"/>
  <c r="AD68" i="37" s="1"/>
  <c r="AE68" i="37" s="1"/>
  <c r="AF68" i="37" s="1"/>
  <c r="AG68" i="37" s="1"/>
  <c r="AH68" i="37" s="1"/>
  <c r="AI68" i="37" s="1"/>
  <c r="AJ68" i="37" s="1"/>
  <c r="T13" i="37" s="1"/>
  <c r="U13" i="37" s="1"/>
  <c r="V13" i="37" s="1"/>
  <c r="X13" i="37" s="1"/>
  <c r="O22" i="37"/>
  <c r="Q22" i="37" s="1"/>
  <c r="Z22" i="37" s="1"/>
  <c r="AA22" i="37" s="1"/>
  <c r="P14" i="37"/>
  <c r="K71" i="37"/>
  <c r="M16" i="37"/>
  <c r="S16" i="37" s="1"/>
  <c r="O28" i="37"/>
  <c r="Q28" i="37" s="1"/>
  <c r="Z28" i="37" s="1"/>
  <c r="AA28" i="37" s="1"/>
  <c r="P20" i="37"/>
  <c r="AD20" i="37" s="1"/>
  <c r="P26" i="37"/>
  <c r="O34" i="37"/>
  <c r="Q34" i="37" s="1"/>
  <c r="K83" i="37"/>
  <c r="L83" i="37" s="1"/>
  <c r="M83" i="37" s="1"/>
  <c r="N83" i="37" s="1"/>
  <c r="O83" i="37" s="1"/>
  <c r="P83" i="37" s="1"/>
  <c r="M28" i="37"/>
  <c r="S28" i="37" s="1"/>
  <c r="S29" i="37"/>
  <c r="AE31" i="37"/>
  <c r="AB32" i="37"/>
  <c r="AD36" i="37"/>
  <c r="O46" i="37"/>
  <c r="Q46" i="37" s="1"/>
  <c r="AD46" i="37" s="1"/>
  <c r="P38" i="37"/>
  <c r="AD38" i="37"/>
  <c r="K95" i="37"/>
  <c r="M40" i="37"/>
  <c r="S40" i="37" s="1"/>
  <c r="S41" i="37"/>
  <c r="AE47" i="37"/>
  <c r="AB48" i="37"/>
  <c r="AB51" i="37"/>
  <c r="K63" i="37"/>
  <c r="K106" i="38"/>
  <c r="O14" i="37"/>
  <c r="Q14" i="37" s="1"/>
  <c r="AD14" i="37" s="1"/>
  <c r="O26" i="37"/>
  <c r="Q26" i="37" s="1"/>
  <c r="K90" i="37"/>
  <c r="K98" i="37"/>
  <c r="K102" i="37"/>
  <c r="K106" i="37"/>
  <c r="AD20" i="38"/>
  <c r="K89" i="38"/>
  <c r="AD35" i="38"/>
  <c r="O6" i="37"/>
  <c r="Q6" i="37" s="1"/>
  <c r="M8" i="37"/>
  <c r="S8" i="37" s="1"/>
  <c r="O10" i="37"/>
  <c r="Q10" i="37" s="1"/>
  <c r="M12" i="37"/>
  <c r="S12" i="37" s="1"/>
  <c r="K69" i="37"/>
  <c r="L69" i="37" s="1"/>
  <c r="M69" i="37" s="1"/>
  <c r="M15" i="37"/>
  <c r="S15" i="37" s="1"/>
  <c r="O18" i="37"/>
  <c r="Q18" i="37" s="1"/>
  <c r="K75" i="37"/>
  <c r="M21" i="37"/>
  <c r="S21" i="37" s="1"/>
  <c r="M27" i="37"/>
  <c r="S27" i="37" s="1"/>
  <c r="M31" i="37"/>
  <c r="S31" i="37" s="1"/>
  <c r="M35" i="37"/>
  <c r="S35" i="37" s="1"/>
  <c r="O37" i="37"/>
  <c r="Q37" i="37" s="1"/>
  <c r="M39" i="37"/>
  <c r="S39" i="37" s="1"/>
  <c r="O41" i="37"/>
  <c r="Q41" i="37" s="1"/>
  <c r="M43" i="37"/>
  <c r="S43" i="37" s="1"/>
  <c r="O45" i="37"/>
  <c r="Q45" i="37" s="1"/>
  <c r="AD45" i="37" s="1"/>
  <c r="M47" i="37"/>
  <c r="S47" i="37" s="1"/>
  <c r="O49" i="37"/>
  <c r="Q49" i="37" s="1"/>
  <c r="S51" i="37"/>
  <c r="K94" i="37"/>
  <c r="K97" i="37"/>
  <c r="K62" i="38"/>
  <c r="Z17" i="38"/>
  <c r="AA17" i="38" s="1"/>
  <c r="Z32" i="38"/>
  <c r="AA32" i="38" s="1"/>
  <c r="AB24" i="38"/>
  <c r="Z37" i="38"/>
  <c r="AA37" i="38" s="1"/>
  <c r="AD29" i="38"/>
  <c r="K99" i="38"/>
  <c r="P4" i="38"/>
  <c r="O4" i="38"/>
  <c r="Q4" i="38" s="1"/>
  <c r="K66" i="38"/>
  <c r="K74" i="38"/>
  <c r="Z22" i="38"/>
  <c r="AA22" i="38" s="1"/>
  <c r="AD26" i="38"/>
  <c r="K67" i="37"/>
  <c r="L67" i="37" s="1"/>
  <c r="M67" i="37" s="1"/>
  <c r="N67" i="37" s="1"/>
  <c r="O67" i="37" s="1"/>
  <c r="P67" i="37" s="1"/>
  <c r="Q67" i="37" s="1"/>
  <c r="R67" i="37" s="1"/>
  <c r="S67" i="37" s="1"/>
  <c r="T67" i="37" s="1"/>
  <c r="U67" i="37" s="1"/>
  <c r="V67" i="37" s="1"/>
  <c r="W67" i="37" s="1"/>
  <c r="X67" i="37" s="1"/>
  <c r="Y67" i="37" s="1"/>
  <c r="Z67" i="37" s="1"/>
  <c r="AA67" i="37" s="1"/>
  <c r="AB67" i="37" s="1"/>
  <c r="AC67" i="37" s="1"/>
  <c r="AD67" i="37" s="1"/>
  <c r="AE67" i="37" s="1"/>
  <c r="AF67" i="37" s="1"/>
  <c r="AG67" i="37" s="1"/>
  <c r="AH67" i="37" s="1"/>
  <c r="AI67" i="37" s="1"/>
  <c r="AJ67" i="37" s="1"/>
  <c r="T12" i="37" s="1"/>
  <c r="K76" i="37"/>
  <c r="K67" i="38"/>
  <c r="AD22" i="38"/>
  <c r="S4" i="37"/>
  <c r="M5" i="37"/>
  <c r="S5" i="37" s="1"/>
  <c r="M7" i="37"/>
  <c r="O9" i="37"/>
  <c r="Q9" i="37" s="1"/>
  <c r="M11" i="37"/>
  <c r="S11" i="37" s="1"/>
  <c r="M14" i="37"/>
  <c r="S14" i="37" s="1"/>
  <c r="K73" i="37"/>
  <c r="L73" i="37" s="1"/>
  <c r="M73" i="37" s="1"/>
  <c r="N73" i="37" s="1"/>
  <c r="O73" i="37" s="1"/>
  <c r="P73" i="37" s="1"/>
  <c r="P24" i="37"/>
  <c r="S24" i="37" s="1"/>
  <c r="M26" i="37"/>
  <c r="S26" i="37" s="1"/>
  <c r="M30" i="37"/>
  <c r="M34" i="37"/>
  <c r="M38" i="37"/>
  <c r="S38" i="37" s="1"/>
  <c r="M42" i="37"/>
  <c r="S42" i="37" s="1"/>
  <c r="K100" i="37"/>
  <c r="L100" i="37" s="1"/>
  <c r="M100" i="37" s="1"/>
  <c r="N100" i="37" s="1"/>
  <c r="O100" i="37" s="1"/>
  <c r="P100" i="37" s="1"/>
  <c r="Q100" i="37" s="1"/>
  <c r="R100" i="37" s="1"/>
  <c r="S100" i="37" s="1"/>
  <c r="T100" i="37" s="1"/>
  <c r="U100" i="37" s="1"/>
  <c r="V100" i="37" s="1"/>
  <c r="W100" i="37" s="1"/>
  <c r="X100" i="37" s="1"/>
  <c r="Y100" i="37" s="1"/>
  <c r="Z100" i="37" s="1"/>
  <c r="AA100" i="37" s="1"/>
  <c r="AB100" i="37" s="1"/>
  <c r="AC100" i="37" s="1"/>
  <c r="AD100" i="37" s="1"/>
  <c r="AE100" i="37" s="1"/>
  <c r="AF100" i="37" s="1"/>
  <c r="AG100" i="37" s="1"/>
  <c r="AH100" i="37" s="1"/>
  <c r="AI100" i="37" s="1"/>
  <c r="AJ100" i="37" s="1"/>
  <c r="T45" i="37" s="1"/>
  <c r="U45" i="37" s="1"/>
  <c r="V45" i="37" s="1"/>
  <c r="X45" i="37" s="1"/>
  <c r="M46" i="37"/>
  <c r="S46" i="37" s="1"/>
  <c r="K104" i="37"/>
  <c r="L104" i="37" s="1"/>
  <c r="M104" i="37" s="1"/>
  <c r="N104" i="37"/>
  <c r="O104" i="37" s="1"/>
  <c r="P104" i="37" s="1"/>
  <c r="Q104" i="37" s="1"/>
  <c r="R104" i="37" s="1"/>
  <c r="S104" i="37" s="1"/>
  <c r="T104" i="37" s="1"/>
  <c r="U104" i="37" s="1"/>
  <c r="V104" i="37" s="1"/>
  <c r="W104" i="37" s="1"/>
  <c r="X104" i="37" s="1"/>
  <c r="Y104" i="37" s="1"/>
  <c r="Z104" i="37" s="1"/>
  <c r="AA104" i="37" s="1"/>
  <c r="AB104" i="37" s="1"/>
  <c r="M50" i="37"/>
  <c r="S50" i="37" s="1"/>
  <c r="K66" i="37"/>
  <c r="K70" i="37"/>
  <c r="L70" i="37" s="1"/>
  <c r="M70" i="37" s="1"/>
  <c r="N70" i="37" s="1"/>
  <c r="O70" i="37" s="1"/>
  <c r="P70" i="37" s="1"/>
  <c r="Q70" i="37" s="1"/>
  <c r="R70" i="37" s="1"/>
  <c r="S70" i="37" s="1"/>
  <c r="T70" i="37" s="1"/>
  <c r="U70" i="37" s="1"/>
  <c r="V70" i="37" s="1"/>
  <c r="W70" i="37" s="1"/>
  <c r="X70" i="37" s="1"/>
  <c r="Y70" i="37" s="1"/>
  <c r="Z70" i="37" s="1"/>
  <c r="AA70" i="37" s="1"/>
  <c r="AB70" i="37" s="1"/>
  <c r="AC70" i="37" s="1"/>
  <c r="AD70" i="37" s="1"/>
  <c r="AE70" i="37" s="1"/>
  <c r="AF70" i="37" s="1"/>
  <c r="AG70" i="37" s="1"/>
  <c r="AH70" i="37" s="1"/>
  <c r="AI70" i="37" s="1"/>
  <c r="AJ70" i="37" s="1"/>
  <c r="T15" i="37" s="1"/>
  <c r="K74" i="37"/>
  <c r="L74" i="37" s="1"/>
  <c r="M74" i="37" s="1"/>
  <c r="K82" i="37"/>
  <c r="K86" i="37"/>
  <c r="K60" i="38"/>
  <c r="M5" i="38"/>
  <c r="S5" i="38" s="1"/>
  <c r="Z41" i="38"/>
  <c r="AA41" i="38" s="1"/>
  <c r="AB33" i="38"/>
  <c r="AB38" i="38"/>
  <c r="AE38" i="38" s="1"/>
  <c r="AE39" i="38"/>
  <c r="K98" i="38"/>
  <c r="Z46" i="38"/>
  <c r="AA46" i="38" s="1"/>
  <c r="AB46" i="38" s="1"/>
  <c r="AB21" i="38"/>
  <c r="AB22" i="38"/>
  <c r="Z25" i="38"/>
  <c r="AA25" i="38" s="1"/>
  <c r="AB27" i="38"/>
  <c r="Z36" i="38"/>
  <c r="AA36" i="38" s="1"/>
  <c r="AB36" i="38" s="1"/>
  <c r="Z30" i="38"/>
  <c r="AA30" i="38" s="1"/>
  <c r="K90" i="38"/>
  <c r="AB42" i="38"/>
  <c r="AD42" i="38"/>
  <c r="AB43" i="38"/>
  <c r="K102" i="38"/>
  <c r="K103" i="38"/>
  <c r="L103" i="38" s="1"/>
  <c r="M103" i="38" s="1"/>
  <c r="N103" i="38" s="1"/>
  <c r="O103" i="38" s="1"/>
  <c r="P103" i="38" s="1"/>
  <c r="Q103" i="38" s="1"/>
  <c r="R103" i="38" s="1"/>
  <c r="S103" i="38" s="1"/>
  <c r="T103" i="38" s="1"/>
  <c r="U103" i="38" s="1"/>
  <c r="V103" i="38" s="1"/>
  <c r="W103" i="38" s="1"/>
  <c r="X103" i="38" s="1"/>
  <c r="Y103" i="38" s="1"/>
  <c r="Z103" i="38" s="1"/>
  <c r="AA103" i="38" s="1"/>
  <c r="AB103" i="38" s="1"/>
  <c r="AC103" i="38" s="1"/>
  <c r="AD103" i="38" s="1"/>
  <c r="AE103" i="38" s="1"/>
  <c r="AF103" i="38" s="1"/>
  <c r="AG103" i="38" s="1"/>
  <c r="AH103" i="38" s="1"/>
  <c r="AI103" i="38" s="1"/>
  <c r="AJ103" i="38" s="1"/>
  <c r="T48" i="38" s="1"/>
  <c r="S4" i="38"/>
  <c r="AD21" i="38"/>
  <c r="K69" i="38"/>
  <c r="K70" i="38"/>
  <c r="AB17" i="38"/>
  <c r="AD19" i="38"/>
  <c r="K75" i="38"/>
  <c r="AB20" i="38"/>
  <c r="K81" i="38"/>
  <c r="AB26" i="38"/>
  <c r="K82" i="38"/>
  <c r="L82" i="38" s="1"/>
  <c r="M82" i="38" s="1"/>
  <c r="N82" i="38" s="1"/>
  <c r="O82" i="38" s="1"/>
  <c r="P82" i="38" s="1"/>
  <c r="Q82" i="38" s="1"/>
  <c r="R82" i="38" s="1"/>
  <c r="S82" i="38" s="1"/>
  <c r="T82" i="38" s="1"/>
  <c r="U82" i="38" s="1"/>
  <c r="V82" i="38" s="1"/>
  <c r="W82" i="38" s="1"/>
  <c r="X82" i="38" s="1"/>
  <c r="Y82" i="38" s="1"/>
  <c r="Z82" i="38" s="1"/>
  <c r="AA82" i="38" s="1"/>
  <c r="AB82" i="38" s="1"/>
  <c r="AC82" i="38" s="1"/>
  <c r="AD82" i="38" s="1"/>
  <c r="AE82" i="38" s="1"/>
  <c r="AF82" i="38" s="1"/>
  <c r="AG82" i="38" s="1"/>
  <c r="AH82" i="38" s="1"/>
  <c r="AI82" i="38" s="1"/>
  <c r="AJ82" i="38" s="1"/>
  <c r="T27" i="38" s="1"/>
  <c r="Z40" i="38"/>
  <c r="AA40" i="38" s="1"/>
  <c r="AB40" i="38" s="1"/>
  <c r="AB34" i="38"/>
  <c r="AE34" i="38" s="1"/>
  <c r="K94" i="38"/>
  <c r="L94" i="38" s="1"/>
  <c r="M94" i="38" s="1"/>
  <c r="N94" i="38" s="1"/>
  <c r="O94" i="38" s="1"/>
  <c r="P94" i="38" s="1"/>
  <c r="Q94" i="38" s="1"/>
  <c r="R94" i="38" s="1"/>
  <c r="S94" i="38" s="1"/>
  <c r="T94" i="38" s="1"/>
  <c r="U94" i="38" s="1"/>
  <c r="V94" i="38" s="1"/>
  <c r="W94" i="38" s="1"/>
  <c r="X94" i="38" s="1"/>
  <c r="Y94" i="38" s="1"/>
  <c r="Z94" i="38" s="1"/>
  <c r="AA94" i="38" s="1"/>
  <c r="AB94" i="38" s="1"/>
  <c r="AC94" i="38" s="1"/>
  <c r="AD94" i="38" s="1"/>
  <c r="AE94" i="38" s="1"/>
  <c r="AF94" i="38" s="1"/>
  <c r="AG94" i="38" s="1"/>
  <c r="AH94" i="38" s="1"/>
  <c r="AI94" i="38" s="1"/>
  <c r="AJ94" i="38" s="1"/>
  <c r="T39" i="38" s="1"/>
  <c r="AD44" i="38"/>
  <c r="AD50" i="38"/>
  <c r="K79" i="38"/>
  <c r="K64" i="38"/>
  <c r="K72" i="38"/>
  <c r="L72" i="38" s="1"/>
  <c r="M72" i="38" s="1"/>
  <c r="N72" i="38" s="1"/>
  <c r="O72" i="38" s="1"/>
  <c r="P72" i="38" s="1"/>
  <c r="Q72" i="38" s="1"/>
  <c r="R72" i="38" s="1"/>
  <c r="S72" i="38" s="1"/>
  <c r="T72" i="38" s="1"/>
  <c r="U72" i="38" s="1"/>
  <c r="V72" i="38" s="1"/>
  <c r="W72" i="38" s="1"/>
  <c r="X72" i="38" s="1"/>
  <c r="Y72" i="38" s="1"/>
  <c r="Z72" i="38" s="1"/>
  <c r="AA72" i="38" s="1"/>
  <c r="AB72" i="38" s="1"/>
  <c r="AC72" i="38" s="1"/>
  <c r="AD72" i="38" s="1"/>
  <c r="AE72" i="38" s="1"/>
  <c r="AF72" i="38" s="1"/>
  <c r="AG72" i="38" s="1"/>
  <c r="AH72" i="38" s="1"/>
  <c r="AI72" i="38" s="1"/>
  <c r="AJ72" i="38" s="1"/>
  <c r="T17" i="38" s="1"/>
  <c r="K77" i="38"/>
  <c r="K92" i="38"/>
  <c r="Z45" i="38"/>
  <c r="AA45" i="38" s="1"/>
  <c r="AB45" i="38" s="1"/>
  <c r="K96" i="38"/>
  <c r="Z49" i="38"/>
  <c r="AA49" i="38" s="1"/>
  <c r="AB49" i="38" s="1"/>
  <c r="AB44" i="38"/>
  <c r="AB48" i="38"/>
  <c r="AD49" i="38"/>
  <c r="K93" i="38"/>
  <c r="K97" i="38"/>
  <c r="AD9" i="36"/>
  <c r="Z9" i="36"/>
  <c r="AA9" i="36" s="1"/>
  <c r="AE4" i="36"/>
  <c r="AD28" i="36"/>
  <c r="Z28" i="36"/>
  <c r="AA28" i="36" s="1"/>
  <c r="AB6" i="36"/>
  <c r="O18" i="36"/>
  <c r="Q18" i="36" s="1"/>
  <c r="Z18" i="36" s="1"/>
  <c r="AA18" i="36" s="1"/>
  <c r="O10" i="36"/>
  <c r="Q10" i="36" s="1"/>
  <c r="K65" i="36" s="1"/>
  <c r="K86" i="36"/>
  <c r="M31" i="36"/>
  <c r="S31" i="36" s="1"/>
  <c r="K104" i="36"/>
  <c r="M49" i="36"/>
  <c r="S49" i="36" s="1"/>
  <c r="O7" i="36"/>
  <c r="Q7" i="36" s="1"/>
  <c r="K63" i="36"/>
  <c r="K64" i="36"/>
  <c r="L64" i="36" s="1"/>
  <c r="M64" i="36" s="1"/>
  <c r="P10" i="36"/>
  <c r="AB10" i="36" s="1"/>
  <c r="AD12" i="36"/>
  <c r="AE12" i="36" s="1"/>
  <c r="K70" i="36"/>
  <c r="M15" i="36"/>
  <c r="S15" i="36" s="1"/>
  <c r="AD20" i="36"/>
  <c r="Z20" i="36"/>
  <c r="AA20" i="36" s="1"/>
  <c r="AB20" i="36"/>
  <c r="AB22" i="36"/>
  <c r="AD22" i="36"/>
  <c r="O32" i="36"/>
  <c r="Q32" i="36" s="1"/>
  <c r="Z32" i="36" s="1"/>
  <c r="AA32" i="36" s="1"/>
  <c r="P24" i="36"/>
  <c r="AB24" i="36" s="1"/>
  <c r="AD30" i="36"/>
  <c r="AE30" i="36" s="1"/>
  <c r="Z30" i="36"/>
  <c r="AA30" i="36" s="1"/>
  <c r="AB30" i="36"/>
  <c r="AD31" i="36"/>
  <c r="O41" i="36"/>
  <c r="Q41" i="36" s="1"/>
  <c r="Z41" i="36" s="1"/>
  <c r="AA41" i="36" s="1"/>
  <c r="AB41" i="36" s="1"/>
  <c r="P33" i="36"/>
  <c r="AB33" i="36" s="1"/>
  <c r="AB44" i="36"/>
  <c r="O21" i="36"/>
  <c r="Q21" i="36" s="1"/>
  <c r="Z21" i="36" s="1"/>
  <c r="AA21" i="36" s="1"/>
  <c r="P13" i="36"/>
  <c r="M21" i="36"/>
  <c r="S21" i="36" s="1"/>
  <c r="AB40" i="36"/>
  <c r="AE40" i="36" s="1"/>
  <c r="AB17" i="36"/>
  <c r="AB48" i="36"/>
  <c r="P5" i="36"/>
  <c r="AB5" i="36" s="1"/>
  <c r="O6" i="36"/>
  <c r="Q6" i="36" s="1"/>
  <c r="AD6" i="36" s="1"/>
  <c r="AE6" i="36" s="1"/>
  <c r="P7" i="36"/>
  <c r="AB7" i="36" s="1"/>
  <c r="M8" i="36"/>
  <c r="S8" i="36" s="1"/>
  <c r="AB9" i="36"/>
  <c r="K67" i="36"/>
  <c r="M12" i="36"/>
  <c r="S12" i="36" s="1"/>
  <c r="O14" i="36"/>
  <c r="Q14" i="36" s="1"/>
  <c r="K69" i="36" s="1"/>
  <c r="L69" i="36" s="1"/>
  <c r="M69" i="36" s="1"/>
  <c r="N69" i="36" s="1"/>
  <c r="O69" i="36" s="1"/>
  <c r="P69" i="36" s="1"/>
  <c r="Q69" i="36" s="1"/>
  <c r="R69" i="36" s="1"/>
  <c r="S69" i="36" s="1"/>
  <c r="T69" i="36" s="1"/>
  <c r="U69" i="36" s="1"/>
  <c r="V69" i="36" s="1"/>
  <c r="W69" i="36" s="1"/>
  <c r="X69" i="36" s="1"/>
  <c r="Y69" i="36" s="1"/>
  <c r="Z69" i="36" s="1"/>
  <c r="AA69" i="36" s="1"/>
  <c r="AB69" i="36" s="1"/>
  <c r="AC69" i="36" s="1"/>
  <c r="AD69" i="36" s="1"/>
  <c r="AE69" i="36" s="1"/>
  <c r="AF69" i="36" s="1"/>
  <c r="AG69" i="36" s="1"/>
  <c r="AH69" i="36" s="1"/>
  <c r="AI69" i="36" s="1"/>
  <c r="AJ69" i="36" s="1"/>
  <c r="T14" i="36" s="1"/>
  <c r="AB14" i="36"/>
  <c r="AD15" i="36"/>
  <c r="AB16" i="36"/>
  <c r="AB21" i="36"/>
  <c r="K82" i="36"/>
  <c r="M27" i="36"/>
  <c r="S27" i="36" s="1"/>
  <c r="S28" i="36"/>
  <c r="AB31" i="36"/>
  <c r="AE45" i="36"/>
  <c r="Z11" i="36"/>
  <c r="AA11" i="36" s="1"/>
  <c r="AD13" i="36"/>
  <c r="K59" i="36"/>
  <c r="L59" i="36" s="1"/>
  <c r="M59" i="36" s="1"/>
  <c r="N59" i="36" s="1"/>
  <c r="O59" i="36" s="1"/>
  <c r="P59" i="36" s="1"/>
  <c r="Q59" i="36" s="1"/>
  <c r="R59" i="36" s="1"/>
  <c r="S59" i="36" s="1"/>
  <c r="T59" i="36" s="1"/>
  <c r="U59" i="36" s="1"/>
  <c r="V59" i="36" s="1"/>
  <c r="W59" i="36" s="1"/>
  <c r="X59" i="36" s="1"/>
  <c r="Y59" i="36" s="1"/>
  <c r="Z59" i="36" s="1"/>
  <c r="AA59" i="36" s="1"/>
  <c r="AB59" i="36" s="1"/>
  <c r="AC59" i="36" s="1"/>
  <c r="AD59" i="36" s="1"/>
  <c r="AE59" i="36" s="1"/>
  <c r="AF59" i="36" s="1"/>
  <c r="AG59" i="36" s="1"/>
  <c r="AH59" i="36" s="1"/>
  <c r="AI59" i="36" s="1"/>
  <c r="AJ59" i="36" s="1"/>
  <c r="T4" i="36" s="1"/>
  <c r="O5" i="36"/>
  <c r="Q5" i="36" s="1"/>
  <c r="S4" i="36"/>
  <c r="M5" i="36"/>
  <c r="K61" i="36"/>
  <c r="L61" i="36" s="1"/>
  <c r="M61" i="36" s="1"/>
  <c r="N61" i="36" s="1"/>
  <c r="O61" i="36" s="1"/>
  <c r="P61" i="36" s="1"/>
  <c r="Q61" i="36" s="1"/>
  <c r="R61" i="36" s="1"/>
  <c r="S61" i="36" s="1"/>
  <c r="T61" i="36" s="1"/>
  <c r="U61" i="36" s="1"/>
  <c r="V61" i="36" s="1"/>
  <c r="W61" i="36" s="1"/>
  <c r="X61" i="36" s="1"/>
  <c r="Y61" i="36" s="1"/>
  <c r="Z61" i="36" s="1"/>
  <c r="AA61" i="36" s="1"/>
  <c r="AB61" i="36" s="1"/>
  <c r="AC61" i="36" s="1"/>
  <c r="AD61" i="36" s="1"/>
  <c r="AE61" i="36" s="1"/>
  <c r="AF61" i="36" s="1"/>
  <c r="AG61" i="36" s="1"/>
  <c r="AH61" i="36" s="1"/>
  <c r="AI61" i="36" s="1"/>
  <c r="AJ61" i="36" s="1"/>
  <c r="T6" i="36" s="1"/>
  <c r="U6" i="36" s="1"/>
  <c r="V6" i="36" s="1"/>
  <c r="X6" i="36" s="1"/>
  <c r="M7" i="36"/>
  <c r="S7" i="36" s="1"/>
  <c r="M10" i="36"/>
  <c r="S10" i="36" s="1"/>
  <c r="AD10" i="36"/>
  <c r="AE10" i="36" s="1"/>
  <c r="AB15" i="36"/>
  <c r="AD16" i="36"/>
  <c r="O26" i="36"/>
  <c r="Q26" i="36" s="1"/>
  <c r="AB26" i="36"/>
  <c r="AD27" i="36"/>
  <c r="AE27" i="36" s="1"/>
  <c r="AB28" i="36"/>
  <c r="O37" i="36"/>
  <c r="Q37" i="36" s="1"/>
  <c r="P29" i="36"/>
  <c r="AB29" i="36" s="1"/>
  <c r="M34" i="36"/>
  <c r="N66" i="36"/>
  <c r="O66" i="36" s="1"/>
  <c r="P66" i="36" s="1"/>
  <c r="Q66" i="36" s="1"/>
  <c r="R66" i="36" s="1"/>
  <c r="S66" i="36" s="1"/>
  <c r="T66" i="36" s="1"/>
  <c r="U66" i="36" s="1"/>
  <c r="V66" i="36" s="1"/>
  <c r="W66" i="36" s="1"/>
  <c r="X66" i="36" s="1"/>
  <c r="Y66" i="36" s="1"/>
  <c r="Z66" i="36" s="1"/>
  <c r="AA66" i="36" s="1"/>
  <c r="AB66" i="36" s="1"/>
  <c r="AC66" i="36" s="1"/>
  <c r="AD66" i="36" s="1"/>
  <c r="AE66" i="36" s="1"/>
  <c r="AF66" i="36" s="1"/>
  <c r="AG66" i="36" s="1"/>
  <c r="AH66" i="36" s="1"/>
  <c r="AI66" i="36" s="1"/>
  <c r="AJ66" i="36" s="1"/>
  <c r="T11" i="36" s="1"/>
  <c r="K66" i="36"/>
  <c r="L66" i="36" s="1"/>
  <c r="M66" i="36" s="1"/>
  <c r="K74" i="36"/>
  <c r="P19" i="36"/>
  <c r="K75" i="36"/>
  <c r="L75" i="36" s="1"/>
  <c r="M75" i="36" s="1"/>
  <c r="N75" i="36" s="1"/>
  <c r="O75" i="36" s="1"/>
  <c r="P75" i="36" s="1"/>
  <c r="Q75" i="36" s="1"/>
  <c r="R75" i="36" s="1"/>
  <c r="S75" i="36" s="1"/>
  <c r="T75" i="36" s="1"/>
  <c r="U75" i="36" s="1"/>
  <c r="V75" i="36" s="1"/>
  <c r="W75" i="36" s="1"/>
  <c r="X75" i="36" s="1"/>
  <c r="Y75" i="36" s="1"/>
  <c r="Z75" i="36" s="1"/>
  <c r="AA75" i="36" s="1"/>
  <c r="AB75" i="36" s="1"/>
  <c r="AC75" i="36" s="1"/>
  <c r="AD75" i="36" s="1"/>
  <c r="AE75" i="36" s="1"/>
  <c r="AF75" i="36" s="1"/>
  <c r="AG75" i="36" s="1"/>
  <c r="AH75" i="36" s="1"/>
  <c r="AI75" i="36" s="1"/>
  <c r="AJ75" i="36" s="1"/>
  <c r="T20" i="36" s="1"/>
  <c r="O24" i="36"/>
  <c r="Q24" i="36" s="1"/>
  <c r="Z24" i="36" s="1"/>
  <c r="AA24" i="36" s="1"/>
  <c r="K80" i="36"/>
  <c r="L80" i="36" s="1"/>
  <c r="M80" i="36" s="1"/>
  <c r="N80" i="36" s="1"/>
  <c r="O80" i="36" s="1"/>
  <c r="P80" i="36" s="1"/>
  <c r="Q80" i="36" s="1"/>
  <c r="R80" i="36" s="1"/>
  <c r="S80" i="36" s="1"/>
  <c r="T80" i="36" s="1"/>
  <c r="U80" i="36" s="1"/>
  <c r="V80" i="36" s="1"/>
  <c r="W80" i="36" s="1"/>
  <c r="X80" i="36" s="1"/>
  <c r="Y80" i="36" s="1"/>
  <c r="Z80" i="36" s="1"/>
  <c r="AA80" i="36" s="1"/>
  <c r="AB80" i="36" s="1"/>
  <c r="AC80" i="36" s="1"/>
  <c r="AD80" i="36" s="1"/>
  <c r="AE80" i="36" s="1"/>
  <c r="AF80" i="36" s="1"/>
  <c r="AG80" i="36" s="1"/>
  <c r="AH80" i="36" s="1"/>
  <c r="AI80" i="36" s="1"/>
  <c r="AJ80" i="36" s="1"/>
  <c r="T25" i="36" s="1"/>
  <c r="K81" i="36"/>
  <c r="L81" i="36" s="1"/>
  <c r="M81" i="36" s="1"/>
  <c r="N85" i="36"/>
  <c r="O85" i="36" s="1"/>
  <c r="P85" i="36" s="1"/>
  <c r="Q85" i="36" s="1"/>
  <c r="R85" i="36" s="1"/>
  <c r="S85" i="36" s="1"/>
  <c r="T85" i="36" s="1"/>
  <c r="U85" i="36" s="1"/>
  <c r="V85" i="36" s="1"/>
  <c r="W85" i="36" s="1"/>
  <c r="X85" i="36" s="1"/>
  <c r="Y85" i="36" s="1"/>
  <c r="Z85" i="36" s="1"/>
  <c r="AA85" i="36" s="1"/>
  <c r="AB85" i="36" s="1"/>
  <c r="AC85" i="36" s="1"/>
  <c r="AD85" i="36" s="1"/>
  <c r="AE85" i="36" s="1"/>
  <c r="AF85" i="36" s="1"/>
  <c r="AG85" i="36" s="1"/>
  <c r="AH85" i="36" s="1"/>
  <c r="AI85" i="36" s="1"/>
  <c r="AJ85" i="36" s="1"/>
  <c r="T30" i="36" s="1"/>
  <c r="K85" i="36"/>
  <c r="L85" i="36" s="1"/>
  <c r="M85" i="36" s="1"/>
  <c r="O36" i="36"/>
  <c r="Q36" i="36" s="1"/>
  <c r="Z36" i="36" s="1"/>
  <c r="AA36" i="36" s="1"/>
  <c r="AB36" i="36" s="1"/>
  <c r="AD44" i="36"/>
  <c r="AB45" i="36"/>
  <c r="AD49" i="36"/>
  <c r="O17" i="36"/>
  <c r="Q17" i="36" s="1"/>
  <c r="K72" i="36" s="1"/>
  <c r="L72" i="36" s="1"/>
  <c r="M72" i="36" s="1"/>
  <c r="K88" i="36"/>
  <c r="P34" i="36"/>
  <c r="O42" i="36"/>
  <c r="Q42" i="36" s="1"/>
  <c r="AD37" i="36"/>
  <c r="AB38" i="36"/>
  <c r="P39" i="36"/>
  <c r="AB39" i="36" s="1"/>
  <c r="O47" i="36"/>
  <c r="Q47" i="36" s="1"/>
  <c r="Z47" i="36" s="1"/>
  <c r="AA47" i="36" s="1"/>
  <c r="AB47" i="36" s="1"/>
  <c r="K96" i="36"/>
  <c r="M41" i="36"/>
  <c r="S41" i="36" s="1"/>
  <c r="AE48" i="36"/>
  <c r="AB49" i="36"/>
  <c r="N64" i="36"/>
  <c r="O64" i="36" s="1"/>
  <c r="P64" i="36" s="1"/>
  <c r="Q64" i="36" s="1"/>
  <c r="R64" i="36" s="1"/>
  <c r="S64" i="36" s="1"/>
  <c r="T64" i="36" s="1"/>
  <c r="U64" i="36" s="1"/>
  <c r="V64" i="36" s="1"/>
  <c r="W64" i="36" s="1"/>
  <c r="X64" i="36" s="1"/>
  <c r="Y64" i="36" s="1"/>
  <c r="Z64" i="36" s="1"/>
  <c r="AA64" i="36" s="1"/>
  <c r="AB64" i="36" s="1"/>
  <c r="AC64" i="36" s="1"/>
  <c r="AD64" i="36" s="1"/>
  <c r="AE64" i="36" s="1"/>
  <c r="AF64" i="36" s="1"/>
  <c r="AG64" i="36" s="1"/>
  <c r="AH64" i="36" s="1"/>
  <c r="AI64" i="36" s="1"/>
  <c r="AJ64" i="36" s="1"/>
  <c r="T9" i="36" s="1"/>
  <c r="K71" i="36"/>
  <c r="L71" i="36" s="1"/>
  <c r="M71" i="36" s="1"/>
  <c r="N71" i="36" s="1"/>
  <c r="O71" i="36" s="1"/>
  <c r="P71" i="36" s="1"/>
  <c r="Q71" i="36" s="1"/>
  <c r="R71" i="36" s="1"/>
  <c r="S71" i="36" s="1"/>
  <c r="T71" i="36" s="1"/>
  <c r="U71" i="36" s="1"/>
  <c r="V71" i="36" s="1"/>
  <c r="W71" i="36" s="1"/>
  <c r="X71" i="36" s="1"/>
  <c r="Y71" i="36" s="1"/>
  <c r="Z71" i="36" s="1"/>
  <c r="AA71" i="36" s="1"/>
  <c r="AB71" i="36" s="1"/>
  <c r="AC71" i="36" s="1"/>
  <c r="AD71" i="36" s="1"/>
  <c r="AE71" i="36" s="1"/>
  <c r="AF71" i="36" s="1"/>
  <c r="AG71" i="36" s="1"/>
  <c r="AH71" i="36" s="1"/>
  <c r="AI71" i="36" s="1"/>
  <c r="AJ71" i="36" s="1"/>
  <c r="T16" i="36" s="1"/>
  <c r="M18" i="36"/>
  <c r="S18" i="36" s="1"/>
  <c r="K77" i="36"/>
  <c r="L77" i="36" s="1"/>
  <c r="M77" i="36" s="1"/>
  <c r="N77" i="36" s="1"/>
  <c r="O77" i="36" s="1"/>
  <c r="P77" i="36" s="1"/>
  <c r="Q77" i="36" s="1"/>
  <c r="R77" i="36" s="1"/>
  <c r="S77" i="36" s="1"/>
  <c r="T77" i="36" s="1"/>
  <c r="U77" i="36" s="1"/>
  <c r="V77" i="36" s="1"/>
  <c r="W77" i="36" s="1"/>
  <c r="X77" i="36" s="1"/>
  <c r="Y77" i="36" s="1"/>
  <c r="Z77" i="36" s="1"/>
  <c r="AA77" i="36" s="1"/>
  <c r="AB77" i="36" s="1"/>
  <c r="AC77" i="36" s="1"/>
  <c r="AD77" i="36" s="1"/>
  <c r="AE77" i="36" s="1"/>
  <c r="AF77" i="36" s="1"/>
  <c r="AG77" i="36" s="1"/>
  <c r="AH77" i="36" s="1"/>
  <c r="AI77" i="36" s="1"/>
  <c r="AJ77" i="36" s="1"/>
  <c r="T22" i="36" s="1"/>
  <c r="K78" i="36"/>
  <c r="P23" i="36"/>
  <c r="M24" i="36"/>
  <c r="K83" i="36"/>
  <c r="L83" i="36" s="1"/>
  <c r="M83" i="36" s="1"/>
  <c r="N83" i="36" s="1"/>
  <c r="O83" i="36" s="1"/>
  <c r="P83" i="36" s="1"/>
  <c r="Q83" i="36" s="1"/>
  <c r="R83" i="36" s="1"/>
  <c r="S83" i="36" s="1"/>
  <c r="T83" i="36" s="1"/>
  <c r="U83" i="36" s="1"/>
  <c r="V83" i="36" s="1"/>
  <c r="W83" i="36" s="1"/>
  <c r="X83" i="36" s="1"/>
  <c r="Y83" i="36" s="1"/>
  <c r="Z83" i="36" s="1"/>
  <c r="AA83" i="36" s="1"/>
  <c r="AB83" i="36" s="1"/>
  <c r="AC83" i="36" s="1"/>
  <c r="AD83" i="36" s="1"/>
  <c r="AE83" i="36" s="1"/>
  <c r="AF83" i="36" s="1"/>
  <c r="AG83" i="36" s="1"/>
  <c r="AH83" i="36" s="1"/>
  <c r="AI83" i="36" s="1"/>
  <c r="AJ83" i="36" s="1"/>
  <c r="T28" i="36" s="1"/>
  <c r="M29" i="36"/>
  <c r="S29" i="36" s="1"/>
  <c r="P32" i="36"/>
  <c r="M33" i="36"/>
  <c r="S33" i="36" s="1"/>
  <c r="P35" i="36"/>
  <c r="AB35" i="36" s="1"/>
  <c r="O43" i="36"/>
  <c r="Q43" i="36" s="1"/>
  <c r="Z43" i="36" s="1"/>
  <c r="AA43" i="36" s="1"/>
  <c r="AD35" i="36"/>
  <c r="AE35" i="36" s="1"/>
  <c r="M36" i="36"/>
  <c r="S36" i="36" s="1"/>
  <c r="K92" i="36"/>
  <c r="AD38" i="36"/>
  <c r="AE38" i="36" s="1"/>
  <c r="AD41" i="36"/>
  <c r="O51" i="36"/>
  <c r="Q51" i="36" s="1"/>
  <c r="Z51" i="36" s="1"/>
  <c r="AA51" i="36" s="1"/>
  <c r="AB51" i="36" s="1"/>
  <c r="P43" i="36"/>
  <c r="K100" i="36"/>
  <c r="M45" i="36"/>
  <c r="S45" i="36" s="1"/>
  <c r="S46" i="36"/>
  <c r="K95" i="36"/>
  <c r="K99" i="36"/>
  <c r="K103" i="36"/>
  <c r="L103" i="36" s="1"/>
  <c r="M103" i="36" s="1"/>
  <c r="N103" i="36" s="1"/>
  <c r="O103" i="36" s="1"/>
  <c r="P103" i="36" s="1"/>
  <c r="Q103" i="36" s="1"/>
  <c r="R103" i="36" s="1"/>
  <c r="S103" i="36" s="1"/>
  <c r="T103" i="36" s="1"/>
  <c r="U103" i="36" s="1"/>
  <c r="V103" i="36" s="1"/>
  <c r="W103" i="36" s="1"/>
  <c r="X103" i="36" s="1"/>
  <c r="Y103" i="36" s="1"/>
  <c r="Z103" i="36" s="1"/>
  <c r="AA103" i="36" s="1"/>
  <c r="AB103" i="36" s="1"/>
  <c r="AC103" i="36" s="1"/>
  <c r="AD103" i="36" s="1"/>
  <c r="AE103" i="36" s="1"/>
  <c r="AF103" i="36" s="1"/>
  <c r="AG103" i="36" s="1"/>
  <c r="AH103" i="36" s="1"/>
  <c r="AI103" i="36" s="1"/>
  <c r="AJ103" i="36" s="1"/>
  <c r="T48" i="36" s="1"/>
  <c r="K90" i="36"/>
  <c r="M40" i="36"/>
  <c r="S40" i="36" s="1"/>
  <c r="M44" i="36"/>
  <c r="S44" i="36" s="1"/>
  <c r="O46" i="36"/>
  <c r="Q46" i="36" s="1"/>
  <c r="Z46" i="36" s="1"/>
  <c r="AA46" i="36" s="1"/>
  <c r="AB46" i="36" s="1"/>
  <c r="K102" i="36"/>
  <c r="M48" i="36"/>
  <c r="S48" i="36" s="1"/>
  <c r="O50" i="36"/>
  <c r="Q50" i="36" s="1"/>
  <c r="M35" i="36"/>
  <c r="S35" i="36" s="1"/>
  <c r="M39" i="36"/>
  <c r="M43" i="36"/>
  <c r="M47" i="36"/>
  <c r="S47" i="36" s="1"/>
  <c r="K93" i="36"/>
  <c r="L93" i="36" s="1"/>
  <c r="M93" i="36" s="1"/>
  <c r="N93" i="36" s="1"/>
  <c r="O93" i="36" s="1"/>
  <c r="P93" i="36" s="1"/>
  <c r="Q93" i="36" s="1"/>
  <c r="R93" i="36" s="1"/>
  <c r="S93" i="36" s="1"/>
  <c r="T93" i="36" s="1"/>
  <c r="U93" i="36" s="1"/>
  <c r="V93" i="36" s="1"/>
  <c r="W93" i="36" s="1"/>
  <c r="X93" i="36" s="1"/>
  <c r="Y93" i="36" s="1"/>
  <c r="Z93" i="36" s="1"/>
  <c r="AA93" i="36" s="1"/>
  <c r="AB93" i="36" s="1"/>
  <c r="AC93" i="36" s="1"/>
  <c r="AD93" i="36" s="1"/>
  <c r="AE93" i="36" s="1"/>
  <c r="AF93" i="36" s="1"/>
  <c r="AG93" i="36" s="1"/>
  <c r="AH93" i="36" s="1"/>
  <c r="AI93" i="36" s="1"/>
  <c r="AJ93" i="36" s="1"/>
  <c r="T38" i="36" s="1"/>
  <c r="X51" i="35"/>
  <c r="R25" i="35"/>
  <c r="U52" i="38" l="1"/>
  <c r="V52" i="38" s="1"/>
  <c r="X52" i="38" s="1"/>
  <c r="Y52" i="38" s="1"/>
  <c r="W52" i="38"/>
  <c r="L90" i="36"/>
  <c r="M90" i="36" s="1"/>
  <c r="N90" i="36" s="1"/>
  <c r="O90" i="36" s="1"/>
  <c r="P90" i="36" s="1"/>
  <c r="Q90" i="36" s="1"/>
  <c r="R90" i="36" s="1"/>
  <c r="S90" i="36" s="1"/>
  <c r="T90" i="36" s="1"/>
  <c r="U90" i="36" s="1"/>
  <c r="V90" i="36" s="1"/>
  <c r="W90" i="36" s="1"/>
  <c r="X90" i="36" s="1"/>
  <c r="Y90" i="36" s="1"/>
  <c r="Z90" i="36" s="1"/>
  <c r="AA90" i="36" s="1"/>
  <c r="AB90" i="36" s="1"/>
  <c r="AC90" i="36" s="1"/>
  <c r="AD90" i="36" s="1"/>
  <c r="AE90" i="36" s="1"/>
  <c r="AF90" i="36" s="1"/>
  <c r="AG90" i="36" s="1"/>
  <c r="AH90" i="36" s="1"/>
  <c r="AI90" i="36" s="1"/>
  <c r="AJ90" i="36" s="1"/>
  <c r="T35" i="36" s="1"/>
  <c r="L92" i="36"/>
  <c r="M92" i="36" s="1"/>
  <c r="N92" i="36" s="1"/>
  <c r="O92" i="36" s="1"/>
  <c r="P92" i="36" s="1"/>
  <c r="Q92" i="36" s="1"/>
  <c r="R92" i="36" s="1"/>
  <c r="S92" i="36" s="1"/>
  <c r="L63" i="36"/>
  <c r="M63" i="36" s="1"/>
  <c r="N63" i="36" s="1"/>
  <c r="O63" i="36" s="1"/>
  <c r="P63" i="36" s="1"/>
  <c r="Q63" i="36" s="1"/>
  <c r="R63" i="36" s="1"/>
  <c r="S63" i="36" s="1"/>
  <c r="T63" i="36" s="1"/>
  <c r="U63" i="36" s="1"/>
  <c r="V63" i="36" s="1"/>
  <c r="W63" i="36" s="1"/>
  <c r="X63" i="36" s="1"/>
  <c r="Y63" i="36" s="1"/>
  <c r="Z63" i="36" s="1"/>
  <c r="AA63" i="36" s="1"/>
  <c r="AB63" i="36" s="1"/>
  <c r="AC63" i="36" s="1"/>
  <c r="AD63" i="36" s="1"/>
  <c r="AE63" i="36" s="1"/>
  <c r="AF63" i="36" s="1"/>
  <c r="AG63" i="36" s="1"/>
  <c r="AH63" i="36" s="1"/>
  <c r="AI63" i="36" s="1"/>
  <c r="AJ63" i="36" s="1"/>
  <c r="T8" i="36" s="1"/>
  <c r="L102" i="36"/>
  <c r="M102" i="36" s="1"/>
  <c r="N102" i="36" s="1"/>
  <c r="O102" i="36" s="1"/>
  <c r="P102" i="36" s="1"/>
  <c r="Q102" i="36" s="1"/>
  <c r="R102" i="36" s="1"/>
  <c r="S102" i="36" s="1"/>
  <c r="T102" i="36" s="1"/>
  <c r="U102" i="36" s="1"/>
  <c r="V102" i="36" s="1"/>
  <c r="W102" i="36" s="1"/>
  <c r="X102" i="36" s="1"/>
  <c r="Y102" i="36" s="1"/>
  <c r="Z102" i="36" s="1"/>
  <c r="AA102" i="36" s="1"/>
  <c r="AB102" i="36" s="1"/>
  <c r="AC102" i="36" s="1"/>
  <c r="AD102" i="36" s="1"/>
  <c r="AE102" i="36" s="1"/>
  <c r="AF102" i="36" s="1"/>
  <c r="AG102" i="36" s="1"/>
  <c r="AH102" i="36" s="1"/>
  <c r="AI102" i="36" s="1"/>
  <c r="AJ102" i="36" s="1"/>
  <c r="T47" i="36" s="1"/>
  <c r="U47" i="36" s="1"/>
  <c r="V47" i="36" s="1"/>
  <c r="X47" i="36" s="1"/>
  <c r="L95" i="36"/>
  <c r="M95" i="36" s="1"/>
  <c r="N95" i="36" s="1"/>
  <c r="O95" i="36" s="1"/>
  <c r="P95" i="36" s="1"/>
  <c r="Q95" i="36" s="1"/>
  <c r="R95" i="36" s="1"/>
  <c r="S95" i="36" s="1"/>
  <c r="T95" i="36" s="1"/>
  <c r="U95" i="36" s="1"/>
  <c r="V95" i="36" s="1"/>
  <c r="W95" i="36" s="1"/>
  <c r="X95" i="36" s="1"/>
  <c r="Y95" i="36" s="1"/>
  <c r="Z95" i="36" s="1"/>
  <c r="AA95" i="36" s="1"/>
  <c r="AB95" i="36" s="1"/>
  <c r="AC95" i="36" s="1"/>
  <c r="AD95" i="36" s="1"/>
  <c r="AE95" i="36" s="1"/>
  <c r="AF95" i="36" s="1"/>
  <c r="AG95" i="36" s="1"/>
  <c r="AH95" i="36" s="1"/>
  <c r="AI95" i="36" s="1"/>
  <c r="AJ95" i="36" s="1"/>
  <c r="T40" i="36" s="1"/>
  <c r="AD43" i="36"/>
  <c r="K73" i="36"/>
  <c r="AE44" i="36"/>
  <c r="AD29" i="36"/>
  <c r="AE29" i="36" s="1"/>
  <c r="AD47" i="36"/>
  <c r="S30" i="37"/>
  <c r="L76" i="37"/>
  <c r="M76" i="37" s="1"/>
  <c r="N76" i="37" s="1"/>
  <c r="O76" i="37" s="1"/>
  <c r="P76" i="37" s="1"/>
  <c r="Q76" i="37" s="1"/>
  <c r="R76" i="37" s="1"/>
  <c r="S76" i="37" s="1"/>
  <c r="T76" i="37" s="1"/>
  <c r="U76" i="37" s="1"/>
  <c r="V76" i="37" s="1"/>
  <c r="W76" i="37" s="1"/>
  <c r="X76" i="37" s="1"/>
  <c r="Y76" i="37" s="1"/>
  <c r="Z76" i="37" s="1"/>
  <c r="AA76" i="37" s="1"/>
  <c r="AB76" i="37" s="1"/>
  <c r="AC76" i="37" s="1"/>
  <c r="AD76" i="37" s="1"/>
  <c r="AE76" i="37" s="1"/>
  <c r="AF76" i="37" s="1"/>
  <c r="AG76" i="37" s="1"/>
  <c r="AH76" i="37" s="1"/>
  <c r="AI76" i="37" s="1"/>
  <c r="AJ76" i="37" s="1"/>
  <c r="T21" i="37" s="1"/>
  <c r="AE35" i="37"/>
  <c r="K61" i="37"/>
  <c r="L61" i="37" s="1"/>
  <c r="M61" i="37" s="1"/>
  <c r="N61" i="37" s="1"/>
  <c r="O61" i="37" s="1"/>
  <c r="P61" i="37" s="1"/>
  <c r="Q61" i="37" s="1"/>
  <c r="R61" i="37" s="1"/>
  <c r="S61" i="37" s="1"/>
  <c r="T61" i="37" s="1"/>
  <c r="U61" i="37" s="1"/>
  <c r="V61" i="37" s="1"/>
  <c r="W61" i="37" s="1"/>
  <c r="X61" i="37" s="1"/>
  <c r="Y61" i="37" s="1"/>
  <c r="Z61" i="37" s="1"/>
  <c r="AA61" i="37" s="1"/>
  <c r="AB61" i="37" s="1"/>
  <c r="AC61" i="37" s="1"/>
  <c r="AD61" i="37" s="1"/>
  <c r="AE61" i="37" s="1"/>
  <c r="AF61" i="37" s="1"/>
  <c r="AG61" i="37" s="1"/>
  <c r="AH61" i="37" s="1"/>
  <c r="AI61" i="37" s="1"/>
  <c r="AJ61" i="37" s="1"/>
  <c r="T6" i="37" s="1"/>
  <c r="AD47" i="38"/>
  <c r="AE47" i="38" s="1"/>
  <c r="S25" i="38"/>
  <c r="AB25" i="38"/>
  <c r="AB15" i="38"/>
  <c r="S15" i="38"/>
  <c r="L70" i="38" s="1"/>
  <c r="M70" i="38" s="1"/>
  <c r="N70" i="38" s="1"/>
  <c r="O70" i="38" s="1"/>
  <c r="P70" i="38" s="1"/>
  <c r="Q70" i="38" s="1"/>
  <c r="R70" i="38" s="1"/>
  <c r="S70" i="38" s="1"/>
  <c r="T70" i="38" s="1"/>
  <c r="U70" i="38" s="1"/>
  <c r="V70" i="38" s="1"/>
  <c r="W70" i="38" s="1"/>
  <c r="X70" i="38" s="1"/>
  <c r="Y70" i="38" s="1"/>
  <c r="Z70" i="38" s="1"/>
  <c r="AA70" i="38" s="1"/>
  <c r="AB70" i="38" s="1"/>
  <c r="AC70" i="38" s="1"/>
  <c r="AD70" i="38" s="1"/>
  <c r="AE70" i="38" s="1"/>
  <c r="AF70" i="38" s="1"/>
  <c r="AG70" i="38" s="1"/>
  <c r="AH70" i="38" s="1"/>
  <c r="AI70" i="38" s="1"/>
  <c r="AJ70" i="38" s="1"/>
  <c r="T15" i="38" s="1"/>
  <c r="AD15" i="38"/>
  <c r="S30" i="38"/>
  <c r="AB30" i="38"/>
  <c r="AB10" i="38"/>
  <c r="S10" i="38"/>
  <c r="AD10" i="38"/>
  <c r="W53" i="38"/>
  <c r="AB12" i="38"/>
  <c r="S12" i="38"/>
  <c r="AD12" i="38"/>
  <c r="AE31" i="36"/>
  <c r="AE43" i="38"/>
  <c r="Y53" i="38"/>
  <c r="AB7" i="38"/>
  <c r="AD7" i="38"/>
  <c r="S7" i="38"/>
  <c r="AB51" i="38"/>
  <c r="AB9" i="38"/>
  <c r="S9" i="38"/>
  <c r="L64" i="38" s="1"/>
  <c r="M64" i="38" s="1"/>
  <c r="N64" i="38" s="1"/>
  <c r="O64" i="38" s="1"/>
  <c r="P64" i="38" s="1"/>
  <c r="Q64" i="38" s="1"/>
  <c r="R64" i="38" s="1"/>
  <c r="S64" i="38" s="1"/>
  <c r="T64" i="38" s="1"/>
  <c r="U64" i="38" s="1"/>
  <c r="V64" i="38" s="1"/>
  <c r="W64" i="38" s="1"/>
  <c r="X64" i="38" s="1"/>
  <c r="Y64" i="38" s="1"/>
  <c r="Z64" i="38" s="1"/>
  <c r="AA64" i="38" s="1"/>
  <c r="AB64" i="38" s="1"/>
  <c r="AC64" i="38" s="1"/>
  <c r="AD64" i="38" s="1"/>
  <c r="AE64" i="38" s="1"/>
  <c r="AF64" i="38" s="1"/>
  <c r="AG64" i="38" s="1"/>
  <c r="AH64" i="38" s="1"/>
  <c r="AI64" i="38" s="1"/>
  <c r="AJ64" i="38" s="1"/>
  <c r="T9" i="38" s="1"/>
  <c r="AD9" i="38"/>
  <c r="AB18" i="38"/>
  <c r="AD8" i="36"/>
  <c r="AE8" i="36" s="1"/>
  <c r="S5" i="36"/>
  <c r="AD7" i="36"/>
  <c r="AE7" i="36" s="1"/>
  <c r="AD5" i="36"/>
  <c r="AE5" i="36" s="1"/>
  <c r="L66" i="37"/>
  <c r="M66" i="37" s="1"/>
  <c r="N66" i="37" s="1"/>
  <c r="O66" i="37" s="1"/>
  <c r="P66" i="37" s="1"/>
  <c r="Q66" i="37" s="1"/>
  <c r="R66" i="37" s="1"/>
  <c r="S66" i="37" s="1"/>
  <c r="L106" i="37"/>
  <c r="M106" i="37" s="1"/>
  <c r="N106" i="37" s="1"/>
  <c r="O106" i="37" s="1"/>
  <c r="P106" i="37" s="1"/>
  <c r="Q106" i="37" s="1"/>
  <c r="R106" i="37" s="1"/>
  <c r="S106" i="37" s="1"/>
  <c r="T106" i="37" s="1"/>
  <c r="U106" i="37" s="1"/>
  <c r="V106" i="37" s="1"/>
  <c r="W106" i="37" s="1"/>
  <c r="X106" i="37" s="1"/>
  <c r="Y106" i="37" s="1"/>
  <c r="Z106" i="37" s="1"/>
  <c r="AA106" i="37" s="1"/>
  <c r="AB106" i="37" s="1"/>
  <c r="AC106" i="37" s="1"/>
  <c r="AD106" i="37" s="1"/>
  <c r="AE106" i="37" s="1"/>
  <c r="AF106" i="37" s="1"/>
  <c r="AG106" i="37" s="1"/>
  <c r="AH106" i="37" s="1"/>
  <c r="AI106" i="37" s="1"/>
  <c r="AJ106" i="37" s="1"/>
  <c r="T51" i="37" s="1"/>
  <c r="L63" i="37"/>
  <c r="M63" i="37" s="1"/>
  <c r="N63" i="37" s="1"/>
  <c r="O63" i="37" s="1"/>
  <c r="P63" i="37" s="1"/>
  <c r="Q63" i="37" s="1"/>
  <c r="R63" i="37" s="1"/>
  <c r="S63" i="37" s="1"/>
  <c r="T63" i="37" s="1"/>
  <c r="U63" i="37" s="1"/>
  <c r="V63" i="37" s="1"/>
  <c r="W63" i="37" s="1"/>
  <c r="X63" i="37" s="1"/>
  <c r="Y63" i="37" s="1"/>
  <c r="Z63" i="37" s="1"/>
  <c r="AA63" i="37" s="1"/>
  <c r="AB63" i="37" s="1"/>
  <c r="AC63" i="37" s="1"/>
  <c r="AD63" i="37" s="1"/>
  <c r="AE63" i="37" s="1"/>
  <c r="AF63" i="37" s="1"/>
  <c r="AG63" i="37" s="1"/>
  <c r="AH63" i="37" s="1"/>
  <c r="AI63" i="37" s="1"/>
  <c r="AJ63" i="37" s="1"/>
  <c r="T8" i="37" s="1"/>
  <c r="S19" i="38"/>
  <c r="AB19" i="38"/>
  <c r="AE19" i="38" s="1"/>
  <c r="AB14" i="38"/>
  <c r="AD14" i="38"/>
  <c r="S14" i="38"/>
  <c r="AB6" i="38"/>
  <c r="AD6" i="38"/>
  <c r="S6" i="38"/>
  <c r="AD51" i="38"/>
  <c r="AB16" i="38"/>
  <c r="S16" i="38"/>
  <c r="AD16" i="38"/>
  <c r="AB8" i="38"/>
  <c r="AD8" i="38"/>
  <c r="S8" i="38"/>
  <c r="L63" i="38" s="1"/>
  <c r="M63" i="38" s="1"/>
  <c r="N63" i="38" s="1"/>
  <c r="O63" i="38" s="1"/>
  <c r="P63" i="38" s="1"/>
  <c r="Q63" i="38" s="1"/>
  <c r="R63" i="38" s="1"/>
  <c r="S63" i="38" s="1"/>
  <c r="T63" i="38" s="1"/>
  <c r="U63" i="38" s="1"/>
  <c r="V63" i="38" s="1"/>
  <c r="W63" i="38" s="1"/>
  <c r="X63" i="38" s="1"/>
  <c r="Y63" i="38" s="1"/>
  <c r="Z63" i="38" s="1"/>
  <c r="AA63" i="38" s="1"/>
  <c r="AB63" i="38" s="1"/>
  <c r="AC63" i="38" s="1"/>
  <c r="AD63" i="38" s="1"/>
  <c r="AE63" i="38" s="1"/>
  <c r="AF63" i="38" s="1"/>
  <c r="AG63" i="38" s="1"/>
  <c r="AH63" i="38" s="1"/>
  <c r="AI63" i="38" s="1"/>
  <c r="AJ63" i="38" s="1"/>
  <c r="T8" i="38" s="1"/>
  <c r="W8" i="38" s="1"/>
  <c r="K98" i="36"/>
  <c r="K91" i="36"/>
  <c r="S24" i="36"/>
  <c r="K84" i="36"/>
  <c r="AE16" i="36"/>
  <c r="K62" i="36"/>
  <c r="L62" i="36" s="1"/>
  <c r="M62" i="36" s="1"/>
  <c r="AD18" i="36"/>
  <c r="AE18" i="36" s="1"/>
  <c r="S7" i="37"/>
  <c r="L97" i="37"/>
  <c r="M97" i="37" s="1"/>
  <c r="N97" i="37" s="1"/>
  <c r="O97" i="37" s="1"/>
  <c r="P97" i="37" s="1"/>
  <c r="Q97" i="37" s="1"/>
  <c r="R97" i="37" s="1"/>
  <c r="S97" i="37" s="1"/>
  <c r="T97" i="37" s="1"/>
  <c r="U97" i="37" s="1"/>
  <c r="V97" i="37" s="1"/>
  <c r="W97" i="37" s="1"/>
  <c r="X97" i="37" s="1"/>
  <c r="Y97" i="37" s="1"/>
  <c r="Z97" i="37" s="1"/>
  <c r="AA97" i="37" s="1"/>
  <c r="AB97" i="37" s="1"/>
  <c r="AC97" i="37" s="1"/>
  <c r="AD97" i="37" s="1"/>
  <c r="AE97" i="37" s="1"/>
  <c r="AF97" i="37" s="1"/>
  <c r="AG97" i="37" s="1"/>
  <c r="AH97" i="37" s="1"/>
  <c r="L102" i="37"/>
  <c r="M102" i="37" s="1"/>
  <c r="N102" i="37" s="1"/>
  <c r="O102" i="37" s="1"/>
  <c r="P102" i="37" s="1"/>
  <c r="Q102" i="37" s="1"/>
  <c r="R102" i="37" s="1"/>
  <c r="S102" i="37" s="1"/>
  <c r="T102" i="37" s="1"/>
  <c r="U102" i="37" s="1"/>
  <c r="V102" i="37" s="1"/>
  <c r="W102" i="37" s="1"/>
  <c r="X102" i="37" s="1"/>
  <c r="Y102" i="37" s="1"/>
  <c r="Z102" i="37" s="1"/>
  <c r="AA102" i="37" s="1"/>
  <c r="AB102" i="37" s="1"/>
  <c r="AC102" i="37" s="1"/>
  <c r="AD102" i="37" s="1"/>
  <c r="AE102" i="37" s="1"/>
  <c r="AF102" i="37" s="1"/>
  <c r="AG102" i="37" s="1"/>
  <c r="AH102" i="37" s="1"/>
  <c r="AI102" i="37" s="1"/>
  <c r="AJ102" i="37" s="1"/>
  <c r="T47" i="37" s="1"/>
  <c r="L99" i="37"/>
  <c r="M99" i="37" s="1"/>
  <c r="N99" i="37" s="1"/>
  <c r="O99" i="37" s="1"/>
  <c r="P99" i="37" s="1"/>
  <c r="Q99" i="37" s="1"/>
  <c r="R99" i="37" s="1"/>
  <c r="S99" i="37" s="1"/>
  <c r="T99" i="37" s="1"/>
  <c r="U99" i="37" s="1"/>
  <c r="V99" i="37" s="1"/>
  <c r="W99" i="37" s="1"/>
  <c r="X99" i="37" s="1"/>
  <c r="Y99" i="37" s="1"/>
  <c r="Z99" i="37" s="1"/>
  <c r="AA99" i="37" s="1"/>
  <c r="AB99" i="37" s="1"/>
  <c r="AC99" i="37" s="1"/>
  <c r="AD99" i="37" s="1"/>
  <c r="AE99" i="37" s="1"/>
  <c r="AF99" i="37" s="1"/>
  <c r="AG99" i="37" s="1"/>
  <c r="AH99" i="37" s="1"/>
  <c r="AI99" i="37" s="1"/>
  <c r="AJ99" i="37" s="1"/>
  <c r="T44" i="37" s="1"/>
  <c r="L103" i="37"/>
  <c r="M103" i="37" s="1"/>
  <c r="N103" i="37" s="1"/>
  <c r="O103" i="37" s="1"/>
  <c r="P103" i="37" s="1"/>
  <c r="Q103" i="37" s="1"/>
  <c r="R103" i="37" s="1"/>
  <c r="S103" i="37" s="1"/>
  <c r="T103" i="37" s="1"/>
  <c r="U103" i="37" s="1"/>
  <c r="V103" i="37" s="1"/>
  <c r="W103" i="37" s="1"/>
  <c r="X103" i="37" s="1"/>
  <c r="Y103" i="37" s="1"/>
  <c r="Z103" i="37" s="1"/>
  <c r="AA103" i="37" s="1"/>
  <c r="AB103" i="37" s="1"/>
  <c r="AC103" i="37" s="1"/>
  <c r="AD103" i="37" s="1"/>
  <c r="AE103" i="37" s="1"/>
  <c r="AF103" i="37" s="1"/>
  <c r="AG103" i="37" s="1"/>
  <c r="AH103" i="37" s="1"/>
  <c r="AI103" i="37" s="1"/>
  <c r="AJ103" i="37" s="1"/>
  <c r="T48" i="37" s="1"/>
  <c r="AB11" i="38"/>
  <c r="S11" i="38"/>
  <c r="AD11" i="38"/>
  <c r="AB13" i="38"/>
  <c r="S13" i="38"/>
  <c r="AD13" i="38"/>
  <c r="AB5" i="38"/>
  <c r="AD5" i="38"/>
  <c r="AE5" i="38" s="1"/>
  <c r="AD12" i="37"/>
  <c r="AE6" i="38"/>
  <c r="AE51" i="38"/>
  <c r="AE14" i="38"/>
  <c r="AE10" i="38"/>
  <c r="AE53" i="38"/>
  <c r="AE11" i="38"/>
  <c r="AE52" i="38"/>
  <c r="AE13" i="38"/>
  <c r="AE9" i="38"/>
  <c r="AE7" i="38"/>
  <c r="AE16" i="38"/>
  <c r="AE12" i="38"/>
  <c r="AE8" i="38"/>
  <c r="AE15" i="38"/>
  <c r="U8" i="38"/>
  <c r="V8" i="38" s="1"/>
  <c r="X8" i="38" s="1"/>
  <c r="AE48" i="38"/>
  <c r="K104" i="38"/>
  <c r="K61" i="38"/>
  <c r="K87" i="38"/>
  <c r="AD17" i="38"/>
  <c r="AE17" i="38" s="1"/>
  <c r="AD36" i="38"/>
  <c r="K65" i="38"/>
  <c r="L77" i="38"/>
  <c r="M77" i="38" s="1"/>
  <c r="N77" i="38" s="1"/>
  <c r="O77" i="38" s="1"/>
  <c r="P77" i="38" s="1"/>
  <c r="Q77" i="38" s="1"/>
  <c r="R77" i="38" s="1"/>
  <c r="S77" i="38" s="1"/>
  <c r="T77" i="38" s="1"/>
  <c r="U77" i="38" s="1"/>
  <c r="V77" i="38" s="1"/>
  <c r="W77" i="38" s="1"/>
  <c r="X77" i="38" s="1"/>
  <c r="Y77" i="38" s="1"/>
  <c r="Z77" i="38" s="1"/>
  <c r="AA77" i="38" s="1"/>
  <c r="AB77" i="38" s="1"/>
  <c r="AC77" i="38" s="1"/>
  <c r="AD77" i="38" s="1"/>
  <c r="AE77" i="38" s="1"/>
  <c r="AF77" i="38" s="1"/>
  <c r="AG77" i="38" s="1"/>
  <c r="AH77" i="38" s="1"/>
  <c r="AI77" i="38" s="1"/>
  <c r="AJ77" i="38" s="1"/>
  <c r="T22" i="38" s="1"/>
  <c r="W22" i="38" s="1"/>
  <c r="L60" i="38"/>
  <c r="M60" i="38" s="1"/>
  <c r="N60" i="38" s="1"/>
  <c r="O60" i="38" s="1"/>
  <c r="P60" i="38" s="1"/>
  <c r="Q60" i="38" s="1"/>
  <c r="R60" i="38" s="1"/>
  <c r="S60" i="38" s="1"/>
  <c r="T60" i="38" s="1"/>
  <c r="U60" i="38" s="1"/>
  <c r="V60" i="38" s="1"/>
  <c r="W60" i="38" s="1"/>
  <c r="X60" i="38" s="1"/>
  <c r="Y60" i="38" s="1"/>
  <c r="Z60" i="38" s="1"/>
  <c r="AA60" i="38" s="1"/>
  <c r="AB60" i="38" s="1"/>
  <c r="AC60" i="38" s="1"/>
  <c r="AD60" i="38" s="1"/>
  <c r="AE60" i="38" s="1"/>
  <c r="AF60" i="38" s="1"/>
  <c r="AG60" i="38" s="1"/>
  <c r="AH60" i="38" s="1"/>
  <c r="AI60" i="38" s="1"/>
  <c r="AJ60" i="38" s="1"/>
  <c r="T5" i="38" s="1"/>
  <c r="L67" i="38"/>
  <c r="M67" i="38" s="1"/>
  <c r="N67" i="38" s="1"/>
  <c r="O67" i="38" s="1"/>
  <c r="P67" i="38" s="1"/>
  <c r="Q67" i="38" s="1"/>
  <c r="R67" i="38" s="1"/>
  <c r="S67" i="38" s="1"/>
  <c r="T67" i="38" s="1"/>
  <c r="U67" i="38" s="1"/>
  <c r="V67" i="38" s="1"/>
  <c r="W67" i="38" s="1"/>
  <c r="X67" i="38" s="1"/>
  <c r="Y67" i="38" s="1"/>
  <c r="Z67" i="38" s="1"/>
  <c r="AA67" i="38" s="1"/>
  <c r="AB67" i="38" s="1"/>
  <c r="AC67" i="38" s="1"/>
  <c r="AD67" i="38" s="1"/>
  <c r="AE67" i="38" s="1"/>
  <c r="AF67" i="38" s="1"/>
  <c r="AG67" i="38" s="1"/>
  <c r="AH67" i="38" s="1"/>
  <c r="L75" i="38"/>
  <c r="M75" i="38" s="1"/>
  <c r="N75" i="38" s="1"/>
  <c r="O75" i="38" s="1"/>
  <c r="P75" i="38" s="1"/>
  <c r="Q75" i="38" s="1"/>
  <c r="R75" i="38" s="1"/>
  <c r="S75" i="38" s="1"/>
  <c r="T75" i="38" s="1"/>
  <c r="U75" i="38" s="1"/>
  <c r="V75" i="38" s="1"/>
  <c r="W75" i="38" s="1"/>
  <c r="X75" i="38" s="1"/>
  <c r="Y75" i="38" s="1"/>
  <c r="Z75" i="38" s="1"/>
  <c r="AA75" i="38" s="1"/>
  <c r="AB75" i="38" s="1"/>
  <c r="AC75" i="38" s="1"/>
  <c r="AD75" i="38" s="1"/>
  <c r="AE75" i="38" s="1"/>
  <c r="AF75" i="38" s="1"/>
  <c r="AG75" i="38" s="1"/>
  <c r="AH75" i="38" s="1"/>
  <c r="AI75" i="38" s="1"/>
  <c r="AJ75" i="38" s="1"/>
  <c r="T20" i="38" s="1"/>
  <c r="W20" i="38" s="1"/>
  <c r="L61" i="38"/>
  <c r="M61" i="38" s="1"/>
  <c r="N61" i="38" s="1"/>
  <c r="O61" i="38" s="1"/>
  <c r="P61" i="38" s="1"/>
  <c r="Q61" i="38" s="1"/>
  <c r="R61" i="38" s="1"/>
  <c r="S61" i="38" s="1"/>
  <c r="T61" i="38" s="1"/>
  <c r="U61" i="38" s="1"/>
  <c r="V61" i="38" s="1"/>
  <c r="W61" i="38" s="1"/>
  <c r="X61" i="38" s="1"/>
  <c r="Y61" i="38" s="1"/>
  <c r="Z61" i="38" s="1"/>
  <c r="AA61" i="38" s="1"/>
  <c r="AB61" i="38" s="1"/>
  <c r="AC61" i="38" s="1"/>
  <c r="AD61" i="38" s="1"/>
  <c r="AE61" i="38" s="1"/>
  <c r="AF61" i="38" s="1"/>
  <c r="AG61" i="38" s="1"/>
  <c r="AH61" i="38" s="1"/>
  <c r="AI61" i="38" s="1"/>
  <c r="AJ61" i="38" s="1"/>
  <c r="T6" i="38" s="1"/>
  <c r="K85" i="38"/>
  <c r="L85" i="38" s="1"/>
  <c r="M85" i="38" s="1"/>
  <c r="N85" i="38" s="1"/>
  <c r="O85" i="38" s="1"/>
  <c r="P85" i="38" s="1"/>
  <c r="Q85" i="38" s="1"/>
  <c r="R85" i="38" s="1"/>
  <c r="S85" i="38" s="1"/>
  <c r="T85" i="38" s="1"/>
  <c r="U85" i="38" s="1"/>
  <c r="V85" i="38" s="1"/>
  <c r="W85" i="38" s="1"/>
  <c r="X85" i="38" s="1"/>
  <c r="Y85" i="38" s="1"/>
  <c r="Z85" i="38" s="1"/>
  <c r="AA85" i="38" s="1"/>
  <c r="AB85" i="38" s="1"/>
  <c r="AC85" i="38" s="1"/>
  <c r="AD85" i="38" s="1"/>
  <c r="AE85" i="38" s="1"/>
  <c r="AF85" i="38" s="1"/>
  <c r="AG85" i="38" s="1"/>
  <c r="AH85" i="38" s="1"/>
  <c r="AI85" i="38" s="1"/>
  <c r="AJ85" i="38" s="1"/>
  <c r="T30" i="38" s="1"/>
  <c r="K100" i="38"/>
  <c r="L100" i="38" s="1"/>
  <c r="M100" i="38" s="1"/>
  <c r="N100" i="38" s="1"/>
  <c r="O100" i="38" s="1"/>
  <c r="P100" i="38" s="1"/>
  <c r="Q100" i="38" s="1"/>
  <c r="R100" i="38" s="1"/>
  <c r="S100" i="38" s="1"/>
  <c r="T100" i="38" s="1"/>
  <c r="U100" i="38" s="1"/>
  <c r="V100" i="38" s="1"/>
  <c r="W100" i="38" s="1"/>
  <c r="X100" i="38" s="1"/>
  <c r="Y100" i="38" s="1"/>
  <c r="Z100" i="38" s="1"/>
  <c r="AA100" i="38" s="1"/>
  <c r="AB100" i="38" s="1"/>
  <c r="AC100" i="38" s="1"/>
  <c r="AD100" i="38" s="1"/>
  <c r="AE100" i="38" s="1"/>
  <c r="AF100" i="38" s="1"/>
  <c r="AG100" i="38" s="1"/>
  <c r="AH100" i="38" s="1"/>
  <c r="AI100" i="38" s="1"/>
  <c r="AJ100" i="38" s="1"/>
  <c r="T45" i="38" s="1"/>
  <c r="L69" i="38"/>
  <c r="M69" i="38" s="1"/>
  <c r="N69" i="38" s="1"/>
  <c r="O69" i="38" s="1"/>
  <c r="P69" i="38" s="1"/>
  <c r="Q69" i="38" s="1"/>
  <c r="R69" i="38" s="1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D69" i="38" s="1"/>
  <c r="AE69" i="38" s="1"/>
  <c r="AF69" i="38" s="1"/>
  <c r="AG69" i="38" s="1"/>
  <c r="AH69" i="38" s="1"/>
  <c r="AI69" i="38" s="1"/>
  <c r="AJ69" i="38" s="1"/>
  <c r="T14" i="38" s="1"/>
  <c r="K95" i="38"/>
  <c r="L95" i="38" s="1"/>
  <c r="M95" i="38" s="1"/>
  <c r="N95" i="38" s="1"/>
  <c r="O95" i="38" s="1"/>
  <c r="P95" i="38" s="1"/>
  <c r="Q95" i="38" s="1"/>
  <c r="R95" i="38" s="1"/>
  <c r="S95" i="38" s="1"/>
  <c r="T95" i="38" s="1"/>
  <c r="U95" i="38" s="1"/>
  <c r="V95" i="38" s="1"/>
  <c r="W95" i="38" s="1"/>
  <c r="X95" i="38" s="1"/>
  <c r="Y95" i="38" s="1"/>
  <c r="Z95" i="38" s="1"/>
  <c r="AA95" i="38" s="1"/>
  <c r="AB95" i="38" s="1"/>
  <c r="AC95" i="38" s="1"/>
  <c r="AD95" i="38" s="1"/>
  <c r="AE95" i="38" s="1"/>
  <c r="AF95" i="38" s="1"/>
  <c r="AG95" i="38" s="1"/>
  <c r="AH95" i="38" s="1"/>
  <c r="AI95" i="38" s="1"/>
  <c r="AJ95" i="38" s="1"/>
  <c r="T40" i="38" s="1"/>
  <c r="L106" i="38"/>
  <c r="M106" i="38" s="1"/>
  <c r="N106" i="38" s="1"/>
  <c r="O106" i="38" s="1"/>
  <c r="P106" i="38" s="1"/>
  <c r="Q106" i="38" s="1"/>
  <c r="R106" i="38" s="1"/>
  <c r="S106" i="38" s="1"/>
  <c r="T106" i="38" s="1"/>
  <c r="U106" i="38" s="1"/>
  <c r="V106" i="38" s="1"/>
  <c r="W106" i="38" s="1"/>
  <c r="X106" i="38" s="1"/>
  <c r="Y106" i="38" s="1"/>
  <c r="Z106" i="38" s="1"/>
  <c r="AA106" i="38" s="1"/>
  <c r="AB106" i="38" s="1"/>
  <c r="AC106" i="38" s="1"/>
  <c r="AD106" i="38" s="1"/>
  <c r="AE106" i="38" s="1"/>
  <c r="AF106" i="38" s="1"/>
  <c r="AG106" i="38" s="1"/>
  <c r="AH106" i="38" s="1"/>
  <c r="AI106" i="38" s="1"/>
  <c r="AJ106" i="38" s="1"/>
  <c r="T51" i="38" s="1"/>
  <c r="W51" i="38" s="1"/>
  <c r="AD46" i="38"/>
  <c r="K105" i="38"/>
  <c r="L104" i="38"/>
  <c r="M104" i="38" s="1"/>
  <c r="N104" i="38" s="1"/>
  <c r="O104" i="38" s="1"/>
  <c r="P104" i="38" s="1"/>
  <c r="Q104" i="38" s="1"/>
  <c r="R104" i="38" s="1"/>
  <c r="S104" i="38" s="1"/>
  <c r="T104" i="38" s="1"/>
  <c r="U104" i="38" s="1"/>
  <c r="V104" i="38" s="1"/>
  <c r="W104" i="38" s="1"/>
  <c r="X104" i="38" s="1"/>
  <c r="Y104" i="38" s="1"/>
  <c r="Z104" i="38" s="1"/>
  <c r="AA104" i="38" s="1"/>
  <c r="AB104" i="38" s="1"/>
  <c r="AC104" i="38" s="1"/>
  <c r="AD104" i="38" s="1"/>
  <c r="AE104" i="38" s="1"/>
  <c r="AF104" i="38" s="1"/>
  <c r="AG104" i="38" s="1"/>
  <c r="AH104" i="38" s="1"/>
  <c r="AI104" i="38" s="1"/>
  <c r="AJ104" i="38" s="1"/>
  <c r="T49" i="38" s="1"/>
  <c r="U49" i="38" s="1"/>
  <c r="V49" i="38" s="1"/>
  <c r="X49" i="38" s="1"/>
  <c r="K101" i="38"/>
  <c r="L101" i="38" s="1"/>
  <c r="M101" i="38" s="1"/>
  <c r="N101" i="38" s="1"/>
  <c r="O101" i="38" s="1"/>
  <c r="P101" i="38" s="1"/>
  <c r="Q101" i="38" s="1"/>
  <c r="R101" i="38" s="1"/>
  <c r="S101" i="38" s="1"/>
  <c r="T101" i="38" s="1"/>
  <c r="U101" i="38" s="1"/>
  <c r="V101" i="38" s="1"/>
  <c r="W101" i="38" s="1"/>
  <c r="X101" i="38" s="1"/>
  <c r="Y101" i="38" s="1"/>
  <c r="Z101" i="38" s="1"/>
  <c r="AA101" i="38" s="1"/>
  <c r="AB101" i="38" s="1"/>
  <c r="AC101" i="38" s="1"/>
  <c r="AD101" i="38" s="1"/>
  <c r="AE101" i="38" s="1"/>
  <c r="AF101" i="38" s="1"/>
  <c r="AG101" i="38" s="1"/>
  <c r="AH101" i="38" s="1"/>
  <c r="AI101" i="38" s="1"/>
  <c r="AJ101" i="38" s="1"/>
  <c r="T46" i="38" s="1"/>
  <c r="L65" i="38"/>
  <c r="M65" i="38" s="1"/>
  <c r="N65" i="38" s="1"/>
  <c r="O65" i="38" s="1"/>
  <c r="P65" i="38" s="1"/>
  <c r="Q65" i="38" s="1"/>
  <c r="R65" i="38" s="1"/>
  <c r="S65" i="38" s="1"/>
  <c r="T65" i="38" s="1"/>
  <c r="U65" i="38" s="1"/>
  <c r="V65" i="38" s="1"/>
  <c r="W65" i="38" s="1"/>
  <c r="X65" i="38" s="1"/>
  <c r="Y65" i="38" s="1"/>
  <c r="Z65" i="38" s="1"/>
  <c r="AA65" i="38" s="1"/>
  <c r="AB65" i="38" s="1"/>
  <c r="AC65" i="38" s="1"/>
  <c r="AD65" i="38" s="1"/>
  <c r="AE65" i="38" s="1"/>
  <c r="AF65" i="38" s="1"/>
  <c r="AG65" i="38" s="1"/>
  <c r="AH65" i="38" s="1"/>
  <c r="AI65" i="38" s="1"/>
  <c r="AJ65" i="38" s="1"/>
  <c r="T10" i="38" s="1"/>
  <c r="K76" i="38"/>
  <c r="L76" i="38" s="1"/>
  <c r="M76" i="38" s="1"/>
  <c r="N76" i="38" s="1"/>
  <c r="O76" i="38" s="1"/>
  <c r="P76" i="38" s="1"/>
  <c r="Q76" i="38" s="1"/>
  <c r="R76" i="38" s="1"/>
  <c r="S76" i="38" s="1"/>
  <c r="T76" i="38" s="1"/>
  <c r="U76" i="38" s="1"/>
  <c r="V76" i="38" s="1"/>
  <c r="W76" i="38" s="1"/>
  <c r="X76" i="38" s="1"/>
  <c r="Y76" i="38" s="1"/>
  <c r="Z76" i="38" s="1"/>
  <c r="AA76" i="38" s="1"/>
  <c r="AB76" i="38" s="1"/>
  <c r="AC76" i="38" s="1"/>
  <c r="AD76" i="38" s="1"/>
  <c r="AE76" i="38" s="1"/>
  <c r="AF76" i="38" s="1"/>
  <c r="AG76" i="38" s="1"/>
  <c r="AH76" i="38" s="1"/>
  <c r="AI76" i="38" s="1"/>
  <c r="AJ76" i="38" s="1"/>
  <c r="T21" i="38" s="1"/>
  <c r="L90" i="38"/>
  <c r="M90" i="38" s="1"/>
  <c r="N90" i="38" s="1"/>
  <c r="O90" i="38" s="1"/>
  <c r="P90" i="38" s="1"/>
  <c r="Q90" i="38" s="1"/>
  <c r="R90" i="38" s="1"/>
  <c r="S90" i="38" s="1"/>
  <c r="T90" i="38" s="1"/>
  <c r="U90" i="38" s="1"/>
  <c r="V90" i="38" s="1"/>
  <c r="W90" i="38" s="1"/>
  <c r="X90" i="38" s="1"/>
  <c r="Y90" i="38" s="1"/>
  <c r="Z90" i="38" s="1"/>
  <c r="AA90" i="38" s="1"/>
  <c r="AB90" i="38" s="1"/>
  <c r="AC90" i="38" s="1"/>
  <c r="AD90" i="38" s="1"/>
  <c r="AE90" i="38" s="1"/>
  <c r="AF90" i="38" s="1"/>
  <c r="AG90" i="38" s="1"/>
  <c r="AH90" i="38" s="1"/>
  <c r="AI90" i="38" s="1"/>
  <c r="AJ90" i="38" s="1"/>
  <c r="T35" i="38" s="1"/>
  <c r="W35" i="38" s="1"/>
  <c r="AE27" i="38"/>
  <c r="K80" i="38"/>
  <c r="L80" i="38" s="1"/>
  <c r="M80" i="38" s="1"/>
  <c r="N80" i="38" s="1"/>
  <c r="O80" i="38" s="1"/>
  <c r="P80" i="38" s="1"/>
  <c r="Q80" i="38" s="1"/>
  <c r="R80" i="38" s="1"/>
  <c r="S80" i="38" s="1"/>
  <c r="T80" i="38" s="1"/>
  <c r="U80" i="38" s="1"/>
  <c r="V80" i="38" s="1"/>
  <c r="W80" i="38" s="1"/>
  <c r="X80" i="38" s="1"/>
  <c r="Y80" i="38" s="1"/>
  <c r="Z80" i="38" s="1"/>
  <c r="AA80" i="38" s="1"/>
  <c r="AB80" i="38" s="1"/>
  <c r="AC80" i="38" s="1"/>
  <c r="AD80" i="38" s="1"/>
  <c r="AE80" i="38" s="1"/>
  <c r="AF80" i="38" s="1"/>
  <c r="AG80" i="38" s="1"/>
  <c r="AH80" i="38" s="1"/>
  <c r="AI80" i="38" s="1"/>
  <c r="AJ80" i="38" s="1"/>
  <c r="T25" i="38" s="1"/>
  <c r="AE49" i="38"/>
  <c r="AE21" i="38"/>
  <c r="L102" i="38"/>
  <c r="M102" i="38" s="1"/>
  <c r="N102" i="38" s="1"/>
  <c r="O102" i="38" s="1"/>
  <c r="P102" i="38" s="1"/>
  <c r="Q102" i="38" s="1"/>
  <c r="R102" i="38" s="1"/>
  <c r="S102" i="38" s="1"/>
  <c r="T102" i="38" s="1"/>
  <c r="U102" i="38" s="1"/>
  <c r="V102" i="38" s="1"/>
  <c r="W102" i="38" s="1"/>
  <c r="X102" i="38" s="1"/>
  <c r="Y102" i="38" s="1"/>
  <c r="Z102" i="38" s="1"/>
  <c r="AA102" i="38" s="1"/>
  <c r="AB102" i="38" s="1"/>
  <c r="AC102" i="38" s="1"/>
  <c r="AD102" i="38" s="1"/>
  <c r="AE102" i="38" s="1"/>
  <c r="AF102" i="38" s="1"/>
  <c r="AG102" i="38" s="1"/>
  <c r="AH102" i="38" s="1"/>
  <c r="AI102" i="38" s="1"/>
  <c r="AJ102" i="38" s="1"/>
  <c r="T47" i="38" s="1"/>
  <c r="U47" i="38" s="1"/>
  <c r="V47" i="38" s="1"/>
  <c r="X47" i="38" s="1"/>
  <c r="AE25" i="36"/>
  <c r="AE15" i="37"/>
  <c r="AE4" i="37"/>
  <c r="AE39" i="37"/>
  <c r="W17" i="38"/>
  <c r="U17" i="38"/>
  <c r="V17" i="38" s="1"/>
  <c r="X17" i="38" s="1"/>
  <c r="W21" i="37"/>
  <c r="U21" i="37"/>
  <c r="V21" i="37" s="1"/>
  <c r="X21" i="37" s="1"/>
  <c r="W48" i="37"/>
  <c r="U48" i="37"/>
  <c r="V48" i="37" s="1"/>
  <c r="X48" i="37" s="1"/>
  <c r="U15" i="37"/>
  <c r="V15" i="37" s="1"/>
  <c r="X15" i="37" s="1"/>
  <c r="W15" i="37"/>
  <c r="W12" i="37"/>
  <c r="U12" i="37"/>
  <c r="V12" i="37" s="1"/>
  <c r="X12" i="37" s="1"/>
  <c r="Y12" i="37" s="1"/>
  <c r="W27" i="38"/>
  <c r="U27" i="38"/>
  <c r="V27" i="38" s="1"/>
  <c r="X27" i="38" s="1"/>
  <c r="U47" i="37"/>
  <c r="V47" i="37" s="1"/>
  <c r="X47" i="37" s="1"/>
  <c r="Y47" i="37" s="1"/>
  <c r="W47" i="37"/>
  <c r="U44" i="37"/>
  <c r="V44" i="37" s="1"/>
  <c r="X44" i="37" s="1"/>
  <c r="W44" i="37"/>
  <c r="U8" i="37"/>
  <c r="V8" i="37" s="1"/>
  <c r="X8" i="37" s="1"/>
  <c r="Y8" i="37" s="1"/>
  <c r="W8" i="37"/>
  <c r="W39" i="38"/>
  <c r="U39" i="38"/>
  <c r="V39" i="38" s="1"/>
  <c r="X39" i="38" s="1"/>
  <c r="U48" i="38"/>
  <c r="V48" i="38" s="1"/>
  <c r="X48" i="38" s="1"/>
  <c r="W48" i="38"/>
  <c r="U51" i="37"/>
  <c r="W51" i="37"/>
  <c r="Y51" i="37" s="1"/>
  <c r="AB32" i="38"/>
  <c r="AD32" i="38"/>
  <c r="AB23" i="38"/>
  <c r="AD23" i="38"/>
  <c r="AE36" i="38"/>
  <c r="Z41" i="37"/>
  <c r="AA41" i="37" s="1"/>
  <c r="AB41" i="37" s="1"/>
  <c r="Z26" i="37"/>
  <c r="AA26" i="37" s="1"/>
  <c r="Z31" i="38"/>
  <c r="AA31" i="38" s="1"/>
  <c r="AB31" i="38" s="1"/>
  <c r="Z18" i="38"/>
  <c r="AA18" i="38" s="1"/>
  <c r="AD40" i="38"/>
  <c r="AE40" i="38" s="1"/>
  <c r="AB4" i="38"/>
  <c r="K59" i="38"/>
  <c r="L59" i="38" s="1"/>
  <c r="M59" i="38" s="1"/>
  <c r="N59" i="38" s="1"/>
  <c r="O59" i="38" s="1"/>
  <c r="P59" i="38" s="1"/>
  <c r="Q59" i="38" s="1"/>
  <c r="R59" i="38" s="1"/>
  <c r="S59" i="38" s="1"/>
  <c r="T59" i="38" s="1"/>
  <c r="U59" i="38" s="1"/>
  <c r="V59" i="38" s="1"/>
  <c r="W59" i="38" s="1"/>
  <c r="X59" i="38" s="1"/>
  <c r="Y59" i="38" s="1"/>
  <c r="Z59" i="38" s="1"/>
  <c r="AA59" i="38" s="1"/>
  <c r="AB59" i="38" s="1"/>
  <c r="AC59" i="38" s="1"/>
  <c r="AD59" i="38" s="1"/>
  <c r="AE59" i="38" s="1"/>
  <c r="AF59" i="38" s="1"/>
  <c r="AG59" i="38" s="1"/>
  <c r="AH59" i="38" s="1"/>
  <c r="AI59" i="38" s="1"/>
  <c r="AJ59" i="38" s="1"/>
  <c r="T4" i="38" s="1"/>
  <c r="AD4" i="38"/>
  <c r="AB29" i="38"/>
  <c r="AE29" i="38" s="1"/>
  <c r="AD18" i="38"/>
  <c r="AE18" i="38" s="1"/>
  <c r="Z37" i="37"/>
  <c r="AA37" i="37" s="1"/>
  <c r="AB37" i="37" s="1"/>
  <c r="AD37" i="37"/>
  <c r="K89" i="37"/>
  <c r="AD26" i="37"/>
  <c r="L71" i="37"/>
  <c r="M71" i="37" s="1"/>
  <c r="N71" i="37" s="1"/>
  <c r="O71" i="37" s="1"/>
  <c r="P71" i="37" s="1"/>
  <c r="Q71" i="37" s="1"/>
  <c r="R71" i="37" s="1"/>
  <c r="S71" i="37" s="1"/>
  <c r="T71" i="37" s="1"/>
  <c r="U71" i="37" s="1"/>
  <c r="V71" i="37" s="1"/>
  <c r="W71" i="37" s="1"/>
  <c r="X71" i="37" s="1"/>
  <c r="Y71" i="37" s="1"/>
  <c r="Z71" i="37" s="1"/>
  <c r="AA71" i="37" s="1"/>
  <c r="AB71" i="37" s="1"/>
  <c r="AC71" i="37" s="1"/>
  <c r="AD71" i="37" s="1"/>
  <c r="AE71" i="37" s="1"/>
  <c r="AF71" i="37" s="1"/>
  <c r="AG71" i="37" s="1"/>
  <c r="AH71" i="37" s="1"/>
  <c r="AI71" i="37" s="1"/>
  <c r="AJ71" i="37" s="1"/>
  <c r="T16" i="37" s="1"/>
  <c r="AD19" i="37"/>
  <c r="AE19" i="37" s="1"/>
  <c r="Z19" i="37"/>
  <c r="AA19" i="37" s="1"/>
  <c r="AE27" i="37"/>
  <c r="AE17" i="37"/>
  <c r="AB7" i="37"/>
  <c r="AD5" i="37"/>
  <c r="K101" i="37"/>
  <c r="L101" i="37" s="1"/>
  <c r="M101" i="37" s="1"/>
  <c r="N101" i="37" s="1"/>
  <c r="O101" i="37" s="1"/>
  <c r="P101" i="37" s="1"/>
  <c r="Q101" i="37" s="1"/>
  <c r="R101" i="37" s="1"/>
  <c r="S101" i="37" s="1"/>
  <c r="T101" i="37" s="1"/>
  <c r="U101" i="37" s="1"/>
  <c r="V101" i="37" s="1"/>
  <c r="W101" i="37" s="1"/>
  <c r="X101" i="37" s="1"/>
  <c r="Y101" i="37" s="1"/>
  <c r="Z101" i="37" s="1"/>
  <c r="AA101" i="37" s="1"/>
  <c r="AB101" i="37" s="1"/>
  <c r="AC101" i="37" s="1"/>
  <c r="AD101" i="37" s="1"/>
  <c r="AE101" i="37" s="1"/>
  <c r="AF101" i="37" s="1"/>
  <c r="AG101" i="37" s="1"/>
  <c r="AH101" i="37" s="1"/>
  <c r="AI101" i="37" s="1"/>
  <c r="AJ101" i="37" s="1"/>
  <c r="T46" i="37" s="1"/>
  <c r="AD28" i="37"/>
  <c r="AE28" i="37" s="1"/>
  <c r="L72" i="37"/>
  <c r="M72" i="37" s="1"/>
  <c r="N72" i="37" s="1"/>
  <c r="O72" i="37" s="1"/>
  <c r="P72" i="37" s="1"/>
  <c r="Q72" i="37" s="1"/>
  <c r="R72" i="37" s="1"/>
  <c r="S72" i="37" s="1"/>
  <c r="T72" i="37" s="1"/>
  <c r="U72" i="37" s="1"/>
  <c r="V72" i="37" s="1"/>
  <c r="W72" i="37" s="1"/>
  <c r="X72" i="37" s="1"/>
  <c r="Y72" i="37" s="1"/>
  <c r="Z72" i="37" s="1"/>
  <c r="AA72" i="37" s="1"/>
  <c r="AB72" i="37" s="1"/>
  <c r="AC72" i="37" s="1"/>
  <c r="AD72" i="37" s="1"/>
  <c r="AE72" i="37" s="1"/>
  <c r="AF72" i="37" s="1"/>
  <c r="AG72" i="37" s="1"/>
  <c r="AH72" i="37" s="1"/>
  <c r="AI72" i="37" s="1"/>
  <c r="AJ72" i="37" s="1"/>
  <c r="T17" i="37" s="1"/>
  <c r="L93" i="38"/>
  <c r="M93" i="38" s="1"/>
  <c r="N93" i="38" s="1"/>
  <c r="O93" i="38" s="1"/>
  <c r="P93" i="38" s="1"/>
  <c r="Q93" i="38" s="1"/>
  <c r="R93" i="38" s="1"/>
  <c r="S93" i="38" s="1"/>
  <c r="T93" i="38" s="1"/>
  <c r="U93" i="38" s="1"/>
  <c r="V93" i="38" s="1"/>
  <c r="W93" i="38" s="1"/>
  <c r="X93" i="38" s="1"/>
  <c r="Y93" i="38" s="1"/>
  <c r="Z93" i="38" s="1"/>
  <c r="AA93" i="38" s="1"/>
  <c r="AB93" i="38" s="1"/>
  <c r="AC93" i="38" s="1"/>
  <c r="AD93" i="38" s="1"/>
  <c r="AE93" i="38" s="1"/>
  <c r="AF93" i="38" s="1"/>
  <c r="AG93" i="38" s="1"/>
  <c r="AH93" i="38" s="1"/>
  <c r="AI93" i="38" s="1"/>
  <c r="AJ93" i="38" s="1"/>
  <c r="T38" i="38" s="1"/>
  <c r="AB37" i="38"/>
  <c r="AD37" i="38"/>
  <c r="L92" i="38"/>
  <c r="M92" i="38" s="1"/>
  <c r="N92" i="38" s="1"/>
  <c r="O92" i="38" s="1"/>
  <c r="P92" i="38" s="1"/>
  <c r="Q92" i="38" s="1"/>
  <c r="R92" i="38" s="1"/>
  <c r="S92" i="38" s="1"/>
  <c r="T92" i="38" s="1"/>
  <c r="U92" i="38" s="1"/>
  <c r="V92" i="38" s="1"/>
  <c r="W92" i="38" s="1"/>
  <c r="X92" i="38" s="1"/>
  <c r="Y92" i="38" s="1"/>
  <c r="Z92" i="38" s="1"/>
  <c r="AA92" i="38" s="1"/>
  <c r="AB92" i="38" s="1"/>
  <c r="AC92" i="38" s="1"/>
  <c r="AD92" i="38" s="1"/>
  <c r="AE92" i="38" s="1"/>
  <c r="AF92" i="38" s="1"/>
  <c r="AG92" i="38" s="1"/>
  <c r="AH92" i="38" s="1"/>
  <c r="AI92" i="38" s="1"/>
  <c r="AJ92" i="38" s="1"/>
  <c r="T37" i="38" s="1"/>
  <c r="K78" i="38"/>
  <c r="L79" i="38"/>
  <c r="M79" i="38" s="1"/>
  <c r="N79" i="38" s="1"/>
  <c r="O79" i="38" s="1"/>
  <c r="P79" i="38" s="1"/>
  <c r="Q79" i="38" s="1"/>
  <c r="R79" i="38" s="1"/>
  <c r="S79" i="38" s="1"/>
  <c r="T79" i="38" s="1"/>
  <c r="U79" i="38" s="1"/>
  <c r="V79" i="38" s="1"/>
  <c r="W79" i="38" s="1"/>
  <c r="X79" i="38" s="1"/>
  <c r="Y79" i="38" s="1"/>
  <c r="Z79" i="38" s="1"/>
  <c r="AA79" i="38" s="1"/>
  <c r="AB79" i="38" s="1"/>
  <c r="AC79" i="38" s="1"/>
  <c r="AD79" i="38" s="1"/>
  <c r="AE79" i="38" s="1"/>
  <c r="AF79" i="38" s="1"/>
  <c r="AG79" i="38" s="1"/>
  <c r="AH79" i="38" s="1"/>
  <c r="AI79" i="38" s="1"/>
  <c r="AJ79" i="38" s="1"/>
  <c r="T24" i="38" s="1"/>
  <c r="K73" i="38"/>
  <c r="L73" i="38" s="1"/>
  <c r="M73" i="38" s="1"/>
  <c r="N73" i="38" s="1"/>
  <c r="O73" i="38" s="1"/>
  <c r="P73" i="38" s="1"/>
  <c r="Q73" i="38" s="1"/>
  <c r="R73" i="38" s="1"/>
  <c r="S73" i="38" s="1"/>
  <c r="T73" i="38" s="1"/>
  <c r="U73" i="38" s="1"/>
  <c r="V73" i="38" s="1"/>
  <c r="W73" i="38" s="1"/>
  <c r="X73" i="38" s="1"/>
  <c r="Y73" i="38" s="1"/>
  <c r="Z73" i="38" s="1"/>
  <c r="AA73" i="38" s="1"/>
  <c r="AB73" i="38" s="1"/>
  <c r="AC73" i="38" s="1"/>
  <c r="AD73" i="38" s="1"/>
  <c r="AE73" i="38" s="1"/>
  <c r="AF73" i="38" s="1"/>
  <c r="AG73" i="38" s="1"/>
  <c r="AH73" i="38" s="1"/>
  <c r="AI73" i="38" s="1"/>
  <c r="AJ73" i="38" s="1"/>
  <c r="T18" i="38" s="1"/>
  <c r="AE44" i="38"/>
  <c r="AD25" i="38"/>
  <c r="AE25" i="38" s="1"/>
  <c r="K68" i="38"/>
  <c r="L86" i="37"/>
  <c r="M86" i="37" s="1"/>
  <c r="N86" i="37" s="1"/>
  <c r="O86" i="37" s="1"/>
  <c r="P86" i="37" s="1"/>
  <c r="Q86" i="37" s="1"/>
  <c r="R86" i="37" s="1"/>
  <c r="S86" i="37" s="1"/>
  <c r="T86" i="37" s="1"/>
  <c r="U86" i="37" s="1"/>
  <c r="V86" i="37" s="1"/>
  <c r="W86" i="37" s="1"/>
  <c r="X86" i="37" s="1"/>
  <c r="Y86" i="37" s="1"/>
  <c r="Z86" i="37" s="1"/>
  <c r="AA86" i="37" s="1"/>
  <c r="AB86" i="37" s="1"/>
  <c r="AC86" i="37" s="1"/>
  <c r="AD86" i="37" s="1"/>
  <c r="AE86" i="37" s="1"/>
  <c r="AF86" i="37" s="1"/>
  <c r="AG86" i="37" s="1"/>
  <c r="AH86" i="37" s="1"/>
  <c r="AI86" i="37" s="1"/>
  <c r="AJ86" i="37" s="1"/>
  <c r="T31" i="37" s="1"/>
  <c r="L82" i="37"/>
  <c r="M82" i="37" s="1"/>
  <c r="N82" i="37" s="1"/>
  <c r="O82" i="37" s="1"/>
  <c r="P82" i="37" s="1"/>
  <c r="Q82" i="37" s="1"/>
  <c r="R82" i="37" s="1"/>
  <c r="S82" i="37" s="1"/>
  <c r="T82" i="37" s="1"/>
  <c r="U82" i="37" s="1"/>
  <c r="V82" i="37" s="1"/>
  <c r="W82" i="37" s="1"/>
  <c r="X82" i="37" s="1"/>
  <c r="Y82" i="37" s="1"/>
  <c r="Z82" i="37" s="1"/>
  <c r="AA82" i="37" s="1"/>
  <c r="AB82" i="37" s="1"/>
  <c r="AC82" i="37" s="1"/>
  <c r="AD82" i="37" s="1"/>
  <c r="AE82" i="37" s="1"/>
  <c r="AF82" i="37" s="1"/>
  <c r="AG82" i="37" s="1"/>
  <c r="AH82" i="37" s="1"/>
  <c r="AI82" i="37" s="1"/>
  <c r="AJ82" i="37" s="1"/>
  <c r="T27" i="37" s="1"/>
  <c r="S34" i="37"/>
  <c r="K65" i="37"/>
  <c r="L65" i="37" s="1"/>
  <c r="M65" i="37" s="1"/>
  <c r="N65" i="37" s="1"/>
  <c r="O65" i="37" s="1"/>
  <c r="P65" i="37" s="1"/>
  <c r="Q65" i="37" s="1"/>
  <c r="R65" i="37" s="1"/>
  <c r="S65" i="37" s="1"/>
  <c r="T65" i="37" s="1"/>
  <c r="U65" i="37" s="1"/>
  <c r="V65" i="37" s="1"/>
  <c r="W65" i="37" s="1"/>
  <c r="X65" i="37" s="1"/>
  <c r="Y65" i="37" s="1"/>
  <c r="Z65" i="37" s="1"/>
  <c r="AA65" i="37" s="1"/>
  <c r="AB65" i="37" s="1"/>
  <c r="AC65" i="37" s="1"/>
  <c r="AD65" i="37" s="1"/>
  <c r="AE65" i="37" s="1"/>
  <c r="AF65" i="37" s="1"/>
  <c r="AG65" i="37" s="1"/>
  <c r="AH65" i="37" s="1"/>
  <c r="AI65" i="37" s="1"/>
  <c r="AJ65" i="37" s="1"/>
  <c r="T10" i="37" s="1"/>
  <c r="AE26" i="38"/>
  <c r="L99" i="38"/>
  <c r="M99" i="38" s="1"/>
  <c r="N99" i="38" s="1"/>
  <c r="O99" i="38" s="1"/>
  <c r="P99" i="38" s="1"/>
  <c r="Q99" i="38" s="1"/>
  <c r="R99" i="38" s="1"/>
  <c r="S99" i="38" s="1"/>
  <c r="T99" i="38" s="1"/>
  <c r="U99" i="38" s="1"/>
  <c r="V99" i="38" s="1"/>
  <c r="W99" i="38" s="1"/>
  <c r="X99" i="38" s="1"/>
  <c r="Y99" i="38" s="1"/>
  <c r="Z99" i="38" s="1"/>
  <c r="AA99" i="38" s="1"/>
  <c r="AB99" i="38" s="1"/>
  <c r="AC99" i="38" s="1"/>
  <c r="AD99" i="38" s="1"/>
  <c r="AE99" i="38" s="1"/>
  <c r="AF99" i="38" s="1"/>
  <c r="AG99" i="38" s="1"/>
  <c r="AH99" i="38" s="1"/>
  <c r="AI99" i="38" s="1"/>
  <c r="AJ99" i="38" s="1"/>
  <c r="T44" i="38" s="1"/>
  <c r="K91" i="38"/>
  <c r="L91" i="38" s="1"/>
  <c r="M91" i="38" s="1"/>
  <c r="N91" i="38" s="1"/>
  <c r="O91" i="38" s="1"/>
  <c r="P91" i="38" s="1"/>
  <c r="Q91" i="38" s="1"/>
  <c r="R91" i="38" s="1"/>
  <c r="S91" i="38" s="1"/>
  <c r="T91" i="38" s="1"/>
  <c r="U91" i="38" s="1"/>
  <c r="V91" i="38" s="1"/>
  <c r="W91" i="38" s="1"/>
  <c r="X91" i="38" s="1"/>
  <c r="Y91" i="38" s="1"/>
  <c r="Z91" i="38" s="1"/>
  <c r="AA91" i="38" s="1"/>
  <c r="AB91" i="38" s="1"/>
  <c r="AC91" i="38" s="1"/>
  <c r="AD91" i="38" s="1"/>
  <c r="AE91" i="38" s="1"/>
  <c r="AF91" i="38" s="1"/>
  <c r="AG91" i="38" s="1"/>
  <c r="AH91" i="38" s="1"/>
  <c r="AI91" i="38" s="1"/>
  <c r="AJ91" i="38" s="1"/>
  <c r="T36" i="38" s="1"/>
  <c r="AD31" i="38"/>
  <c r="AD24" i="38"/>
  <c r="AE24" i="38" s="1"/>
  <c r="K105" i="37"/>
  <c r="L105" i="37" s="1"/>
  <c r="M105" i="37" s="1"/>
  <c r="N105" i="37" s="1"/>
  <c r="O105" i="37" s="1"/>
  <c r="P105" i="37" s="1"/>
  <c r="Q105" i="37" s="1"/>
  <c r="R105" i="37" s="1"/>
  <c r="S105" i="37" s="1"/>
  <c r="T105" i="37" s="1"/>
  <c r="U105" i="37" s="1"/>
  <c r="V105" i="37" s="1"/>
  <c r="W105" i="37" s="1"/>
  <c r="X105" i="37" s="1"/>
  <c r="Y105" i="37" s="1"/>
  <c r="Z105" i="37" s="1"/>
  <c r="AA105" i="37" s="1"/>
  <c r="AB105" i="37" s="1"/>
  <c r="AC105" i="37" s="1"/>
  <c r="AD105" i="37" s="1"/>
  <c r="AE105" i="37" s="1"/>
  <c r="AF105" i="37" s="1"/>
  <c r="AG105" i="37" s="1"/>
  <c r="AH105" i="37" s="1"/>
  <c r="AI105" i="37" s="1"/>
  <c r="AJ105" i="37" s="1"/>
  <c r="T50" i="37" s="1"/>
  <c r="L94" i="37"/>
  <c r="M94" i="37" s="1"/>
  <c r="N94" i="37" s="1"/>
  <c r="O94" i="37" s="1"/>
  <c r="P94" i="37" s="1"/>
  <c r="Q94" i="37" s="1"/>
  <c r="R94" i="37" s="1"/>
  <c r="S94" i="37" s="1"/>
  <c r="T94" i="37" s="1"/>
  <c r="U94" i="37" s="1"/>
  <c r="V94" i="37" s="1"/>
  <c r="W94" i="37" s="1"/>
  <c r="X94" i="37" s="1"/>
  <c r="Y94" i="37" s="1"/>
  <c r="Z94" i="37" s="1"/>
  <c r="AA94" i="37" s="1"/>
  <c r="AB94" i="37" s="1"/>
  <c r="AC94" i="37" s="1"/>
  <c r="AD94" i="37" s="1"/>
  <c r="AE94" i="37" s="1"/>
  <c r="AF94" i="37" s="1"/>
  <c r="AG94" i="37" s="1"/>
  <c r="AH94" i="37" s="1"/>
  <c r="AI94" i="37" s="1"/>
  <c r="AJ94" i="37" s="1"/>
  <c r="T39" i="37" s="1"/>
  <c r="K62" i="37"/>
  <c r="L62" i="37" s="1"/>
  <c r="M62" i="37" s="1"/>
  <c r="N62" i="37" s="1"/>
  <c r="O62" i="37" s="1"/>
  <c r="P62" i="37" s="1"/>
  <c r="Q62" i="37" s="1"/>
  <c r="R62" i="37" s="1"/>
  <c r="S62" i="37" s="1"/>
  <c r="T62" i="37" s="1"/>
  <c r="U62" i="37" s="1"/>
  <c r="V62" i="37" s="1"/>
  <c r="W62" i="37" s="1"/>
  <c r="X62" i="37" s="1"/>
  <c r="Y62" i="37" s="1"/>
  <c r="Z62" i="37" s="1"/>
  <c r="AA62" i="37" s="1"/>
  <c r="AB62" i="37" s="1"/>
  <c r="AC62" i="37" s="1"/>
  <c r="AD62" i="37" s="1"/>
  <c r="AE62" i="37" s="1"/>
  <c r="AF62" i="37" s="1"/>
  <c r="AG62" i="37" s="1"/>
  <c r="AH62" i="37" s="1"/>
  <c r="AI62" i="37" s="1"/>
  <c r="AJ62" i="37" s="1"/>
  <c r="T7" i="37" s="1"/>
  <c r="AD49" i="37"/>
  <c r="Z49" i="37"/>
  <c r="AA49" i="37" s="1"/>
  <c r="AB49" i="37" s="1"/>
  <c r="K81" i="37"/>
  <c r="L81" i="37" s="1"/>
  <c r="M81" i="37" s="1"/>
  <c r="N81" i="37" s="1"/>
  <c r="O81" i="37" s="1"/>
  <c r="P81" i="37" s="1"/>
  <c r="Q81" i="37" s="1"/>
  <c r="R81" i="37" s="1"/>
  <c r="S81" i="37" s="1"/>
  <c r="T81" i="37" s="1"/>
  <c r="U81" i="37" s="1"/>
  <c r="V81" i="37" s="1"/>
  <c r="W81" i="37" s="1"/>
  <c r="X81" i="37" s="1"/>
  <c r="Y81" i="37" s="1"/>
  <c r="Z81" i="37" s="1"/>
  <c r="AA81" i="37" s="1"/>
  <c r="AB81" i="37" s="1"/>
  <c r="AC81" i="37" s="1"/>
  <c r="AD81" i="37" s="1"/>
  <c r="AE81" i="37" s="1"/>
  <c r="AF81" i="37" s="1"/>
  <c r="AG81" i="37" s="1"/>
  <c r="AH81" i="37" s="1"/>
  <c r="AI81" i="37" s="1"/>
  <c r="AJ81" i="37" s="1"/>
  <c r="T26" i="37" s="1"/>
  <c r="Q74" i="37"/>
  <c r="R74" i="37" s="1"/>
  <c r="S74" i="37" s="1"/>
  <c r="T74" i="37" s="1"/>
  <c r="U74" i="37" s="1"/>
  <c r="V74" i="37" s="1"/>
  <c r="Z18" i="37"/>
  <c r="AA18" i="37" s="1"/>
  <c r="AE35" i="38"/>
  <c r="AE20" i="38"/>
  <c r="AE36" i="37"/>
  <c r="Z34" i="37"/>
  <c r="AA34" i="37" s="1"/>
  <c r="AB30" i="37"/>
  <c r="K77" i="37"/>
  <c r="L77" i="37" s="1"/>
  <c r="M77" i="37" s="1"/>
  <c r="N77" i="37" s="1"/>
  <c r="O77" i="37" s="1"/>
  <c r="P77" i="37" s="1"/>
  <c r="Q77" i="37" s="1"/>
  <c r="R77" i="37" s="1"/>
  <c r="S77" i="37" s="1"/>
  <c r="T77" i="37" s="1"/>
  <c r="U77" i="37" s="1"/>
  <c r="V77" i="37" s="1"/>
  <c r="W77" i="37" s="1"/>
  <c r="X77" i="37" s="1"/>
  <c r="Y77" i="37" s="1"/>
  <c r="Z77" i="37" s="1"/>
  <c r="AA77" i="37" s="1"/>
  <c r="AB77" i="37" s="1"/>
  <c r="AC77" i="37" s="1"/>
  <c r="AD77" i="37" s="1"/>
  <c r="AE77" i="37" s="1"/>
  <c r="AF77" i="37" s="1"/>
  <c r="AG77" i="37" s="1"/>
  <c r="AH77" i="37" s="1"/>
  <c r="AI77" i="37" s="1"/>
  <c r="AJ77" i="37" s="1"/>
  <c r="T22" i="37" s="1"/>
  <c r="AC104" i="37"/>
  <c r="AD104" i="37" s="1"/>
  <c r="AE104" i="37" s="1"/>
  <c r="AF104" i="37" s="1"/>
  <c r="AG104" i="37" s="1"/>
  <c r="AH104" i="37" s="1"/>
  <c r="AI104" i="37" s="1"/>
  <c r="AJ104" i="37" s="1"/>
  <c r="T49" i="37" s="1"/>
  <c r="U49" i="37" s="1"/>
  <c r="V49" i="37" s="1"/>
  <c r="X49" i="37" s="1"/>
  <c r="AE43" i="37"/>
  <c r="K80" i="37"/>
  <c r="L80" i="37" s="1"/>
  <c r="M80" i="37" s="1"/>
  <c r="N80" i="37" s="1"/>
  <c r="O80" i="37" s="1"/>
  <c r="P80" i="37" s="1"/>
  <c r="Q80" i="37" s="1"/>
  <c r="R80" i="37" s="1"/>
  <c r="S80" i="37" s="1"/>
  <c r="T80" i="37" s="1"/>
  <c r="U80" i="37" s="1"/>
  <c r="V80" i="37" s="1"/>
  <c r="W80" i="37" s="1"/>
  <c r="X80" i="37" s="1"/>
  <c r="Y80" i="37" s="1"/>
  <c r="Z80" i="37" s="1"/>
  <c r="AA80" i="37" s="1"/>
  <c r="AB80" i="37" s="1"/>
  <c r="AC80" i="37" s="1"/>
  <c r="AD80" i="37" s="1"/>
  <c r="AE80" i="37" s="1"/>
  <c r="AB25" i="37"/>
  <c r="S25" i="37"/>
  <c r="AD25" i="37"/>
  <c r="AF80" i="37"/>
  <c r="AG80" i="37" s="1"/>
  <c r="AH80" i="37" s="1"/>
  <c r="AI80" i="37" s="1"/>
  <c r="AJ80" i="37" s="1"/>
  <c r="T25" i="37" s="1"/>
  <c r="AB11" i="37"/>
  <c r="AE11" i="37" s="1"/>
  <c r="T66" i="37"/>
  <c r="U66" i="37" s="1"/>
  <c r="V66" i="37" s="1"/>
  <c r="W66" i="37" s="1"/>
  <c r="X66" i="37" s="1"/>
  <c r="Y66" i="37" s="1"/>
  <c r="Z66" i="37" s="1"/>
  <c r="AA66" i="37" s="1"/>
  <c r="AB66" i="37" s="1"/>
  <c r="AC66" i="37" s="1"/>
  <c r="AD66" i="37" s="1"/>
  <c r="AE66" i="37" s="1"/>
  <c r="AF66" i="37" s="1"/>
  <c r="AG66" i="37" s="1"/>
  <c r="AH66" i="37" s="1"/>
  <c r="AI66" i="37" s="1"/>
  <c r="AJ66" i="37" s="1"/>
  <c r="T11" i="37" s="1"/>
  <c r="AD9" i="37"/>
  <c r="AE9" i="37" s="1"/>
  <c r="AE23" i="37"/>
  <c r="AB5" i="37"/>
  <c r="L59" i="37"/>
  <c r="M59" i="37" s="1"/>
  <c r="N59" i="37" s="1"/>
  <c r="O59" i="37" s="1"/>
  <c r="P59" i="37" s="1"/>
  <c r="Q59" i="37" s="1"/>
  <c r="R59" i="37" s="1"/>
  <c r="S59" i="37" s="1"/>
  <c r="T59" i="37" s="1"/>
  <c r="U59" i="37" s="1"/>
  <c r="V59" i="37" s="1"/>
  <c r="W59" i="37" s="1"/>
  <c r="X59" i="37" s="1"/>
  <c r="Y59" i="37" s="1"/>
  <c r="Z59" i="37" s="1"/>
  <c r="AA59" i="37" s="1"/>
  <c r="AB59" i="37" s="1"/>
  <c r="AC59" i="37" s="1"/>
  <c r="AD59" i="37" s="1"/>
  <c r="AE59" i="37" s="1"/>
  <c r="AF59" i="37" s="1"/>
  <c r="AG59" i="37" s="1"/>
  <c r="AH59" i="37" s="1"/>
  <c r="AI59" i="37" s="1"/>
  <c r="AJ59" i="37" s="1"/>
  <c r="T4" i="37" s="1"/>
  <c r="L87" i="37"/>
  <c r="M87" i="37" s="1"/>
  <c r="N87" i="37" s="1"/>
  <c r="O87" i="37" s="1"/>
  <c r="P87" i="37" s="1"/>
  <c r="Q87" i="37" s="1"/>
  <c r="R87" i="37" s="1"/>
  <c r="S87" i="37" s="1"/>
  <c r="T87" i="37" s="1"/>
  <c r="U87" i="37" s="1"/>
  <c r="V87" i="37" s="1"/>
  <c r="W87" i="37" s="1"/>
  <c r="X87" i="37" s="1"/>
  <c r="Y87" i="37" s="1"/>
  <c r="Z87" i="37" s="1"/>
  <c r="AA87" i="37" s="1"/>
  <c r="AB87" i="37" s="1"/>
  <c r="AC87" i="37" s="1"/>
  <c r="AD87" i="37" s="1"/>
  <c r="AE87" i="37" s="1"/>
  <c r="AF87" i="37" s="1"/>
  <c r="AG87" i="37" s="1"/>
  <c r="AH87" i="37" s="1"/>
  <c r="AI87" i="37" s="1"/>
  <c r="AJ87" i="37" s="1"/>
  <c r="T32" i="37" s="1"/>
  <c r="AE51" i="37"/>
  <c r="L78" i="37"/>
  <c r="M78" i="37" s="1"/>
  <c r="N78" i="37" s="1"/>
  <c r="O78" i="37" s="1"/>
  <c r="P78" i="37" s="1"/>
  <c r="Q78" i="37" s="1"/>
  <c r="R78" i="37" s="1"/>
  <c r="S78" i="37" s="1"/>
  <c r="T78" i="37" s="1"/>
  <c r="U78" i="37" s="1"/>
  <c r="V78" i="37" s="1"/>
  <c r="W78" i="37" s="1"/>
  <c r="X78" i="37" s="1"/>
  <c r="Y78" i="37" s="1"/>
  <c r="Z78" i="37" s="1"/>
  <c r="AA78" i="37" s="1"/>
  <c r="AB78" i="37" s="1"/>
  <c r="AC78" i="37" s="1"/>
  <c r="AD78" i="37" s="1"/>
  <c r="AE78" i="37" s="1"/>
  <c r="AF78" i="37" s="1"/>
  <c r="AG78" i="37" s="1"/>
  <c r="AH78" i="37" s="1"/>
  <c r="AI78" i="37" s="1"/>
  <c r="AJ78" i="37" s="1"/>
  <c r="T23" i="37" s="1"/>
  <c r="AB28" i="38"/>
  <c r="AD28" i="38"/>
  <c r="AB24" i="37"/>
  <c r="AD24" i="37"/>
  <c r="AE24" i="37" s="1"/>
  <c r="Z4" i="38"/>
  <c r="AA4" i="38" s="1"/>
  <c r="AD10" i="37"/>
  <c r="AE10" i="37" s="1"/>
  <c r="Z10" i="37"/>
  <c r="AA10" i="37" s="1"/>
  <c r="Z46" i="37"/>
  <c r="AA46" i="37" s="1"/>
  <c r="AB46" i="37" s="1"/>
  <c r="AE46" i="37" s="1"/>
  <c r="L91" i="37"/>
  <c r="M91" i="37" s="1"/>
  <c r="N91" i="37" s="1"/>
  <c r="O91" i="37" s="1"/>
  <c r="P91" i="37" s="1"/>
  <c r="Q91" i="37" s="1"/>
  <c r="R91" i="37" s="1"/>
  <c r="S91" i="37" s="1"/>
  <c r="T91" i="37" s="1"/>
  <c r="U91" i="37" s="1"/>
  <c r="V91" i="37" s="1"/>
  <c r="W91" i="37" s="1"/>
  <c r="X91" i="37" s="1"/>
  <c r="Y91" i="37" s="1"/>
  <c r="Z91" i="37" s="1"/>
  <c r="AA91" i="37" s="1"/>
  <c r="AB91" i="37" s="1"/>
  <c r="AC91" i="37" s="1"/>
  <c r="AD91" i="37" s="1"/>
  <c r="AE91" i="37" s="1"/>
  <c r="AF91" i="37" s="1"/>
  <c r="AG91" i="37" s="1"/>
  <c r="AH91" i="37" s="1"/>
  <c r="AI91" i="37" s="1"/>
  <c r="AJ91" i="37" s="1"/>
  <c r="T36" i="37" s="1"/>
  <c r="AB34" i="37"/>
  <c r="AE34" i="37" s="1"/>
  <c r="AD22" i="37"/>
  <c r="AE22" i="37" s="1"/>
  <c r="Z7" i="37"/>
  <c r="AA7" i="37" s="1"/>
  <c r="Z5" i="37"/>
  <c r="AA5" i="37" s="1"/>
  <c r="Z50" i="37"/>
  <c r="AA50" i="37" s="1"/>
  <c r="AB50" i="37" s="1"/>
  <c r="AE50" i="37" s="1"/>
  <c r="AD41" i="37"/>
  <c r="L105" i="38"/>
  <c r="M105" i="38" s="1"/>
  <c r="N105" i="38" s="1"/>
  <c r="O105" i="38" s="1"/>
  <c r="P105" i="38" s="1"/>
  <c r="Q105" i="38" s="1"/>
  <c r="R105" i="38" s="1"/>
  <c r="S105" i="38" s="1"/>
  <c r="T105" i="38" s="1"/>
  <c r="U105" i="38" s="1"/>
  <c r="V105" i="38" s="1"/>
  <c r="W105" i="38" s="1"/>
  <c r="X105" i="38" s="1"/>
  <c r="Y105" i="38" s="1"/>
  <c r="Z105" i="38" s="1"/>
  <c r="AA105" i="38" s="1"/>
  <c r="AB105" i="38" s="1"/>
  <c r="AC105" i="38" s="1"/>
  <c r="AD105" i="38" s="1"/>
  <c r="AE105" i="38" s="1"/>
  <c r="AF105" i="38" s="1"/>
  <c r="AG105" i="38" s="1"/>
  <c r="AH105" i="38" s="1"/>
  <c r="AI105" i="38" s="1"/>
  <c r="AJ105" i="38" s="1"/>
  <c r="T50" i="38" s="1"/>
  <c r="L97" i="38"/>
  <c r="M97" i="38" s="1"/>
  <c r="N97" i="38" s="1"/>
  <c r="O97" i="38" s="1"/>
  <c r="P97" i="38" s="1"/>
  <c r="Q97" i="38" s="1"/>
  <c r="R97" i="38" s="1"/>
  <c r="S97" i="38" s="1"/>
  <c r="T97" i="38" s="1"/>
  <c r="U97" i="38" s="1"/>
  <c r="V97" i="38" s="1"/>
  <c r="W97" i="38" s="1"/>
  <c r="X97" i="38" s="1"/>
  <c r="Y97" i="38" s="1"/>
  <c r="Z97" i="38" s="1"/>
  <c r="AA97" i="38" s="1"/>
  <c r="AB97" i="38" s="1"/>
  <c r="AC97" i="38" s="1"/>
  <c r="AD97" i="38" s="1"/>
  <c r="AE97" i="38" s="1"/>
  <c r="AF97" i="38" s="1"/>
  <c r="AG97" i="38" s="1"/>
  <c r="AH97" i="38" s="1"/>
  <c r="AI97" i="38" s="1"/>
  <c r="AJ97" i="38" s="1"/>
  <c r="T42" i="38" s="1"/>
  <c r="K79" i="37"/>
  <c r="L79" i="37" s="1"/>
  <c r="M79" i="37" s="1"/>
  <c r="N79" i="37" s="1"/>
  <c r="O79" i="37" s="1"/>
  <c r="P79" i="37" s="1"/>
  <c r="Q79" i="37" s="1"/>
  <c r="R79" i="37" s="1"/>
  <c r="S79" i="37" s="1"/>
  <c r="T79" i="37" s="1"/>
  <c r="U79" i="37" s="1"/>
  <c r="V79" i="37" s="1"/>
  <c r="W79" i="37" s="1"/>
  <c r="X79" i="37" s="1"/>
  <c r="Y79" i="37" s="1"/>
  <c r="Z79" i="37" s="1"/>
  <c r="AA79" i="37" s="1"/>
  <c r="AB79" i="37" s="1"/>
  <c r="AC79" i="37" s="1"/>
  <c r="AD79" i="37" s="1"/>
  <c r="AE79" i="37" s="1"/>
  <c r="AF79" i="37" s="1"/>
  <c r="AG79" i="37" s="1"/>
  <c r="AH79" i="37" s="1"/>
  <c r="AI79" i="37" s="1"/>
  <c r="AJ79" i="37" s="1"/>
  <c r="T24" i="37" s="1"/>
  <c r="AE46" i="38"/>
  <c r="AD45" i="38"/>
  <c r="AE45" i="38" s="1"/>
  <c r="AB41" i="38"/>
  <c r="AD41" i="38"/>
  <c r="L96" i="38"/>
  <c r="M96" i="38" s="1"/>
  <c r="N96" i="38" s="1"/>
  <c r="O96" i="38" s="1"/>
  <c r="P96" i="38" s="1"/>
  <c r="Q96" i="38" s="1"/>
  <c r="R96" i="38" s="1"/>
  <c r="S96" i="38" s="1"/>
  <c r="T96" i="38" s="1"/>
  <c r="U96" i="38" s="1"/>
  <c r="V96" i="38" s="1"/>
  <c r="W96" i="38" s="1"/>
  <c r="X96" i="38" s="1"/>
  <c r="Y96" i="38" s="1"/>
  <c r="Z96" i="38" s="1"/>
  <c r="AA96" i="38" s="1"/>
  <c r="AB96" i="38" s="1"/>
  <c r="AC96" i="38" s="1"/>
  <c r="AD96" i="38" s="1"/>
  <c r="AE96" i="38" s="1"/>
  <c r="AF96" i="38" s="1"/>
  <c r="AG96" i="38" s="1"/>
  <c r="AH96" i="38" s="1"/>
  <c r="AI96" i="38" s="1"/>
  <c r="AJ96" i="38" s="1"/>
  <c r="T41" i="38" s="1"/>
  <c r="K83" i="38"/>
  <c r="K88" i="38"/>
  <c r="L88" i="38" s="1"/>
  <c r="M88" i="38" s="1"/>
  <c r="N88" i="38" s="1"/>
  <c r="O88" i="38" s="1"/>
  <c r="P88" i="38" s="1"/>
  <c r="Q88" i="38" s="1"/>
  <c r="R88" i="38" s="1"/>
  <c r="S88" i="38" s="1"/>
  <c r="T88" i="38" s="1"/>
  <c r="U88" i="38" s="1"/>
  <c r="V88" i="38" s="1"/>
  <c r="W88" i="38" s="1"/>
  <c r="X88" i="38" s="1"/>
  <c r="Y88" i="38" s="1"/>
  <c r="Z88" i="38" s="1"/>
  <c r="AA88" i="38" s="1"/>
  <c r="AB88" i="38" s="1"/>
  <c r="AC88" i="38" s="1"/>
  <c r="AD88" i="38" s="1"/>
  <c r="AE88" i="38" s="1"/>
  <c r="AF88" i="38" s="1"/>
  <c r="AG88" i="38" s="1"/>
  <c r="AH88" i="38" s="1"/>
  <c r="AI88" i="38" s="1"/>
  <c r="AJ88" i="38" s="1"/>
  <c r="T33" i="38" s="1"/>
  <c r="K84" i="38"/>
  <c r="Z50" i="38"/>
  <c r="AA50" i="38" s="1"/>
  <c r="AB50" i="38" s="1"/>
  <c r="AE50" i="38" s="1"/>
  <c r="L81" i="38"/>
  <c r="M81" i="38" s="1"/>
  <c r="N81" i="38" s="1"/>
  <c r="O81" i="38" s="1"/>
  <c r="P81" i="38" s="1"/>
  <c r="Q81" i="38" s="1"/>
  <c r="R81" i="38" s="1"/>
  <c r="S81" i="38" s="1"/>
  <c r="T81" i="38" s="1"/>
  <c r="U81" i="38" s="1"/>
  <c r="V81" i="38" s="1"/>
  <c r="W81" i="38" s="1"/>
  <c r="X81" i="38" s="1"/>
  <c r="Y81" i="38" s="1"/>
  <c r="Z81" i="38" s="1"/>
  <c r="AA81" i="38" s="1"/>
  <c r="AB81" i="38" s="1"/>
  <c r="AC81" i="38" s="1"/>
  <c r="AD81" i="38" s="1"/>
  <c r="AE81" i="38" s="1"/>
  <c r="AF81" i="38" s="1"/>
  <c r="AG81" i="38" s="1"/>
  <c r="AH81" i="38" s="1"/>
  <c r="AI81" i="38" s="1"/>
  <c r="AJ81" i="38" s="1"/>
  <c r="T26" i="38" s="1"/>
  <c r="Z21" i="38"/>
  <c r="AA21" i="38" s="1"/>
  <c r="AE42" i="38"/>
  <c r="L98" i="38"/>
  <c r="M98" i="38" s="1"/>
  <c r="N98" i="38" s="1"/>
  <c r="O98" i="38" s="1"/>
  <c r="P98" i="38" s="1"/>
  <c r="Q98" i="38" s="1"/>
  <c r="R98" i="38" s="1"/>
  <c r="S98" i="38" s="1"/>
  <c r="T98" i="38" s="1"/>
  <c r="U98" i="38" s="1"/>
  <c r="V98" i="38" s="1"/>
  <c r="W98" i="38" s="1"/>
  <c r="X98" i="38" s="1"/>
  <c r="Y98" i="38" s="1"/>
  <c r="Z98" i="38" s="1"/>
  <c r="AA98" i="38" s="1"/>
  <c r="AB98" i="38" s="1"/>
  <c r="AC98" i="38" s="1"/>
  <c r="AD98" i="38" s="1"/>
  <c r="AE98" i="38" s="1"/>
  <c r="AF98" i="38" s="1"/>
  <c r="AG98" i="38" s="1"/>
  <c r="AH98" i="38" s="1"/>
  <c r="AI98" i="38" s="1"/>
  <c r="AJ98" i="38" s="1"/>
  <c r="T43" i="38" s="1"/>
  <c r="AD33" i="38"/>
  <c r="AE33" i="38" s="1"/>
  <c r="K86" i="38"/>
  <c r="L86" i="38" s="1"/>
  <c r="M86" i="38" s="1"/>
  <c r="N86" i="38" s="1"/>
  <c r="O86" i="38" s="1"/>
  <c r="P86" i="38" s="1"/>
  <c r="Q86" i="38" s="1"/>
  <c r="R86" i="38" s="1"/>
  <c r="S86" i="38" s="1"/>
  <c r="T86" i="38" s="1"/>
  <c r="U86" i="38" s="1"/>
  <c r="V86" i="38" s="1"/>
  <c r="W86" i="38" s="1"/>
  <c r="X86" i="38" s="1"/>
  <c r="Y86" i="38" s="1"/>
  <c r="Z86" i="38" s="1"/>
  <c r="AA86" i="38" s="1"/>
  <c r="AB86" i="38" s="1"/>
  <c r="AC86" i="38" s="1"/>
  <c r="AD86" i="38" s="1"/>
  <c r="AE86" i="38" s="1"/>
  <c r="AF86" i="38" s="1"/>
  <c r="AG86" i="38" s="1"/>
  <c r="AH86" i="38" s="1"/>
  <c r="AI86" i="38" s="1"/>
  <c r="AJ86" i="38" s="1"/>
  <c r="T31" i="38" s="1"/>
  <c r="K71" i="38"/>
  <c r="L71" i="38" s="1"/>
  <c r="M71" i="38" s="1"/>
  <c r="N71" i="38" s="1"/>
  <c r="O71" i="38" s="1"/>
  <c r="P71" i="38" s="1"/>
  <c r="Q71" i="38" s="1"/>
  <c r="R71" i="38" s="1"/>
  <c r="S71" i="38" s="1"/>
  <c r="T71" i="38" s="1"/>
  <c r="U71" i="38" s="1"/>
  <c r="V71" i="38" s="1"/>
  <c r="W71" i="38" s="1"/>
  <c r="X71" i="38" s="1"/>
  <c r="Y71" i="38" s="1"/>
  <c r="Z71" i="38" s="1"/>
  <c r="AA71" i="38" s="1"/>
  <c r="AB71" i="38" s="1"/>
  <c r="AC71" i="38" s="1"/>
  <c r="AD71" i="38" s="1"/>
  <c r="AE71" i="38" s="1"/>
  <c r="AF71" i="38" s="1"/>
  <c r="AG71" i="38" s="1"/>
  <c r="AH71" i="38" s="1"/>
  <c r="AI71" i="38" s="1"/>
  <c r="AJ71" i="38" s="1"/>
  <c r="T16" i="38" s="1"/>
  <c r="K96" i="37"/>
  <c r="L96" i="37" s="1"/>
  <c r="M96" i="37" s="1"/>
  <c r="N96" i="37" s="1"/>
  <c r="O96" i="37" s="1"/>
  <c r="P96" i="37" s="1"/>
  <c r="Q96" i="37" s="1"/>
  <c r="R96" i="37" s="1"/>
  <c r="S96" i="37" s="1"/>
  <c r="T96" i="37" s="1"/>
  <c r="U96" i="37" s="1"/>
  <c r="V96" i="37" s="1"/>
  <c r="W96" i="37" s="1"/>
  <c r="X96" i="37" s="1"/>
  <c r="Y96" i="37" s="1"/>
  <c r="Z96" i="37" s="1"/>
  <c r="AA96" i="37" s="1"/>
  <c r="AB96" i="37" s="1"/>
  <c r="AC96" i="37" s="1"/>
  <c r="AD96" i="37" s="1"/>
  <c r="AE96" i="37" s="1"/>
  <c r="AF96" i="37" s="1"/>
  <c r="AG96" i="37" s="1"/>
  <c r="AH96" i="37" s="1"/>
  <c r="AI96" i="37" s="1"/>
  <c r="AJ96" i="37" s="1"/>
  <c r="T41" i="37" s="1"/>
  <c r="K92" i="37"/>
  <c r="L92" i="37" s="1"/>
  <c r="M92" i="37" s="1"/>
  <c r="N92" i="37" s="1"/>
  <c r="O92" i="37" s="1"/>
  <c r="P92" i="37" s="1"/>
  <c r="Q92" i="37" s="1"/>
  <c r="R92" i="37" s="1"/>
  <c r="S92" i="37" s="1"/>
  <c r="T92" i="37" s="1"/>
  <c r="U92" i="37" s="1"/>
  <c r="V92" i="37" s="1"/>
  <c r="W92" i="37" s="1"/>
  <c r="X92" i="37" s="1"/>
  <c r="Y92" i="37" s="1"/>
  <c r="Z92" i="37" s="1"/>
  <c r="AA92" i="37" s="1"/>
  <c r="AB92" i="37" s="1"/>
  <c r="AC92" i="37" s="1"/>
  <c r="AD92" i="37" s="1"/>
  <c r="AE92" i="37" s="1"/>
  <c r="AF92" i="37" s="1"/>
  <c r="AG92" i="37" s="1"/>
  <c r="AH92" i="37" s="1"/>
  <c r="AI92" i="37" s="1"/>
  <c r="AJ92" i="37" s="1"/>
  <c r="T37" i="37" s="1"/>
  <c r="Z9" i="37"/>
  <c r="AA9" i="37" s="1"/>
  <c r="AE22" i="38"/>
  <c r="L74" i="38"/>
  <c r="M74" i="38" s="1"/>
  <c r="N74" i="38" s="1"/>
  <c r="O74" i="38" s="1"/>
  <c r="P74" i="38" s="1"/>
  <c r="Q74" i="38" s="1"/>
  <c r="R74" i="38" s="1"/>
  <c r="S74" i="38" s="1"/>
  <c r="T74" i="38" s="1"/>
  <c r="U74" i="38" s="1"/>
  <c r="V74" i="38" s="1"/>
  <c r="W74" i="38" s="1"/>
  <c r="X74" i="38" s="1"/>
  <c r="Y74" i="38" s="1"/>
  <c r="Z74" i="38" s="1"/>
  <c r="AA74" i="38" s="1"/>
  <c r="AB74" i="38" s="1"/>
  <c r="AC74" i="38" s="1"/>
  <c r="AD74" i="38" s="1"/>
  <c r="AE74" i="38" s="1"/>
  <c r="AF74" i="38" s="1"/>
  <c r="AG74" i="38" s="1"/>
  <c r="AH74" i="38" s="1"/>
  <c r="AI74" i="38" s="1"/>
  <c r="AJ74" i="38" s="1"/>
  <c r="T19" i="38" s="1"/>
  <c r="L66" i="38"/>
  <c r="M66" i="38" s="1"/>
  <c r="N66" i="38" s="1"/>
  <c r="O66" i="38" s="1"/>
  <c r="P66" i="38" s="1"/>
  <c r="Q66" i="38" s="1"/>
  <c r="R66" i="38" s="1"/>
  <c r="S66" i="38" s="1"/>
  <c r="T66" i="38" s="1"/>
  <c r="U66" i="38" s="1"/>
  <c r="V66" i="38" s="1"/>
  <c r="W66" i="38" s="1"/>
  <c r="X66" i="38" s="1"/>
  <c r="Y66" i="38" s="1"/>
  <c r="Z66" i="38" s="1"/>
  <c r="AA66" i="38" s="1"/>
  <c r="AB66" i="38" s="1"/>
  <c r="AC66" i="38" s="1"/>
  <c r="AD66" i="38" s="1"/>
  <c r="AE66" i="38" s="1"/>
  <c r="AF66" i="38" s="1"/>
  <c r="AG66" i="38" s="1"/>
  <c r="AH66" i="38" s="1"/>
  <c r="AI66" i="38" s="1"/>
  <c r="AJ66" i="38" s="1"/>
  <c r="T11" i="38" s="1"/>
  <c r="AD30" i="38"/>
  <c r="AE30" i="38" s="1"/>
  <c r="L62" i="38"/>
  <c r="M62" i="38" s="1"/>
  <c r="N62" i="38" s="1"/>
  <c r="O62" i="38" s="1"/>
  <c r="P62" i="38" s="1"/>
  <c r="Q62" i="38" s="1"/>
  <c r="R62" i="38" s="1"/>
  <c r="S62" i="38" s="1"/>
  <c r="T62" i="38" s="1"/>
  <c r="U62" i="38" s="1"/>
  <c r="V62" i="38" s="1"/>
  <c r="W62" i="38" s="1"/>
  <c r="X62" i="38" s="1"/>
  <c r="Y62" i="38" s="1"/>
  <c r="Z62" i="38" s="1"/>
  <c r="AA62" i="38" s="1"/>
  <c r="AB62" i="38" s="1"/>
  <c r="AC62" i="38" s="1"/>
  <c r="AD62" i="38" s="1"/>
  <c r="AE62" i="38" s="1"/>
  <c r="AF62" i="38" s="1"/>
  <c r="AG62" i="38" s="1"/>
  <c r="AH62" i="38" s="1"/>
  <c r="AI62" i="38" s="1"/>
  <c r="AJ62" i="38" s="1"/>
  <c r="T7" i="38" s="1"/>
  <c r="K60" i="37"/>
  <c r="L60" i="37" s="1"/>
  <c r="M60" i="37" s="1"/>
  <c r="N60" i="37" s="1"/>
  <c r="O60" i="37" s="1"/>
  <c r="P60" i="37" s="1"/>
  <c r="Q60" i="37" s="1"/>
  <c r="R60" i="37" s="1"/>
  <c r="S60" i="37" s="1"/>
  <c r="T60" i="37" s="1"/>
  <c r="U60" i="37" s="1"/>
  <c r="V60" i="37" s="1"/>
  <c r="W60" i="37" s="1"/>
  <c r="X60" i="37" s="1"/>
  <c r="Y60" i="37" s="1"/>
  <c r="Z60" i="37" s="1"/>
  <c r="AA60" i="37" s="1"/>
  <c r="AB60" i="37" s="1"/>
  <c r="AC60" i="37" s="1"/>
  <c r="AD60" i="37" s="1"/>
  <c r="AE60" i="37" s="1"/>
  <c r="AF60" i="37" s="1"/>
  <c r="AG60" i="37" s="1"/>
  <c r="AH60" i="37" s="1"/>
  <c r="AI60" i="37" s="1"/>
  <c r="AJ60" i="37" s="1"/>
  <c r="T5" i="37" s="1"/>
  <c r="W45" i="37"/>
  <c r="Y45" i="37" s="1"/>
  <c r="Z45" i="37"/>
  <c r="AA45" i="37" s="1"/>
  <c r="AB45" i="37" s="1"/>
  <c r="AE45" i="37" s="1"/>
  <c r="L85" i="37"/>
  <c r="M85" i="37" s="1"/>
  <c r="N85" i="37" s="1"/>
  <c r="O85" i="37" s="1"/>
  <c r="P85" i="37" s="1"/>
  <c r="Q85" i="37" s="1"/>
  <c r="R85" i="37" s="1"/>
  <c r="S85" i="37" s="1"/>
  <c r="T85" i="37" s="1"/>
  <c r="U85" i="37" s="1"/>
  <c r="V85" i="37" s="1"/>
  <c r="W85" i="37" s="1"/>
  <c r="X85" i="37" s="1"/>
  <c r="Y85" i="37" s="1"/>
  <c r="Z85" i="37" s="1"/>
  <c r="AA85" i="37" s="1"/>
  <c r="AB85" i="37" s="1"/>
  <c r="AC85" i="37" s="1"/>
  <c r="AD85" i="37" s="1"/>
  <c r="AE85" i="37" s="1"/>
  <c r="AF85" i="37" s="1"/>
  <c r="AG85" i="37" s="1"/>
  <c r="AH85" i="37" s="1"/>
  <c r="AI85" i="37" s="1"/>
  <c r="AJ85" i="37" s="1"/>
  <c r="T30" i="37" s="1"/>
  <c r="Z6" i="37"/>
  <c r="AA6" i="37" s="1"/>
  <c r="L89" i="38"/>
  <c r="M89" i="38" s="1"/>
  <c r="N89" i="38" s="1"/>
  <c r="O89" i="38" s="1"/>
  <c r="P89" i="38" s="1"/>
  <c r="Q89" i="38" s="1"/>
  <c r="R89" i="38" s="1"/>
  <c r="S89" i="38" s="1"/>
  <c r="T89" i="38" s="1"/>
  <c r="U89" i="38" s="1"/>
  <c r="V89" i="38" s="1"/>
  <c r="W89" i="38" s="1"/>
  <c r="X89" i="38" s="1"/>
  <c r="Y89" i="38" s="1"/>
  <c r="Z89" i="38" s="1"/>
  <c r="AA89" i="38" s="1"/>
  <c r="AB89" i="38" s="1"/>
  <c r="AC89" i="38" s="1"/>
  <c r="AD89" i="38" s="1"/>
  <c r="AE89" i="38" s="1"/>
  <c r="AF89" i="38" s="1"/>
  <c r="AG89" i="38" s="1"/>
  <c r="AH89" i="38" s="1"/>
  <c r="AI89" i="38" s="1"/>
  <c r="AJ89" i="38" s="1"/>
  <c r="T34" i="38" s="1"/>
  <c r="L98" i="37"/>
  <c r="M98" i="37" s="1"/>
  <c r="N98" i="37" s="1"/>
  <c r="O98" i="37" s="1"/>
  <c r="P98" i="37" s="1"/>
  <c r="Q98" i="37" s="1"/>
  <c r="R98" i="37" s="1"/>
  <c r="S98" i="37" s="1"/>
  <c r="T98" i="37" s="1"/>
  <c r="U98" i="37" s="1"/>
  <c r="V98" i="37" s="1"/>
  <c r="W98" i="37" s="1"/>
  <c r="X98" i="37" s="1"/>
  <c r="Y98" i="37" s="1"/>
  <c r="Z98" i="37" s="1"/>
  <c r="AA98" i="37" s="1"/>
  <c r="AB98" i="37" s="1"/>
  <c r="AC98" i="37" s="1"/>
  <c r="AD98" i="37" s="1"/>
  <c r="AE98" i="37" s="1"/>
  <c r="AF98" i="37" s="1"/>
  <c r="AG98" i="37" s="1"/>
  <c r="AH98" i="37" s="1"/>
  <c r="AI98" i="37" s="1"/>
  <c r="AJ98" i="37" s="1"/>
  <c r="T43" i="37" s="1"/>
  <c r="L90" i="37"/>
  <c r="M90" i="37" s="1"/>
  <c r="N90" i="37" s="1"/>
  <c r="O90" i="37" s="1"/>
  <c r="P90" i="37" s="1"/>
  <c r="Q90" i="37" s="1"/>
  <c r="R90" i="37" s="1"/>
  <c r="S90" i="37" s="1"/>
  <c r="T90" i="37" s="1"/>
  <c r="U90" i="37" s="1"/>
  <c r="V90" i="37" s="1"/>
  <c r="W90" i="37" s="1"/>
  <c r="X90" i="37" s="1"/>
  <c r="Y90" i="37" s="1"/>
  <c r="Z90" i="37" s="1"/>
  <c r="AA90" i="37" s="1"/>
  <c r="AB90" i="37" s="1"/>
  <c r="AC90" i="37" s="1"/>
  <c r="AD90" i="37" s="1"/>
  <c r="AE90" i="37" s="1"/>
  <c r="AF90" i="37" s="1"/>
  <c r="AG90" i="37" s="1"/>
  <c r="AH90" i="37" s="1"/>
  <c r="AI90" i="37" s="1"/>
  <c r="AJ90" i="37" s="1"/>
  <c r="T35" i="37" s="1"/>
  <c r="Z14" i="37"/>
  <c r="AA14" i="37" s="1"/>
  <c r="L95" i="37"/>
  <c r="M95" i="37" s="1"/>
  <c r="N95" i="37" s="1"/>
  <c r="O95" i="37" s="1"/>
  <c r="P95" i="37" s="1"/>
  <c r="Q95" i="37" s="1"/>
  <c r="R95" i="37" s="1"/>
  <c r="S95" i="37" s="1"/>
  <c r="T95" i="37" s="1"/>
  <c r="U95" i="37" s="1"/>
  <c r="V95" i="37" s="1"/>
  <c r="W95" i="37" s="1"/>
  <c r="X95" i="37" s="1"/>
  <c r="Y95" i="37" s="1"/>
  <c r="Z95" i="37" s="1"/>
  <c r="AA95" i="37" s="1"/>
  <c r="AB95" i="37" s="1"/>
  <c r="AC95" i="37" s="1"/>
  <c r="AD95" i="37" s="1"/>
  <c r="AE95" i="37" s="1"/>
  <c r="AF95" i="37" s="1"/>
  <c r="AG95" i="37" s="1"/>
  <c r="AH95" i="37" s="1"/>
  <c r="AI95" i="37" s="1"/>
  <c r="AJ95" i="37" s="1"/>
  <c r="T40" i="37" s="1"/>
  <c r="K93" i="37"/>
  <c r="L93" i="37" s="1"/>
  <c r="M93" i="37" s="1"/>
  <c r="N93" i="37" s="1"/>
  <c r="O93" i="37" s="1"/>
  <c r="P93" i="37" s="1"/>
  <c r="Q93" i="37" s="1"/>
  <c r="R93" i="37" s="1"/>
  <c r="S93" i="37" s="1"/>
  <c r="T93" i="37" s="1"/>
  <c r="U93" i="37" s="1"/>
  <c r="V93" i="37" s="1"/>
  <c r="W93" i="37" s="1"/>
  <c r="X93" i="37" s="1"/>
  <c r="Y93" i="37" s="1"/>
  <c r="Z93" i="37" s="1"/>
  <c r="AA93" i="37" s="1"/>
  <c r="AB93" i="37" s="1"/>
  <c r="AC93" i="37" s="1"/>
  <c r="AD93" i="37" s="1"/>
  <c r="AE93" i="37" s="1"/>
  <c r="AF93" i="37"/>
  <c r="AG93" i="37" s="1"/>
  <c r="AH93" i="37" s="1"/>
  <c r="AI93" i="37" s="1"/>
  <c r="AJ93" i="37" s="1"/>
  <c r="T38" i="37" s="1"/>
  <c r="U38" i="37" s="1"/>
  <c r="V38" i="37" s="1"/>
  <c r="X38" i="37" s="1"/>
  <c r="Q83" i="37"/>
  <c r="R83" i="37" s="1"/>
  <c r="S83" i="37" s="1"/>
  <c r="T83" i="37"/>
  <c r="U83" i="37" s="1"/>
  <c r="V83" i="37" s="1"/>
  <c r="W83" i="37" s="1"/>
  <c r="X83" i="37" s="1"/>
  <c r="Y83" i="37" s="1"/>
  <c r="Z83" i="37" s="1"/>
  <c r="AA83" i="37" s="1"/>
  <c r="AB83" i="37" s="1"/>
  <c r="AC83" i="37" s="1"/>
  <c r="AD83" i="37" s="1"/>
  <c r="AE83" i="37" s="1"/>
  <c r="AF83" i="37" s="1"/>
  <c r="AG83" i="37" s="1"/>
  <c r="AH83" i="37" s="1"/>
  <c r="AI83" i="37" s="1"/>
  <c r="AJ83" i="37" s="1"/>
  <c r="T28" i="37" s="1"/>
  <c r="AB26" i="37"/>
  <c r="AB20" i="37"/>
  <c r="AE20" i="37" s="1"/>
  <c r="S20" i="37"/>
  <c r="L75" i="37" s="1"/>
  <c r="M75" i="37" s="1"/>
  <c r="N75" i="37" s="1"/>
  <c r="O75" i="37" s="1"/>
  <c r="P75" i="37" s="1"/>
  <c r="Q75" i="37" s="1"/>
  <c r="R75" i="37" s="1"/>
  <c r="S75" i="37" s="1"/>
  <c r="T75" i="37" s="1"/>
  <c r="U75" i="37" s="1"/>
  <c r="V75" i="37" s="1"/>
  <c r="W75" i="37" s="1"/>
  <c r="X75" i="37" s="1"/>
  <c r="Y75" i="37" s="1"/>
  <c r="Z75" i="37" s="1"/>
  <c r="AA75" i="37" s="1"/>
  <c r="AB75" i="37" s="1"/>
  <c r="AC75" i="37" s="1"/>
  <c r="AD75" i="37" s="1"/>
  <c r="AE75" i="37" s="1"/>
  <c r="AF75" i="37" s="1"/>
  <c r="AG75" i="37" s="1"/>
  <c r="AH75" i="37" s="1"/>
  <c r="AI75" i="37" s="1"/>
  <c r="AJ75" i="37" s="1"/>
  <c r="T20" i="37" s="1"/>
  <c r="AB14" i="37"/>
  <c r="AE14" i="37" s="1"/>
  <c r="N69" i="37"/>
  <c r="O69" i="37" s="1"/>
  <c r="P69" i="37" s="1"/>
  <c r="Q69" i="37" s="1"/>
  <c r="R69" i="37" s="1"/>
  <c r="S69" i="37" s="1"/>
  <c r="T69" i="37" s="1"/>
  <c r="U69" i="37" s="1"/>
  <c r="V69" i="37" s="1"/>
  <c r="W69" i="37" s="1"/>
  <c r="X69" i="37" s="1"/>
  <c r="Y69" i="37" s="1"/>
  <c r="Z69" i="37" s="1"/>
  <c r="AA69" i="37" s="1"/>
  <c r="AB69" i="37" s="1"/>
  <c r="AC69" i="37" s="1"/>
  <c r="AD69" i="37" s="1"/>
  <c r="AE69" i="37" s="1"/>
  <c r="AF69" i="37" s="1"/>
  <c r="AG69" i="37" s="1"/>
  <c r="AH69" i="37" s="1"/>
  <c r="AI69" i="37" s="1"/>
  <c r="AJ69" i="37" s="1"/>
  <c r="T14" i="37" s="1"/>
  <c r="AE8" i="37"/>
  <c r="Z38" i="37"/>
  <c r="AA38" i="37" s="1"/>
  <c r="AB38" i="37" s="1"/>
  <c r="AE38" i="37" s="1"/>
  <c r="AE48" i="37"/>
  <c r="Z42" i="37"/>
  <c r="AA42" i="37" s="1"/>
  <c r="AB42" i="37" s="1"/>
  <c r="AE42" i="37" s="1"/>
  <c r="AE32" i="37"/>
  <c r="W33" i="37"/>
  <c r="Y33" i="37" s="1"/>
  <c r="AD33" i="37"/>
  <c r="Z33" i="37"/>
  <c r="AA33" i="37" s="1"/>
  <c r="AB33" i="37" s="1"/>
  <c r="W74" i="37"/>
  <c r="X74" i="37" s="1"/>
  <c r="Y74" i="37" s="1"/>
  <c r="Z74" i="37" s="1"/>
  <c r="AA74" i="37" s="1"/>
  <c r="AB74" i="37" s="1"/>
  <c r="AC74" i="37" s="1"/>
  <c r="AD74" i="37" s="1"/>
  <c r="AE74" i="37" s="1"/>
  <c r="AF74" i="37" s="1"/>
  <c r="AG74" i="37" s="1"/>
  <c r="AH74" i="37" s="1"/>
  <c r="AI74" i="37" s="1"/>
  <c r="AJ74" i="37" s="1"/>
  <c r="T19" i="37" s="1"/>
  <c r="AD18" i="37"/>
  <c r="AE18" i="37" s="1"/>
  <c r="Z11" i="37"/>
  <c r="AA11" i="37" s="1"/>
  <c r="AD6" i="37"/>
  <c r="AE6" i="37" s="1"/>
  <c r="Q73" i="37"/>
  <c r="R73" i="37" s="1"/>
  <c r="S73" i="37" s="1"/>
  <c r="T73" i="37" s="1"/>
  <c r="U73" i="37" s="1"/>
  <c r="V73" i="37" s="1"/>
  <c r="W73" i="37" s="1"/>
  <c r="X73" i="37" s="1"/>
  <c r="Y73" i="37" s="1"/>
  <c r="Z73" i="37" s="1"/>
  <c r="AA73" i="37" s="1"/>
  <c r="AB73" i="37" s="1"/>
  <c r="AC73" i="37" s="1"/>
  <c r="AD73" i="37" s="1"/>
  <c r="AE73" i="37" s="1"/>
  <c r="AF73" i="37" s="1"/>
  <c r="AG73" i="37" s="1"/>
  <c r="AH73" i="37" s="1"/>
  <c r="AI73" i="37" s="1"/>
  <c r="AJ73" i="37" s="1"/>
  <c r="T18" i="37" s="1"/>
  <c r="U18" i="37" s="1"/>
  <c r="V18" i="37" s="1"/>
  <c r="X18" i="37" s="1"/>
  <c r="AD7" i="37"/>
  <c r="W13" i="37"/>
  <c r="Y13" i="37" s="1"/>
  <c r="Z13" i="37"/>
  <c r="AA13" i="37" s="1"/>
  <c r="AD13" i="37"/>
  <c r="AE13" i="37" s="1"/>
  <c r="AI97" i="37"/>
  <c r="AJ97" i="37" s="1"/>
  <c r="T42" i="37" s="1"/>
  <c r="U42" i="37" s="1"/>
  <c r="V42" i="37" s="1"/>
  <c r="X42" i="37" s="1"/>
  <c r="L84" i="37"/>
  <c r="M84" i="37" s="1"/>
  <c r="N84" i="37" s="1"/>
  <c r="O84" i="37" s="1"/>
  <c r="P84" i="37" s="1"/>
  <c r="Q84" i="37" s="1"/>
  <c r="R84" i="37" s="1"/>
  <c r="S84" i="37" s="1"/>
  <c r="T84" i="37" s="1"/>
  <c r="U84" i="37" s="1"/>
  <c r="V84" i="37" s="1"/>
  <c r="W84" i="37" s="1"/>
  <c r="X84" i="37" s="1"/>
  <c r="Y84" i="37" s="1"/>
  <c r="Z84" i="37" s="1"/>
  <c r="AA84" i="37" s="1"/>
  <c r="AB84" i="37" s="1"/>
  <c r="AC84" i="37" s="1"/>
  <c r="AD84" i="37" s="1"/>
  <c r="AE84" i="37" s="1"/>
  <c r="AF84" i="37" s="1"/>
  <c r="AG84" i="37" s="1"/>
  <c r="AH84" i="37" s="1"/>
  <c r="AI84" i="37" s="1"/>
  <c r="AJ84" i="37" s="1"/>
  <c r="T29" i="37" s="1"/>
  <c r="AE12" i="37"/>
  <c r="AI67" i="38"/>
  <c r="AJ67" i="38" s="1"/>
  <c r="T12" i="38" s="1"/>
  <c r="AE44" i="37"/>
  <c r="AD30" i="37"/>
  <c r="K64" i="37"/>
  <c r="L64" i="37" s="1"/>
  <c r="M64" i="37" s="1"/>
  <c r="N64" i="37" s="1"/>
  <c r="O64" i="37" s="1"/>
  <c r="P64" i="37" s="1"/>
  <c r="Q64" i="37" s="1"/>
  <c r="R64" i="37" s="1"/>
  <c r="S64" i="37" s="1"/>
  <c r="T64" i="37" s="1"/>
  <c r="U64" i="37" s="1"/>
  <c r="V64" i="37" s="1"/>
  <c r="W64" i="37" s="1"/>
  <c r="X64" i="37" s="1"/>
  <c r="Y64" i="37" s="1"/>
  <c r="Z64" i="37" s="1"/>
  <c r="AA64" i="37" s="1"/>
  <c r="AB64" i="37" s="1"/>
  <c r="AC64" i="37" s="1"/>
  <c r="AD64" i="37" s="1"/>
  <c r="AE64" i="37" s="1"/>
  <c r="AF64" i="37" s="1"/>
  <c r="AG64" i="37" s="1"/>
  <c r="AH64" i="37" s="1"/>
  <c r="AI64" i="37" s="1"/>
  <c r="AJ64" i="37" s="1"/>
  <c r="T9" i="37" s="1"/>
  <c r="AE29" i="37"/>
  <c r="U48" i="36"/>
  <c r="V48" i="36" s="1"/>
  <c r="X48" i="36" s="1"/>
  <c r="W48" i="36"/>
  <c r="W28" i="36"/>
  <c r="U28" i="36"/>
  <c r="V28" i="36" s="1"/>
  <c r="X28" i="36" s="1"/>
  <c r="Y28" i="36" s="1"/>
  <c r="U22" i="36"/>
  <c r="V22" i="36" s="1"/>
  <c r="X22" i="36" s="1"/>
  <c r="W22" i="36"/>
  <c r="U14" i="36"/>
  <c r="V14" i="36" s="1"/>
  <c r="X14" i="36" s="1"/>
  <c r="W14" i="36"/>
  <c r="T92" i="36"/>
  <c r="U92" i="36" s="1"/>
  <c r="V92" i="36" s="1"/>
  <c r="W92" i="36" s="1"/>
  <c r="X92" i="36" s="1"/>
  <c r="Y92" i="36" s="1"/>
  <c r="Z92" i="36" s="1"/>
  <c r="AA92" i="36" s="1"/>
  <c r="AB92" i="36" s="1"/>
  <c r="AC92" i="36" s="1"/>
  <c r="AD92" i="36" s="1"/>
  <c r="AE92" i="36" s="1"/>
  <c r="AF92" i="36" s="1"/>
  <c r="AG92" i="36" s="1"/>
  <c r="AH92" i="36" s="1"/>
  <c r="AI92" i="36" s="1"/>
  <c r="AJ92" i="36" s="1"/>
  <c r="T37" i="36" s="1"/>
  <c r="W37" i="36" s="1"/>
  <c r="U30" i="36"/>
  <c r="V30" i="36" s="1"/>
  <c r="X30" i="36" s="1"/>
  <c r="W30" i="36"/>
  <c r="W20" i="36"/>
  <c r="U20" i="36"/>
  <c r="V20" i="36" s="1"/>
  <c r="X20" i="36" s="1"/>
  <c r="Q105" i="36"/>
  <c r="R105" i="36" s="1"/>
  <c r="S105" i="36" s="1"/>
  <c r="T105" i="36" s="1"/>
  <c r="U105" i="36" s="1"/>
  <c r="V105" i="36" s="1"/>
  <c r="U38" i="36"/>
  <c r="V38" i="36" s="1"/>
  <c r="X38" i="36" s="1"/>
  <c r="W38" i="36"/>
  <c r="W40" i="36"/>
  <c r="U40" i="36"/>
  <c r="V40" i="36" s="1"/>
  <c r="X40" i="36" s="1"/>
  <c r="Y40" i="36" s="1"/>
  <c r="W16" i="36"/>
  <c r="U16" i="36"/>
  <c r="V16" i="36" s="1"/>
  <c r="X16" i="36" s="1"/>
  <c r="Y16" i="36" s="1"/>
  <c r="U11" i="36"/>
  <c r="V11" i="36" s="1"/>
  <c r="X11" i="36" s="1"/>
  <c r="W11" i="36"/>
  <c r="W35" i="36"/>
  <c r="U35" i="36"/>
  <c r="V35" i="36" s="1"/>
  <c r="X35" i="36" s="1"/>
  <c r="Y35" i="36" s="1"/>
  <c r="U9" i="36"/>
  <c r="V9" i="36" s="1"/>
  <c r="X9" i="36" s="1"/>
  <c r="W9" i="36"/>
  <c r="W25" i="36"/>
  <c r="U25" i="36"/>
  <c r="V25" i="36" s="1"/>
  <c r="X25" i="36" s="1"/>
  <c r="Y25" i="36" s="1"/>
  <c r="W4" i="36"/>
  <c r="Y4" i="36" s="1"/>
  <c r="U4" i="36"/>
  <c r="U8" i="36"/>
  <c r="V8" i="36" s="1"/>
  <c r="X8" i="36" s="1"/>
  <c r="W8" i="36"/>
  <c r="AB32" i="36"/>
  <c r="AD32" i="36"/>
  <c r="AE32" i="36" s="1"/>
  <c r="Z42" i="36"/>
  <c r="AA42" i="36" s="1"/>
  <c r="AB42" i="36" s="1"/>
  <c r="AD42" i="36"/>
  <c r="AE42" i="36" s="1"/>
  <c r="L104" i="36"/>
  <c r="M104" i="36" s="1"/>
  <c r="N104" i="36" s="1"/>
  <c r="O104" i="36" s="1"/>
  <c r="P104" i="36" s="1"/>
  <c r="Q104" i="36" s="1"/>
  <c r="R104" i="36" s="1"/>
  <c r="S104" i="36" s="1"/>
  <c r="T104" i="36" s="1"/>
  <c r="U104" i="36" s="1"/>
  <c r="V104" i="36" s="1"/>
  <c r="W104" i="36" s="1"/>
  <c r="X104" i="36" s="1"/>
  <c r="Y104" i="36" s="1"/>
  <c r="Z104" i="36" s="1"/>
  <c r="AA104" i="36" s="1"/>
  <c r="AB104" i="36" s="1"/>
  <c r="AC104" i="36" s="1"/>
  <c r="AD104" i="36" s="1"/>
  <c r="AE104" i="36" s="1"/>
  <c r="AF104" i="36" s="1"/>
  <c r="AG104" i="36" s="1"/>
  <c r="AH104" i="36" s="1"/>
  <c r="AI104" i="36" s="1"/>
  <c r="AJ104" i="36" s="1"/>
  <c r="T49" i="36" s="1"/>
  <c r="L86" i="36"/>
  <c r="M86" i="36" s="1"/>
  <c r="N86" i="36" s="1"/>
  <c r="O86" i="36" s="1"/>
  <c r="P86" i="36" s="1"/>
  <c r="Q86" i="36" s="1"/>
  <c r="R86" i="36" s="1"/>
  <c r="S86" i="36" s="1"/>
  <c r="T86" i="36" s="1"/>
  <c r="U86" i="36" s="1"/>
  <c r="V86" i="36" s="1"/>
  <c r="W86" i="36" s="1"/>
  <c r="X86" i="36" s="1"/>
  <c r="Y86" i="36" s="1"/>
  <c r="Z86" i="36" s="1"/>
  <c r="AA86" i="36" s="1"/>
  <c r="AB86" i="36" s="1"/>
  <c r="AC86" i="36" s="1"/>
  <c r="AD86" i="36" s="1"/>
  <c r="AE86" i="36" s="1"/>
  <c r="AF86" i="36" s="1"/>
  <c r="AG86" i="36" s="1"/>
  <c r="AH86" i="36" s="1"/>
  <c r="AI86" i="36" s="1"/>
  <c r="AJ86" i="36" s="1"/>
  <c r="T31" i="36" s="1"/>
  <c r="K105" i="36"/>
  <c r="L105" i="36" s="1"/>
  <c r="M105" i="36" s="1"/>
  <c r="N105" i="36" s="1"/>
  <c r="O105" i="36" s="1"/>
  <c r="P105" i="36" s="1"/>
  <c r="K101" i="36"/>
  <c r="L101" i="36" s="1"/>
  <c r="M101" i="36" s="1"/>
  <c r="N101" i="36" s="1"/>
  <c r="O101" i="36" s="1"/>
  <c r="P101" i="36" s="1"/>
  <c r="S43" i="36"/>
  <c r="K97" i="36"/>
  <c r="L97" i="36" s="1"/>
  <c r="M97" i="36" s="1"/>
  <c r="N97" i="36" s="1"/>
  <c r="O97" i="36" s="1"/>
  <c r="P97" i="36" s="1"/>
  <c r="Q97" i="36" s="1"/>
  <c r="R97" i="36" s="1"/>
  <c r="S97" i="36" s="1"/>
  <c r="T97" i="36" s="1"/>
  <c r="U97" i="36" s="1"/>
  <c r="V97" i="36" s="1"/>
  <c r="W97" i="36" s="1"/>
  <c r="X97" i="36" s="1"/>
  <c r="Y97" i="36" s="1"/>
  <c r="Z97" i="36" s="1"/>
  <c r="AA97" i="36" s="1"/>
  <c r="AB97" i="36" s="1"/>
  <c r="AC97" i="36" s="1"/>
  <c r="AD97" i="36" s="1"/>
  <c r="AE97" i="36" s="1"/>
  <c r="AF97" i="36" s="1"/>
  <c r="AG97" i="36" s="1"/>
  <c r="AH97" i="36" s="1"/>
  <c r="AI97" i="36" s="1"/>
  <c r="AJ97" i="36" s="1"/>
  <c r="T42" i="36" s="1"/>
  <c r="S39" i="36"/>
  <c r="K94" i="36"/>
  <c r="L94" i="36" s="1"/>
  <c r="M94" i="36" s="1"/>
  <c r="N94" i="36" s="1"/>
  <c r="O94" i="36" s="1"/>
  <c r="P94" i="36" s="1"/>
  <c r="Q94" i="36" s="1"/>
  <c r="R94" i="36" s="1"/>
  <c r="S94" i="36" s="1"/>
  <c r="T94" i="36" s="1"/>
  <c r="U94" i="36" s="1"/>
  <c r="V94" i="36" s="1"/>
  <c r="W94" i="36" s="1"/>
  <c r="X94" i="36" s="1"/>
  <c r="Y94" i="36" s="1"/>
  <c r="Z94" i="36" s="1"/>
  <c r="AA94" i="36" s="1"/>
  <c r="AB94" i="36" s="1"/>
  <c r="AC94" i="36" s="1"/>
  <c r="AD94" i="36" s="1"/>
  <c r="AE94" i="36" s="1"/>
  <c r="AF94" i="36" s="1"/>
  <c r="AG94" i="36" s="1"/>
  <c r="AH94" i="36" s="1"/>
  <c r="AI94" i="36" s="1"/>
  <c r="AJ94" i="36" s="1"/>
  <c r="T39" i="36" s="1"/>
  <c r="L91" i="36"/>
  <c r="M91" i="36" s="1"/>
  <c r="N91" i="36" s="1"/>
  <c r="O91" i="36" s="1"/>
  <c r="P91" i="36" s="1"/>
  <c r="Q91" i="36" s="1"/>
  <c r="R91" i="36" s="1"/>
  <c r="S91" i="36" s="1"/>
  <c r="T91" i="36" s="1"/>
  <c r="U91" i="36" s="1"/>
  <c r="V91" i="36" s="1"/>
  <c r="W91" i="36" s="1"/>
  <c r="X91" i="36" s="1"/>
  <c r="Y91" i="36" s="1"/>
  <c r="Z91" i="36" s="1"/>
  <c r="AA91" i="36" s="1"/>
  <c r="AB91" i="36" s="1"/>
  <c r="AC91" i="36" s="1"/>
  <c r="AD91" i="36" s="1"/>
  <c r="AE91" i="36" s="1"/>
  <c r="AF91" i="36" s="1"/>
  <c r="AG91" i="36" s="1"/>
  <c r="AH91" i="36" s="1"/>
  <c r="AI91" i="36" s="1"/>
  <c r="AJ91" i="36" s="1"/>
  <c r="T36" i="36" s="1"/>
  <c r="W36" i="36" s="1"/>
  <c r="AB23" i="36"/>
  <c r="AD23" i="36"/>
  <c r="AB34" i="36"/>
  <c r="AD34" i="36"/>
  <c r="L88" i="36"/>
  <c r="M88" i="36" s="1"/>
  <c r="N88" i="36" s="1"/>
  <c r="O88" i="36" s="1"/>
  <c r="P88" i="36" s="1"/>
  <c r="Q88" i="36" s="1"/>
  <c r="R88" i="36" s="1"/>
  <c r="S88" i="36" s="1"/>
  <c r="T88" i="36" s="1"/>
  <c r="U88" i="36" s="1"/>
  <c r="V88" i="36" s="1"/>
  <c r="W88" i="36" s="1"/>
  <c r="X88" i="36" s="1"/>
  <c r="Y88" i="36" s="1"/>
  <c r="Z88" i="36" s="1"/>
  <c r="AA88" i="36" s="1"/>
  <c r="AB88" i="36" s="1"/>
  <c r="AC88" i="36" s="1"/>
  <c r="AD88" i="36" s="1"/>
  <c r="AE88" i="36" s="1"/>
  <c r="AF88" i="36" s="1"/>
  <c r="AG88" i="36" s="1"/>
  <c r="AH88" i="36" s="1"/>
  <c r="AI88" i="36" s="1"/>
  <c r="AJ88" i="36" s="1"/>
  <c r="T33" i="36" s="1"/>
  <c r="K79" i="36"/>
  <c r="L79" i="36" s="1"/>
  <c r="M79" i="36" s="1"/>
  <c r="N81" i="36"/>
  <c r="O81" i="36" s="1"/>
  <c r="P81" i="36" s="1"/>
  <c r="Q81" i="36" s="1"/>
  <c r="R81" i="36" s="1"/>
  <c r="S81" i="36" s="1"/>
  <c r="T81" i="36" s="1"/>
  <c r="U81" i="36" s="1"/>
  <c r="V81" i="36" s="1"/>
  <c r="W81" i="36" s="1"/>
  <c r="X81" i="36" s="1"/>
  <c r="Y81" i="36" s="1"/>
  <c r="Z81" i="36" s="1"/>
  <c r="AA81" i="36" s="1"/>
  <c r="AB81" i="36" s="1"/>
  <c r="AC81" i="36" s="1"/>
  <c r="AD81" i="36" s="1"/>
  <c r="AE81" i="36" s="1"/>
  <c r="AF81" i="36" s="1"/>
  <c r="AG81" i="36" s="1"/>
  <c r="AH81" i="36" s="1"/>
  <c r="AI81" i="36" s="1"/>
  <c r="AJ81" i="36" s="1"/>
  <c r="T26" i="36" s="1"/>
  <c r="AB19" i="36"/>
  <c r="S19" i="36"/>
  <c r="AD36" i="36"/>
  <c r="AE36" i="36" s="1"/>
  <c r="AD19" i="36"/>
  <c r="L82" i="36"/>
  <c r="M82" i="36" s="1"/>
  <c r="N82" i="36" s="1"/>
  <c r="O82" i="36" s="1"/>
  <c r="P82" i="36" s="1"/>
  <c r="Q82" i="36" s="1"/>
  <c r="R82" i="36" s="1"/>
  <c r="S82" i="36" s="1"/>
  <c r="T82" i="36" s="1"/>
  <c r="U82" i="36" s="1"/>
  <c r="V82" i="36" s="1"/>
  <c r="W82" i="36" s="1"/>
  <c r="X82" i="36" s="1"/>
  <c r="Y82" i="36" s="1"/>
  <c r="Z82" i="36" s="1"/>
  <c r="AA82" i="36" s="1"/>
  <c r="AB82" i="36" s="1"/>
  <c r="AC82" i="36" s="1"/>
  <c r="AD82" i="36" s="1"/>
  <c r="AE82" i="36" s="1"/>
  <c r="AF82" i="36" s="1"/>
  <c r="AG82" i="36" s="1"/>
  <c r="AH82" i="36" s="1"/>
  <c r="AI82" i="36" s="1"/>
  <c r="AJ82" i="36" s="1"/>
  <c r="T27" i="36" s="1"/>
  <c r="AD14" i="36"/>
  <c r="AE14" i="36" s="1"/>
  <c r="Z14" i="36"/>
  <c r="AA14" i="36" s="1"/>
  <c r="L67" i="36"/>
  <c r="M67" i="36" s="1"/>
  <c r="N67" i="36" s="1"/>
  <c r="O67" i="36" s="1"/>
  <c r="P67" i="36" s="1"/>
  <c r="Q67" i="36" s="1"/>
  <c r="R67" i="36" s="1"/>
  <c r="S67" i="36" s="1"/>
  <c r="T67" i="36" s="1"/>
  <c r="U67" i="36" s="1"/>
  <c r="V67" i="36" s="1"/>
  <c r="W67" i="36" s="1"/>
  <c r="X67" i="36" s="1"/>
  <c r="Y67" i="36" s="1"/>
  <c r="Z67" i="36" s="1"/>
  <c r="AA67" i="36" s="1"/>
  <c r="AB67" i="36" s="1"/>
  <c r="AC67" i="36" s="1"/>
  <c r="AD67" i="36" s="1"/>
  <c r="AE67" i="36" s="1"/>
  <c r="AF67" i="36" s="1"/>
  <c r="AG67" i="36" s="1"/>
  <c r="AH67" i="36" s="1"/>
  <c r="AI67" i="36" s="1"/>
  <c r="AJ67" i="36" s="1"/>
  <c r="T12" i="36" s="1"/>
  <c r="N62" i="36"/>
  <c r="O62" i="36" s="1"/>
  <c r="P62" i="36" s="1"/>
  <c r="Q62" i="36" s="1"/>
  <c r="R62" i="36" s="1"/>
  <c r="S62" i="36" s="1"/>
  <c r="T62" i="36" s="1"/>
  <c r="U62" i="36" s="1"/>
  <c r="V62" i="36" s="1"/>
  <c r="W62" i="36" s="1"/>
  <c r="X62" i="36" s="1"/>
  <c r="Y62" i="36" s="1"/>
  <c r="Z62" i="36" s="1"/>
  <c r="AA62" i="36" s="1"/>
  <c r="AB62" i="36" s="1"/>
  <c r="AC62" i="36" s="1"/>
  <c r="AD62" i="36" s="1"/>
  <c r="AE62" i="36" s="1"/>
  <c r="AF62" i="36" s="1"/>
  <c r="AG62" i="36" s="1"/>
  <c r="AH62" i="36" s="1"/>
  <c r="AI62" i="36" s="1"/>
  <c r="AJ62" i="36" s="1"/>
  <c r="T7" i="36" s="1"/>
  <c r="K76" i="36"/>
  <c r="L76" i="36" s="1"/>
  <c r="M76" i="36" s="1"/>
  <c r="N76" i="36" s="1"/>
  <c r="O76" i="36" s="1"/>
  <c r="P76" i="36" s="1"/>
  <c r="Z76" i="36"/>
  <c r="AA76" i="36" s="1"/>
  <c r="AB76" i="36" s="1"/>
  <c r="AC76" i="36" s="1"/>
  <c r="AD76" i="36" s="1"/>
  <c r="AE76" i="36" s="1"/>
  <c r="AF76" i="36" s="1"/>
  <c r="AG76" i="36" s="1"/>
  <c r="AH76" i="36" s="1"/>
  <c r="AI76" i="36" s="1"/>
  <c r="AJ76" i="36" s="1"/>
  <c r="T21" i="36" s="1"/>
  <c r="AD46" i="36"/>
  <c r="AE46" i="36" s="1"/>
  <c r="AD33" i="36"/>
  <c r="AE33" i="36" s="1"/>
  <c r="AE22" i="36"/>
  <c r="Z7" i="36"/>
  <c r="AA7" i="36" s="1"/>
  <c r="L98" i="36"/>
  <c r="M98" i="36" s="1"/>
  <c r="N98" i="36" s="1"/>
  <c r="O98" i="36" s="1"/>
  <c r="P98" i="36" s="1"/>
  <c r="Q98" i="36" s="1"/>
  <c r="R98" i="36" s="1"/>
  <c r="S98" i="36" s="1"/>
  <c r="T98" i="36" s="1"/>
  <c r="U98" i="36" s="1"/>
  <c r="V98" i="36" s="1"/>
  <c r="W98" i="36" s="1"/>
  <c r="X98" i="36" s="1"/>
  <c r="Y98" i="36" s="1"/>
  <c r="Z98" i="36" s="1"/>
  <c r="AA98" i="36" s="1"/>
  <c r="AB98" i="36" s="1"/>
  <c r="AC98" i="36" s="1"/>
  <c r="AD98" i="36" s="1"/>
  <c r="AE98" i="36" s="1"/>
  <c r="AF98" i="36" s="1"/>
  <c r="AG98" i="36" s="1"/>
  <c r="AH98" i="36" s="1"/>
  <c r="AI98" i="36" s="1"/>
  <c r="AJ98" i="36" s="1"/>
  <c r="T43" i="36" s="1"/>
  <c r="K87" i="36"/>
  <c r="L87" i="36" s="1"/>
  <c r="M87" i="36" s="1"/>
  <c r="N87" i="36" s="1"/>
  <c r="O87" i="36" s="1"/>
  <c r="P87" i="36" s="1"/>
  <c r="Q87" i="36" s="1"/>
  <c r="R87" i="36" s="1"/>
  <c r="S87" i="36" s="1"/>
  <c r="T87" i="36" s="1"/>
  <c r="U87" i="36" s="1"/>
  <c r="V87" i="36" s="1"/>
  <c r="W87" i="36" s="1"/>
  <c r="X87" i="36" s="1"/>
  <c r="Y87" i="36" s="1"/>
  <c r="Z87" i="36" s="1"/>
  <c r="AA87" i="36" s="1"/>
  <c r="AB87" i="36" s="1"/>
  <c r="AC87" i="36" s="1"/>
  <c r="AD87" i="36" s="1"/>
  <c r="AE87" i="36" s="1"/>
  <c r="AF87" i="36" s="1"/>
  <c r="AG87" i="36" s="1"/>
  <c r="AH87" i="36" s="1"/>
  <c r="AI87" i="36" s="1"/>
  <c r="AJ87" i="36" s="1"/>
  <c r="T32" i="36" s="1"/>
  <c r="AE49" i="36"/>
  <c r="L65" i="36"/>
  <c r="M65" i="36" s="1"/>
  <c r="N65" i="36" s="1"/>
  <c r="O65" i="36" s="1"/>
  <c r="P65" i="36" s="1"/>
  <c r="Q65" i="36" s="1"/>
  <c r="R65" i="36" s="1"/>
  <c r="S65" i="36" s="1"/>
  <c r="T65" i="36" s="1"/>
  <c r="U65" i="36" s="1"/>
  <c r="V65" i="36" s="1"/>
  <c r="W65" i="36" s="1"/>
  <c r="X65" i="36" s="1"/>
  <c r="Y65" i="36" s="1"/>
  <c r="Z65" i="36" s="1"/>
  <c r="AA65" i="36" s="1"/>
  <c r="AB65" i="36" s="1"/>
  <c r="AC65" i="36" s="1"/>
  <c r="AD65" i="36" s="1"/>
  <c r="AE65" i="36" s="1"/>
  <c r="AF65" i="36" s="1"/>
  <c r="AG65" i="36" s="1"/>
  <c r="AH65" i="36" s="1"/>
  <c r="AI65" i="36" s="1"/>
  <c r="AJ65" i="36" s="1"/>
  <c r="T10" i="36" s="1"/>
  <c r="U10" i="36" s="1"/>
  <c r="V10" i="36" s="1"/>
  <c r="X10" i="36" s="1"/>
  <c r="AE47" i="36"/>
  <c r="Q106" i="36"/>
  <c r="R106" i="36" s="1"/>
  <c r="S106" i="36" s="1"/>
  <c r="T106" i="36" s="1"/>
  <c r="U106" i="36" s="1"/>
  <c r="V106" i="36" s="1"/>
  <c r="W106" i="36" s="1"/>
  <c r="X106" i="36" s="1"/>
  <c r="Y106" i="36" s="1"/>
  <c r="Z106" i="36" s="1"/>
  <c r="AA106" i="36" s="1"/>
  <c r="AB106" i="36" s="1"/>
  <c r="AC106" i="36" s="1"/>
  <c r="AD106" i="36" s="1"/>
  <c r="AE106" i="36" s="1"/>
  <c r="AF106" i="36" s="1"/>
  <c r="AG106" i="36" s="1"/>
  <c r="AH106" i="36" s="1"/>
  <c r="AI106" i="36" s="1"/>
  <c r="AJ106" i="36" s="1"/>
  <c r="T51" i="36" s="1"/>
  <c r="K106" i="36"/>
  <c r="L106" i="36" s="1"/>
  <c r="M106" i="36" s="1"/>
  <c r="N106" i="36" s="1"/>
  <c r="O106" i="36" s="1"/>
  <c r="P106" i="36" s="1"/>
  <c r="W105" i="36"/>
  <c r="X105" i="36" s="1"/>
  <c r="Y105" i="36" s="1"/>
  <c r="Q101" i="36"/>
  <c r="R101" i="36" s="1"/>
  <c r="S101" i="36" s="1"/>
  <c r="T101" i="36" s="1"/>
  <c r="U101" i="36" s="1"/>
  <c r="V101" i="36" s="1"/>
  <c r="W101" i="36" s="1"/>
  <c r="X101" i="36" s="1"/>
  <c r="Y101" i="36" s="1"/>
  <c r="Z101" i="36" s="1"/>
  <c r="AA101" i="36" s="1"/>
  <c r="AB101" i="36" s="1"/>
  <c r="AC101" i="36" s="1"/>
  <c r="AD101" i="36" s="1"/>
  <c r="AE101" i="36" s="1"/>
  <c r="AF101" i="36" s="1"/>
  <c r="AG101" i="36" s="1"/>
  <c r="AH101" i="36" s="1"/>
  <c r="AI101" i="36" s="1"/>
  <c r="AJ101" i="36" s="1"/>
  <c r="T46" i="36" s="1"/>
  <c r="L99" i="36"/>
  <c r="M99" i="36" s="1"/>
  <c r="N99" i="36" s="1"/>
  <c r="O99" i="36" s="1"/>
  <c r="P99" i="36" s="1"/>
  <c r="Q99" i="36" s="1"/>
  <c r="R99" i="36" s="1"/>
  <c r="S99" i="36" s="1"/>
  <c r="T99" i="36" s="1"/>
  <c r="U99" i="36" s="1"/>
  <c r="V99" i="36" s="1"/>
  <c r="W99" i="36" s="1"/>
  <c r="X99" i="36" s="1"/>
  <c r="Y99" i="36" s="1"/>
  <c r="Z99" i="36" s="1"/>
  <c r="AA99" i="36" s="1"/>
  <c r="AB99" i="36" s="1"/>
  <c r="AC99" i="36" s="1"/>
  <c r="AD99" i="36" s="1"/>
  <c r="AE99" i="36" s="1"/>
  <c r="AF99" i="36" s="1"/>
  <c r="AG99" i="36" s="1"/>
  <c r="AH99" i="36" s="1"/>
  <c r="AI99" i="36" s="1"/>
  <c r="AJ99" i="36" s="1"/>
  <c r="T44" i="36" s="1"/>
  <c r="AE41" i="36"/>
  <c r="AD39" i="36"/>
  <c r="AE39" i="36" s="1"/>
  <c r="L84" i="36"/>
  <c r="M84" i="36" s="1"/>
  <c r="N84" i="36" s="1"/>
  <c r="O84" i="36" s="1"/>
  <c r="P84" i="36" s="1"/>
  <c r="Q84" i="36" s="1"/>
  <c r="R84" i="36" s="1"/>
  <c r="S84" i="36" s="1"/>
  <c r="T84" i="36" s="1"/>
  <c r="U84" i="36" s="1"/>
  <c r="V84" i="36" s="1"/>
  <c r="W84" i="36" s="1"/>
  <c r="X84" i="36" s="1"/>
  <c r="Y84" i="36" s="1"/>
  <c r="Z84" i="36" s="1"/>
  <c r="AA84" i="36" s="1"/>
  <c r="AB84" i="36" s="1"/>
  <c r="AC84" i="36" s="1"/>
  <c r="AD84" i="36" s="1"/>
  <c r="AE84" i="36" s="1"/>
  <c r="AF84" i="36" s="1"/>
  <c r="AG84" i="36" s="1"/>
  <c r="AH84" i="36" s="1"/>
  <c r="AI84" i="36" s="1"/>
  <c r="AJ84" i="36" s="1"/>
  <c r="T29" i="36" s="1"/>
  <c r="S34" i="36"/>
  <c r="Z37" i="36"/>
  <c r="AA37" i="36" s="1"/>
  <c r="AB37" i="36" s="1"/>
  <c r="AE37" i="36" s="1"/>
  <c r="U37" i="36"/>
  <c r="V37" i="36" s="1"/>
  <c r="X37" i="36" s="1"/>
  <c r="Y37" i="36" s="1"/>
  <c r="AD26" i="36"/>
  <c r="AE26" i="36" s="1"/>
  <c r="Z26" i="36"/>
  <c r="AA26" i="36" s="1"/>
  <c r="S23" i="36"/>
  <c r="L78" i="36" s="1"/>
  <c r="M78" i="36" s="1"/>
  <c r="N78" i="36" s="1"/>
  <c r="O78" i="36" s="1"/>
  <c r="P78" i="36" s="1"/>
  <c r="Q78" i="36" s="1"/>
  <c r="R78" i="36" s="1"/>
  <c r="S78" i="36" s="1"/>
  <c r="T78" i="36" s="1"/>
  <c r="U78" i="36" s="1"/>
  <c r="V78" i="36" s="1"/>
  <c r="W78" i="36" s="1"/>
  <c r="X78" i="36" s="1"/>
  <c r="Y78" i="36" s="1"/>
  <c r="Z78" i="36" s="1"/>
  <c r="AA78" i="36" s="1"/>
  <c r="AB78" i="36" s="1"/>
  <c r="AC78" i="36" s="1"/>
  <c r="AD78" i="36" s="1"/>
  <c r="AE78" i="36" s="1"/>
  <c r="AF78" i="36" s="1"/>
  <c r="AG78" i="36" s="1"/>
  <c r="AH78" i="36" s="1"/>
  <c r="AI78" i="36" s="1"/>
  <c r="AJ78" i="36" s="1"/>
  <c r="T23" i="36" s="1"/>
  <c r="U36" i="36"/>
  <c r="V36" i="36" s="1"/>
  <c r="X36" i="36" s="1"/>
  <c r="Y36" i="36" s="1"/>
  <c r="K60" i="36"/>
  <c r="L60" i="36" s="1"/>
  <c r="M60" i="36" s="1"/>
  <c r="N60" i="36" s="1"/>
  <c r="O60" i="36" s="1"/>
  <c r="P60" i="36" s="1"/>
  <c r="Q60" i="36" s="1"/>
  <c r="R60" i="36" s="1"/>
  <c r="S60" i="36" s="1"/>
  <c r="T60" i="36" s="1"/>
  <c r="U60" i="36" s="1"/>
  <c r="V60" i="36" s="1"/>
  <c r="W60" i="36" s="1"/>
  <c r="X60" i="36" s="1"/>
  <c r="Y60" i="36" s="1"/>
  <c r="Z60" i="36" s="1"/>
  <c r="AA60" i="36" s="1"/>
  <c r="AB60" i="36" s="1"/>
  <c r="AC60" i="36" s="1"/>
  <c r="AD60" i="36" s="1"/>
  <c r="AE60" i="36" s="1"/>
  <c r="AF60" i="36" s="1"/>
  <c r="AG60" i="36" s="1"/>
  <c r="AH60" i="36" s="1"/>
  <c r="AI60" i="36" s="1"/>
  <c r="AJ60" i="36" s="1"/>
  <c r="T5" i="36" s="1"/>
  <c r="W47" i="36"/>
  <c r="Y47" i="36" s="1"/>
  <c r="Q76" i="36"/>
  <c r="R76" i="36" s="1"/>
  <c r="S76" i="36" s="1"/>
  <c r="T76" i="36" s="1"/>
  <c r="U76" i="36" s="1"/>
  <c r="V76" i="36" s="1"/>
  <c r="W76" i="36" s="1"/>
  <c r="X76" i="36" s="1"/>
  <c r="Y76" i="36" s="1"/>
  <c r="K68" i="36"/>
  <c r="AB13" i="36"/>
  <c r="AE13" i="36" s="1"/>
  <c r="S13" i="36"/>
  <c r="AD24" i="36"/>
  <c r="AE24" i="36" s="1"/>
  <c r="AE20" i="36"/>
  <c r="L70" i="36"/>
  <c r="M70" i="36" s="1"/>
  <c r="N70" i="36" s="1"/>
  <c r="O70" i="36" s="1"/>
  <c r="P70" i="36" s="1"/>
  <c r="Q70" i="36" s="1"/>
  <c r="R70" i="36" s="1"/>
  <c r="S70" i="36" s="1"/>
  <c r="T70" i="36" s="1"/>
  <c r="U70" i="36" s="1"/>
  <c r="V70" i="36" s="1"/>
  <c r="W70" i="36" s="1"/>
  <c r="X70" i="36" s="1"/>
  <c r="Y70" i="36" s="1"/>
  <c r="Z70" i="36" s="1"/>
  <c r="AA70" i="36" s="1"/>
  <c r="AB70" i="36" s="1"/>
  <c r="AC70" i="36" s="1"/>
  <c r="AD70" i="36" s="1"/>
  <c r="AE70" i="36" s="1"/>
  <c r="AF70" i="36" s="1"/>
  <c r="AG70" i="36" s="1"/>
  <c r="AH70" i="36" s="1"/>
  <c r="AI70" i="36" s="1"/>
  <c r="AJ70" i="36" s="1"/>
  <c r="T15" i="36" s="1"/>
  <c r="Z10" i="36"/>
  <c r="AA10" i="36" s="1"/>
  <c r="AE28" i="36"/>
  <c r="AD50" i="36"/>
  <c r="Z50" i="36"/>
  <c r="AA50" i="36" s="1"/>
  <c r="AB50" i="36" s="1"/>
  <c r="Z17" i="36"/>
  <c r="AA17" i="36" s="1"/>
  <c r="AD17" i="36"/>
  <c r="AE17" i="36" s="1"/>
  <c r="Z105" i="36"/>
  <c r="AA105" i="36" s="1"/>
  <c r="AB105" i="36" s="1"/>
  <c r="AC105" i="36" s="1"/>
  <c r="AD105" i="36" s="1"/>
  <c r="AE105" i="36" s="1"/>
  <c r="AF105" i="36" s="1"/>
  <c r="AG105" i="36" s="1"/>
  <c r="AH105" i="36" s="1"/>
  <c r="AI105" i="36" s="1"/>
  <c r="AJ105" i="36" s="1"/>
  <c r="T50" i="36" s="1"/>
  <c r="AD51" i="36"/>
  <c r="AE51" i="36" s="1"/>
  <c r="L100" i="36"/>
  <c r="M100" i="36" s="1"/>
  <c r="N100" i="36" s="1"/>
  <c r="O100" i="36" s="1"/>
  <c r="P100" i="36" s="1"/>
  <c r="Q100" i="36" s="1"/>
  <c r="R100" i="36" s="1"/>
  <c r="S100" i="36" s="1"/>
  <c r="T100" i="36" s="1"/>
  <c r="U100" i="36" s="1"/>
  <c r="V100" i="36" s="1"/>
  <c r="W100" i="36" s="1"/>
  <c r="X100" i="36" s="1"/>
  <c r="Y100" i="36" s="1"/>
  <c r="Z100" i="36" s="1"/>
  <c r="AA100" i="36" s="1"/>
  <c r="AB100" i="36" s="1"/>
  <c r="AC100" i="36" s="1"/>
  <c r="AD100" i="36" s="1"/>
  <c r="AE100" i="36" s="1"/>
  <c r="AF100" i="36" s="1"/>
  <c r="AG100" i="36" s="1"/>
  <c r="AH100" i="36" s="1"/>
  <c r="AI100" i="36" s="1"/>
  <c r="AJ100" i="36" s="1"/>
  <c r="T45" i="36" s="1"/>
  <c r="AB43" i="36"/>
  <c r="AE43" i="36" s="1"/>
  <c r="N72" i="36"/>
  <c r="O72" i="36" s="1"/>
  <c r="P72" i="36" s="1"/>
  <c r="Q72" i="36" s="1"/>
  <c r="R72" i="36" s="1"/>
  <c r="S72" i="36" s="1"/>
  <c r="T72" i="36" s="1"/>
  <c r="U72" i="36" s="1"/>
  <c r="V72" i="36" s="1"/>
  <c r="W72" i="36" s="1"/>
  <c r="X72" i="36" s="1"/>
  <c r="Y72" i="36" s="1"/>
  <c r="Z72" i="36" s="1"/>
  <c r="AA72" i="36" s="1"/>
  <c r="AB72" i="36" s="1"/>
  <c r="AC72" i="36" s="1"/>
  <c r="AD72" i="36" s="1"/>
  <c r="AE72" i="36" s="1"/>
  <c r="AF72" i="36" s="1"/>
  <c r="AG72" i="36" s="1"/>
  <c r="AH72" i="36" s="1"/>
  <c r="AI72" i="36" s="1"/>
  <c r="AJ72" i="36" s="1"/>
  <c r="T17" i="36" s="1"/>
  <c r="L96" i="36"/>
  <c r="M96" i="36" s="1"/>
  <c r="N96" i="36" s="1"/>
  <c r="O96" i="36" s="1"/>
  <c r="P96" i="36" s="1"/>
  <c r="Q96" i="36" s="1"/>
  <c r="R96" i="36" s="1"/>
  <c r="S96" i="36" s="1"/>
  <c r="T96" i="36" s="1"/>
  <c r="U96" i="36" s="1"/>
  <c r="V96" i="36" s="1"/>
  <c r="W96" i="36" s="1"/>
  <c r="X96" i="36" s="1"/>
  <c r="Y96" i="36" s="1"/>
  <c r="Z96" i="36" s="1"/>
  <c r="AA96" i="36" s="1"/>
  <c r="AB96" i="36" s="1"/>
  <c r="AC96" i="36" s="1"/>
  <c r="AD96" i="36" s="1"/>
  <c r="AE96" i="36" s="1"/>
  <c r="AF96" i="36" s="1"/>
  <c r="AG96" i="36" s="1"/>
  <c r="AH96" i="36" s="1"/>
  <c r="AI96" i="36" s="1"/>
  <c r="AJ96" i="36" s="1"/>
  <c r="T41" i="36" s="1"/>
  <c r="L73" i="36"/>
  <c r="M73" i="36" s="1"/>
  <c r="N73" i="36" s="1"/>
  <c r="O73" i="36" s="1"/>
  <c r="P73" i="36" s="1"/>
  <c r="Q73" i="36" s="1"/>
  <c r="R73" i="36" s="1"/>
  <c r="S73" i="36" s="1"/>
  <c r="T73" i="36" s="1"/>
  <c r="U73" i="36" s="1"/>
  <c r="V73" i="36" s="1"/>
  <c r="W73" i="36" s="1"/>
  <c r="X73" i="36" s="1"/>
  <c r="Y73" i="36" s="1"/>
  <c r="Z73" i="36" s="1"/>
  <c r="AA73" i="36" s="1"/>
  <c r="AB73" i="36" s="1"/>
  <c r="AC73" i="36" s="1"/>
  <c r="AD73" i="36" s="1"/>
  <c r="AE73" i="36" s="1"/>
  <c r="AF73" i="36" s="1"/>
  <c r="AG73" i="36" s="1"/>
  <c r="AH73" i="36" s="1"/>
  <c r="AI73" i="36" s="1"/>
  <c r="AJ73" i="36" s="1"/>
  <c r="T18" i="36" s="1"/>
  <c r="L74" i="36"/>
  <c r="M74" i="36" s="1"/>
  <c r="N74" i="36" s="1"/>
  <c r="O74" i="36" s="1"/>
  <c r="P74" i="36" s="1"/>
  <c r="Q74" i="36" s="1"/>
  <c r="R74" i="36" s="1"/>
  <c r="S74" i="36" s="1"/>
  <c r="T74" i="36" s="1"/>
  <c r="U74" i="36" s="1"/>
  <c r="V74" i="36" s="1"/>
  <c r="W74" i="36" s="1"/>
  <c r="X74" i="36" s="1"/>
  <c r="Y74" i="36" s="1"/>
  <c r="Z74" i="36" s="1"/>
  <c r="AA74" i="36" s="1"/>
  <c r="AB74" i="36" s="1"/>
  <c r="AC74" i="36" s="1"/>
  <c r="AD74" i="36" s="1"/>
  <c r="AE74" i="36" s="1"/>
  <c r="AF74" i="36" s="1"/>
  <c r="AG74" i="36" s="1"/>
  <c r="AH74" i="36" s="1"/>
  <c r="AI74" i="36" s="1"/>
  <c r="AJ74" i="36" s="1"/>
  <c r="T19" i="36" s="1"/>
  <c r="K89" i="36"/>
  <c r="Z5" i="36"/>
  <c r="AA5" i="36" s="1"/>
  <c r="AE15" i="36"/>
  <c r="W6" i="36"/>
  <c r="Y6" i="36" s="1"/>
  <c r="Z6" i="36"/>
  <c r="AA6" i="36" s="1"/>
  <c r="S32" i="36"/>
  <c r="AD21" i="36"/>
  <c r="AE21" i="36" s="1"/>
  <c r="N79" i="36"/>
  <c r="O79" i="36" s="1"/>
  <c r="P79" i="36" s="1"/>
  <c r="Q79" i="36" s="1"/>
  <c r="R79" i="36" s="1"/>
  <c r="S79" i="36" s="1"/>
  <c r="T79" i="36" s="1"/>
  <c r="U79" i="36" s="1"/>
  <c r="V79" i="36" s="1"/>
  <c r="W79" i="36" s="1"/>
  <c r="X79" i="36" s="1"/>
  <c r="Y79" i="36" s="1"/>
  <c r="Z79" i="36" s="1"/>
  <c r="AA79" i="36" s="1"/>
  <c r="AB79" i="36" s="1"/>
  <c r="AC79" i="36" s="1"/>
  <c r="AD79" i="36" s="1"/>
  <c r="AE79" i="36" s="1"/>
  <c r="AF79" i="36" s="1"/>
  <c r="AG79" i="36" s="1"/>
  <c r="AH79" i="36" s="1"/>
  <c r="AI79" i="36" s="1"/>
  <c r="AJ79" i="36" s="1"/>
  <c r="T24" i="36" s="1"/>
  <c r="AE9" i="36"/>
  <c r="AC5" i="35"/>
  <c r="AC6" i="35"/>
  <c r="AC7" i="35"/>
  <c r="AC8" i="35"/>
  <c r="AC9" i="35"/>
  <c r="AC10" i="35"/>
  <c r="AC11" i="35"/>
  <c r="AC12" i="35"/>
  <c r="AC13" i="35"/>
  <c r="AC14" i="35"/>
  <c r="AC15" i="35"/>
  <c r="AC16" i="35"/>
  <c r="AC17" i="35"/>
  <c r="AC18" i="35"/>
  <c r="AC19" i="35"/>
  <c r="AC20" i="35"/>
  <c r="AC21" i="35"/>
  <c r="AC22" i="35"/>
  <c r="AC23" i="35"/>
  <c r="AC24" i="35"/>
  <c r="AC25" i="35"/>
  <c r="AC26" i="35"/>
  <c r="AC27" i="35"/>
  <c r="AC28" i="35"/>
  <c r="AC29" i="35"/>
  <c r="AC30" i="35"/>
  <c r="AC31" i="35"/>
  <c r="AC32" i="35"/>
  <c r="AC33" i="35"/>
  <c r="AC34" i="35"/>
  <c r="AC35" i="35"/>
  <c r="AC36" i="35"/>
  <c r="AC37" i="35"/>
  <c r="AC38" i="35"/>
  <c r="AC39" i="35"/>
  <c r="AC40" i="35"/>
  <c r="AC41" i="35"/>
  <c r="AC42" i="35"/>
  <c r="AC43" i="35"/>
  <c r="AC44" i="35"/>
  <c r="AC45" i="35"/>
  <c r="AC46" i="35"/>
  <c r="AC47" i="35"/>
  <c r="AC48" i="35"/>
  <c r="AC49" i="35"/>
  <c r="AC50" i="35"/>
  <c r="AC51" i="35"/>
  <c r="AC4" i="35"/>
  <c r="R19" i="35"/>
  <c r="R16" i="35"/>
  <c r="L4" i="35"/>
  <c r="M13" i="35"/>
  <c r="N51" i="35"/>
  <c r="P51" i="35" s="1"/>
  <c r="L51" i="35"/>
  <c r="N50" i="35"/>
  <c r="P50" i="35" s="1"/>
  <c r="L50" i="35"/>
  <c r="N49" i="35"/>
  <c r="P49" i="35" s="1"/>
  <c r="L49" i="35"/>
  <c r="N48" i="35"/>
  <c r="P48" i="35" s="1"/>
  <c r="L48" i="35"/>
  <c r="N47" i="35"/>
  <c r="P47" i="35" s="1"/>
  <c r="L47" i="35"/>
  <c r="N46" i="35"/>
  <c r="P46" i="35" s="1"/>
  <c r="L46" i="35"/>
  <c r="N45" i="35"/>
  <c r="P45" i="35" s="1"/>
  <c r="L45" i="35"/>
  <c r="N44" i="35"/>
  <c r="P44" i="35" s="1"/>
  <c r="L44" i="35"/>
  <c r="N43" i="35"/>
  <c r="P43" i="35" s="1"/>
  <c r="L43" i="35"/>
  <c r="N42" i="35"/>
  <c r="L42" i="35"/>
  <c r="N41" i="35"/>
  <c r="O49" i="35" s="1"/>
  <c r="Q49" i="35" s="1"/>
  <c r="Z49" i="35" s="1"/>
  <c r="AA49" i="35" s="1"/>
  <c r="L41" i="35"/>
  <c r="N40" i="35"/>
  <c r="L40" i="35"/>
  <c r="N39" i="35"/>
  <c r="O47" i="35" s="1"/>
  <c r="Q47" i="35" s="1"/>
  <c r="Z47" i="35" s="1"/>
  <c r="AA47" i="35" s="1"/>
  <c r="L39" i="35"/>
  <c r="N38" i="35"/>
  <c r="L38" i="35"/>
  <c r="N37" i="35"/>
  <c r="O45" i="35" s="1"/>
  <c r="Q45" i="35" s="1"/>
  <c r="Z45" i="35" s="1"/>
  <c r="AA45" i="35" s="1"/>
  <c r="L37" i="35"/>
  <c r="N36" i="35"/>
  <c r="L36" i="35"/>
  <c r="N35" i="35"/>
  <c r="O43" i="35" s="1"/>
  <c r="Q43" i="35" s="1"/>
  <c r="Z43" i="35" s="1"/>
  <c r="AA43" i="35" s="1"/>
  <c r="L35" i="35"/>
  <c r="N34" i="35"/>
  <c r="L34" i="35"/>
  <c r="N33" i="35"/>
  <c r="P33" i="35" s="1"/>
  <c r="L33" i="35"/>
  <c r="N32" i="35"/>
  <c r="L32" i="35"/>
  <c r="N31" i="35"/>
  <c r="O39" i="35" s="1"/>
  <c r="Q39" i="35" s="1"/>
  <c r="Z39" i="35" s="1"/>
  <c r="AA39" i="35" s="1"/>
  <c r="L31" i="35"/>
  <c r="N30" i="35"/>
  <c r="L30" i="35"/>
  <c r="N29" i="35"/>
  <c r="P29" i="35" s="1"/>
  <c r="L29" i="35"/>
  <c r="N28" i="35"/>
  <c r="L28" i="35"/>
  <c r="N27" i="35"/>
  <c r="O35" i="35" s="1"/>
  <c r="Q35" i="35" s="1"/>
  <c r="Z35" i="35" s="1"/>
  <c r="AA35" i="35" s="1"/>
  <c r="L27" i="35"/>
  <c r="N26" i="35"/>
  <c r="L26" i="35"/>
  <c r="N25" i="35"/>
  <c r="O33" i="35" s="1"/>
  <c r="Q33" i="35" s="1"/>
  <c r="Z33" i="35" s="1"/>
  <c r="AA33" i="35" s="1"/>
  <c r="L25" i="35"/>
  <c r="N24" i="35"/>
  <c r="L24" i="35"/>
  <c r="N23" i="35"/>
  <c r="O31" i="35" s="1"/>
  <c r="Q31" i="35" s="1"/>
  <c r="Z31" i="35" s="1"/>
  <c r="AA31" i="35" s="1"/>
  <c r="L23" i="35"/>
  <c r="N22" i="35"/>
  <c r="L22" i="35"/>
  <c r="N21" i="35"/>
  <c r="O29" i="35" s="1"/>
  <c r="Q29" i="35" s="1"/>
  <c r="Z29" i="35" s="1"/>
  <c r="AA29" i="35" s="1"/>
  <c r="L21" i="35"/>
  <c r="N20" i="35"/>
  <c r="O28" i="35" s="1"/>
  <c r="Q28" i="35" s="1"/>
  <c r="Z28" i="35" s="1"/>
  <c r="AA28" i="35" s="1"/>
  <c r="L20" i="35"/>
  <c r="N19" i="35"/>
  <c r="P19" i="35" s="1"/>
  <c r="L19" i="35"/>
  <c r="N18" i="35"/>
  <c r="O26" i="35" s="1"/>
  <c r="Q26" i="35" s="1"/>
  <c r="Z26" i="35" s="1"/>
  <c r="AA26" i="35" s="1"/>
  <c r="L18" i="35"/>
  <c r="N17" i="35"/>
  <c r="L17" i="35"/>
  <c r="N16" i="35"/>
  <c r="O24" i="35" s="1"/>
  <c r="Q24" i="35" s="1"/>
  <c r="Z24" i="35" s="1"/>
  <c r="AA24" i="35" s="1"/>
  <c r="L16" i="35"/>
  <c r="N15" i="35"/>
  <c r="L15" i="35"/>
  <c r="N14" i="35"/>
  <c r="O22" i="35" s="1"/>
  <c r="Q22" i="35" s="1"/>
  <c r="Z22" i="35" s="1"/>
  <c r="AA22" i="35" s="1"/>
  <c r="L14" i="35"/>
  <c r="N13" i="35"/>
  <c r="P13" i="35" s="1"/>
  <c r="N12" i="35"/>
  <c r="P12" i="35" s="1"/>
  <c r="L12" i="35"/>
  <c r="N11" i="35"/>
  <c r="O11" i="35" s="1"/>
  <c r="Q11" i="35" s="1"/>
  <c r="Z11" i="35" s="1"/>
  <c r="AA11" i="35" s="1"/>
  <c r="L11" i="35"/>
  <c r="N10" i="35"/>
  <c r="P10" i="35" s="1"/>
  <c r="L10" i="35"/>
  <c r="N9" i="35"/>
  <c r="O9" i="35" s="1"/>
  <c r="Q9" i="35" s="1"/>
  <c r="Z9" i="35" s="1"/>
  <c r="AA9" i="35" s="1"/>
  <c r="L9" i="35"/>
  <c r="N8" i="35"/>
  <c r="P8" i="35" s="1"/>
  <c r="L8" i="35"/>
  <c r="N7" i="35"/>
  <c r="O7" i="35" s="1"/>
  <c r="Q7" i="35" s="1"/>
  <c r="Z7" i="35" s="1"/>
  <c r="AA7" i="35" s="1"/>
  <c r="L7" i="35"/>
  <c r="N6" i="35"/>
  <c r="P6" i="35" s="1"/>
  <c r="L6" i="35"/>
  <c r="N5" i="35"/>
  <c r="O5" i="35" s="1"/>
  <c r="Q5" i="35" s="1"/>
  <c r="Z5" i="35" s="1"/>
  <c r="AA5" i="35" s="1"/>
  <c r="L5" i="35"/>
  <c r="R4" i="35"/>
  <c r="N4" i="35"/>
  <c r="P4" i="35" s="1"/>
  <c r="W15" i="38" l="1"/>
  <c r="U15" i="38"/>
  <c r="V15" i="38" s="1"/>
  <c r="X15" i="38" s="1"/>
  <c r="Y15" i="38" s="1"/>
  <c r="W38" i="37"/>
  <c r="Y8" i="38"/>
  <c r="U51" i="38"/>
  <c r="V51" i="38" s="1"/>
  <c r="X51" i="38" s="1"/>
  <c r="Y51" i="38" s="1"/>
  <c r="Y9" i="36"/>
  <c r="Y11" i="36"/>
  <c r="Y22" i="36"/>
  <c r="Y48" i="36"/>
  <c r="AE5" i="37"/>
  <c r="Y21" i="37"/>
  <c r="AE50" i="36"/>
  <c r="W18" i="37"/>
  <c r="AF53" i="38"/>
  <c r="AG53" i="38" s="1"/>
  <c r="AH53" i="38"/>
  <c r="W10" i="36"/>
  <c r="AE23" i="36"/>
  <c r="Y8" i="36"/>
  <c r="Y38" i="36"/>
  <c r="W49" i="37"/>
  <c r="AE37" i="37"/>
  <c r="AF52" i="38"/>
  <c r="AG52" i="38" s="1"/>
  <c r="AH52" i="38"/>
  <c r="AI52" i="38" s="1"/>
  <c r="AI53" i="38"/>
  <c r="U22" i="38"/>
  <c r="V22" i="38" s="1"/>
  <c r="X22" i="38" s="1"/>
  <c r="AH15" i="38"/>
  <c r="AI15" i="38" s="1"/>
  <c r="AF15" i="38"/>
  <c r="AG15" i="38" s="1"/>
  <c r="W11" i="38"/>
  <c r="U11" i="38"/>
  <c r="V11" i="38" s="1"/>
  <c r="X11" i="38" s="1"/>
  <c r="Y11" i="38" s="1"/>
  <c r="U14" i="38"/>
  <c r="V14" i="38" s="1"/>
  <c r="X14" i="38" s="1"/>
  <c r="Y14" i="38" s="1"/>
  <c r="W14" i="38"/>
  <c r="W16" i="38"/>
  <c r="U16" i="38"/>
  <c r="V16" i="38" s="1"/>
  <c r="X16" i="38" s="1"/>
  <c r="W7" i="38"/>
  <c r="U7" i="38"/>
  <c r="V7" i="38" s="1"/>
  <c r="X7" i="38" s="1"/>
  <c r="U10" i="38"/>
  <c r="V10" i="38" s="1"/>
  <c r="X10" i="38" s="1"/>
  <c r="W10" i="38"/>
  <c r="AH8" i="38"/>
  <c r="AI8" i="38" s="1"/>
  <c r="AF8" i="38"/>
  <c r="AG8" i="38" s="1"/>
  <c r="U6" i="38"/>
  <c r="V6" i="38" s="1"/>
  <c r="X6" i="38" s="1"/>
  <c r="W6" i="38"/>
  <c r="W12" i="38"/>
  <c r="U12" i="38"/>
  <c r="V12" i="38" s="1"/>
  <c r="X12" i="38" s="1"/>
  <c r="U9" i="38"/>
  <c r="V9" i="38" s="1"/>
  <c r="X9" i="38" s="1"/>
  <c r="W9" i="38"/>
  <c r="W5" i="38"/>
  <c r="U5" i="38"/>
  <c r="V5" i="38" s="1"/>
  <c r="X5" i="38" s="1"/>
  <c r="Y5" i="38" s="1"/>
  <c r="L87" i="38"/>
  <c r="M87" i="38" s="1"/>
  <c r="N87" i="38" s="1"/>
  <c r="O87" i="38" s="1"/>
  <c r="P87" i="38" s="1"/>
  <c r="Q87" i="38" s="1"/>
  <c r="R87" i="38" s="1"/>
  <c r="S87" i="38" s="1"/>
  <c r="T87" i="38" s="1"/>
  <c r="U87" i="38" s="1"/>
  <c r="V87" i="38" s="1"/>
  <c r="W87" i="38" s="1"/>
  <c r="X87" i="38" s="1"/>
  <c r="Y87" i="38" s="1"/>
  <c r="Z87" i="38" s="1"/>
  <c r="AA87" i="38" s="1"/>
  <c r="AB87" i="38" s="1"/>
  <c r="AC87" i="38" s="1"/>
  <c r="AD87" i="38" s="1"/>
  <c r="AE87" i="38" s="1"/>
  <c r="AF87" i="38" s="1"/>
  <c r="AG87" i="38" s="1"/>
  <c r="AH87" i="38" s="1"/>
  <c r="AI87" i="38" s="1"/>
  <c r="AJ87" i="38" s="1"/>
  <c r="T32" i="38" s="1"/>
  <c r="W32" i="38" s="1"/>
  <c r="AE32" i="38"/>
  <c r="AE28" i="38"/>
  <c r="W47" i="38"/>
  <c r="Y47" i="38" s="1"/>
  <c r="AH47" i="38" s="1"/>
  <c r="AI47" i="38" s="1"/>
  <c r="U20" i="38"/>
  <c r="V20" i="38" s="1"/>
  <c r="X20" i="38" s="1"/>
  <c r="Y20" i="38" s="1"/>
  <c r="L84" i="38"/>
  <c r="M84" i="38" s="1"/>
  <c r="N84" i="38" s="1"/>
  <c r="O84" i="38" s="1"/>
  <c r="P84" i="38" s="1"/>
  <c r="Q84" i="38" s="1"/>
  <c r="R84" i="38" s="1"/>
  <c r="S84" i="38" s="1"/>
  <c r="T84" i="38" s="1"/>
  <c r="U84" i="38" s="1"/>
  <c r="V84" i="38" s="1"/>
  <c r="W84" i="38" s="1"/>
  <c r="X84" i="38" s="1"/>
  <c r="Y84" i="38" s="1"/>
  <c r="Z84" i="38" s="1"/>
  <c r="AA84" i="38" s="1"/>
  <c r="AB84" i="38" s="1"/>
  <c r="AC84" i="38" s="1"/>
  <c r="AD84" i="38" s="1"/>
  <c r="AE84" i="38" s="1"/>
  <c r="AF84" i="38" s="1"/>
  <c r="AG84" i="38" s="1"/>
  <c r="AH84" i="38" s="1"/>
  <c r="AI84" i="38" s="1"/>
  <c r="AJ84" i="38" s="1"/>
  <c r="T29" i="38" s="1"/>
  <c r="W29" i="38" s="1"/>
  <c r="L68" i="38"/>
  <c r="M68" i="38" s="1"/>
  <c r="N68" i="38" s="1"/>
  <c r="O68" i="38" s="1"/>
  <c r="P68" i="38" s="1"/>
  <c r="Q68" i="38" s="1"/>
  <c r="R68" i="38" s="1"/>
  <c r="S68" i="38" s="1"/>
  <c r="T68" i="38" s="1"/>
  <c r="U68" i="38" s="1"/>
  <c r="V68" i="38" s="1"/>
  <c r="W68" i="38" s="1"/>
  <c r="X68" i="38" s="1"/>
  <c r="Y68" i="38" s="1"/>
  <c r="Z68" i="38" s="1"/>
  <c r="AA68" i="38" s="1"/>
  <c r="AB68" i="38" s="1"/>
  <c r="AC68" i="38" s="1"/>
  <c r="AD68" i="38" s="1"/>
  <c r="AE68" i="38" s="1"/>
  <c r="AF68" i="38" s="1"/>
  <c r="AG68" i="38" s="1"/>
  <c r="AH68" i="38" s="1"/>
  <c r="AI68" i="38" s="1"/>
  <c r="AJ68" i="38" s="1"/>
  <c r="T13" i="38" s="1"/>
  <c r="U46" i="38"/>
  <c r="V46" i="38" s="1"/>
  <c r="X46" i="38" s="1"/>
  <c r="W46" i="38"/>
  <c r="Y17" i="38"/>
  <c r="AF17" i="38" s="1"/>
  <c r="AG17" i="38" s="1"/>
  <c r="U35" i="38"/>
  <c r="V35" i="38" s="1"/>
  <c r="X35" i="38" s="1"/>
  <c r="Y35" i="38" s="1"/>
  <c r="W49" i="38"/>
  <c r="Y49" i="38" s="1"/>
  <c r="Y39" i="38"/>
  <c r="AH39" i="38" s="1"/>
  <c r="AI39" i="38" s="1"/>
  <c r="W21" i="38"/>
  <c r="U21" i="38"/>
  <c r="V21" i="38" s="1"/>
  <c r="X21" i="38" s="1"/>
  <c r="AE23" i="38"/>
  <c r="Y27" i="38"/>
  <c r="AF27" i="38" s="1"/>
  <c r="AG27" i="38" s="1"/>
  <c r="Y22" i="38"/>
  <c r="AF22" i="38" s="1"/>
  <c r="AG22" i="38" s="1"/>
  <c r="U6" i="37"/>
  <c r="V6" i="37" s="1"/>
  <c r="X6" i="37" s="1"/>
  <c r="Y6" i="37" s="1"/>
  <c r="W6" i="37"/>
  <c r="AF13" i="37"/>
  <c r="AG13" i="37" s="1"/>
  <c r="AH13" i="37"/>
  <c r="AI13" i="37" s="1"/>
  <c r="U18" i="38"/>
  <c r="V18" i="38" s="1"/>
  <c r="X18" i="38" s="1"/>
  <c r="W18" i="38"/>
  <c r="U4" i="38"/>
  <c r="W4" i="38"/>
  <c r="Y4" i="38" s="1"/>
  <c r="U25" i="38"/>
  <c r="V25" i="38" s="1"/>
  <c r="X25" i="38" s="1"/>
  <c r="W25" i="38"/>
  <c r="W31" i="38"/>
  <c r="U31" i="38"/>
  <c r="V31" i="38" s="1"/>
  <c r="X31" i="38" s="1"/>
  <c r="U40" i="38"/>
  <c r="V40" i="38" s="1"/>
  <c r="X40" i="38" s="1"/>
  <c r="W40" i="38"/>
  <c r="W24" i="37"/>
  <c r="U24" i="37"/>
  <c r="V24" i="37" s="1"/>
  <c r="X24" i="37" s="1"/>
  <c r="U5" i="37"/>
  <c r="V5" i="37" s="1"/>
  <c r="X5" i="37" s="1"/>
  <c r="W5" i="37"/>
  <c r="W50" i="37"/>
  <c r="U50" i="37"/>
  <c r="V50" i="37" s="1"/>
  <c r="X50" i="37" s="1"/>
  <c r="U37" i="38"/>
  <c r="V37" i="38" s="1"/>
  <c r="X37" i="38" s="1"/>
  <c r="W37" i="38"/>
  <c r="U22" i="37"/>
  <c r="V22" i="37" s="1"/>
  <c r="X22" i="37" s="1"/>
  <c r="W22" i="37"/>
  <c r="U14" i="37"/>
  <c r="V14" i="37" s="1"/>
  <c r="X14" i="37" s="1"/>
  <c r="W14" i="37"/>
  <c r="W37" i="37"/>
  <c r="U37" i="37"/>
  <c r="V37" i="37" s="1"/>
  <c r="X37" i="37" s="1"/>
  <c r="W28" i="37"/>
  <c r="U28" i="37"/>
  <c r="V28" i="37" s="1"/>
  <c r="X28" i="37" s="1"/>
  <c r="W30" i="38"/>
  <c r="U30" i="38"/>
  <c r="V30" i="38" s="1"/>
  <c r="X30" i="38" s="1"/>
  <c r="W41" i="38"/>
  <c r="U41" i="38"/>
  <c r="V41" i="38" s="1"/>
  <c r="X41" i="38" s="1"/>
  <c r="U25" i="37"/>
  <c r="V25" i="37" s="1"/>
  <c r="X25" i="37" s="1"/>
  <c r="W25" i="37"/>
  <c r="W26" i="37"/>
  <c r="U26" i="37"/>
  <c r="V26" i="37" s="1"/>
  <c r="X26" i="37" s="1"/>
  <c r="U7" i="37"/>
  <c r="V7" i="37" s="1"/>
  <c r="X7" i="37" s="1"/>
  <c r="W7" i="37"/>
  <c r="U11" i="37"/>
  <c r="V11" i="37" s="1"/>
  <c r="X11" i="37" s="1"/>
  <c r="W11" i="37"/>
  <c r="U36" i="38"/>
  <c r="V36" i="38" s="1"/>
  <c r="X36" i="38" s="1"/>
  <c r="W36" i="38"/>
  <c r="W45" i="38"/>
  <c r="U45" i="38"/>
  <c r="V45" i="38" s="1"/>
  <c r="X45" i="38" s="1"/>
  <c r="W10" i="37"/>
  <c r="U10" i="37"/>
  <c r="V10" i="37" s="1"/>
  <c r="X10" i="37" s="1"/>
  <c r="Y10" i="37" s="1"/>
  <c r="U30" i="37"/>
  <c r="V30" i="37" s="1"/>
  <c r="X30" i="37" s="1"/>
  <c r="W30" i="37"/>
  <c r="W9" i="37"/>
  <c r="U9" i="37"/>
  <c r="V9" i="37" s="1"/>
  <c r="X9" i="37" s="1"/>
  <c r="Y9" i="37" s="1"/>
  <c r="AF33" i="37"/>
  <c r="AH33" i="37"/>
  <c r="U19" i="37"/>
  <c r="V19" i="37" s="1"/>
  <c r="X19" i="37" s="1"/>
  <c r="W19" i="37"/>
  <c r="W20" i="37"/>
  <c r="U20" i="37"/>
  <c r="V20" i="37" s="1"/>
  <c r="X20" i="37" s="1"/>
  <c r="AF45" i="37"/>
  <c r="AG45" i="37" s="1"/>
  <c r="AH45" i="37"/>
  <c r="AI45" i="37" s="1"/>
  <c r="U41" i="37"/>
  <c r="V41" i="37" s="1"/>
  <c r="X41" i="37" s="1"/>
  <c r="W41" i="37"/>
  <c r="W33" i="38"/>
  <c r="U33" i="38"/>
  <c r="V33" i="38" s="1"/>
  <c r="X33" i="38" s="1"/>
  <c r="U50" i="38"/>
  <c r="V50" i="38" s="1"/>
  <c r="X50" i="38" s="1"/>
  <c r="W50" i="38"/>
  <c r="U46" i="37"/>
  <c r="V46" i="37" s="1"/>
  <c r="X46" i="37" s="1"/>
  <c r="W46" i="37"/>
  <c r="U40" i="37"/>
  <c r="V40" i="37" s="1"/>
  <c r="X40" i="37" s="1"/>
  <c r="Y40" i="37" s="1"/>
  <c r="W40" i="37"/>
  <c r="U4" i="37"/>
  <c r="W4" i="37"/>
  <c r="Y4" i="37" s="1"/>
  <c r="W16" i="37"/>
  <c r="U16" i="37"/>
  <c r="V16" i="37" s="1"/>
  <c r="X16" i="37" s="1"/>
  <c r="AF39" i="38"/>
  <c r="AG39" i="38" s="1"/>
  <c r="AH47" i="37"/>
  <c r="AI47" i="37" s="1"/>
  <c r="AF47" i="37"/>
  <c r="AG47" i="37" s="1"/>
  <c r="U43" i="37"/>
  <c r="V43" i="37" s="1"/>
  <c r="X43" i="37" s="1"/>
  <c r="W43" i="37"/>
  <c r="AE49" i="37"/>
  <c r="U44" i="38"/>
  <c r="V44" i="38" s="1"/>
  <c r="X44" i="38" s="1"/>
  <c r="W44" i="38"/>
  <c r="W38" i="38"/>
  <c r="U38" i="38"/>
  <c r="V38" i="38" s="1"/>
  <c r="X38" i="38" s="1"/>
  <c r="Y15" i="37"/>
  <c r="U19" i="38"/>
  <c r="V19" i="38" s="1"/>
  <c r="X19" i="38" s="1"/>
  <c r="W19" i="38"/>
  <c r="U43" i="38"/>
  <c r="V43" i="38" s="1"/>
  <c r="X43" i="38" s="1"/>
  <c r="W43" i="38"/>
  <c r="U26" i="38"/>
  <c r="V26" i="38" s="1"/>
  <c r="X26" i="38" s="1"/>
  <c r="W26" i="38"/>
  <c r="L83" i="38"/>
  <c r="M83" i="38" s="1"/>
  <c r="N83" i="38" s="1"/>
  <c r="O83" i="38" s="1"/>
  <c r="P83" i="38" s="1"/>
  <c r="Q83" i="38" s="1"/>
  <c r="R83" i="38" s="1"/>
  <c r="S83" i="38" s="1"/>
  <c r="T83" i="38" s="1"/>
  <c r="U83" i="38" s="1"/>
  <c r="V83" i="38" s="1"/>
  <c r="W83" i="38" s="1"/>
  <c r="X83" i="38" s="1"/>
  <c r="Y83" i="38" s="1"/>
  <c r="Z83" i="38" s="1"/>
  <c r="AA83" i="38" s="1"/>
  <c r="AB83" i="38" s="1"/>
  <c r="AC83" i="38" s="1"/>
  <c r="AD83" i="38" s="1"/>
  <c r="AE83" i="38" s="1"/>
  <c r="AF83" i="38" s="1"/>
  <c r="AG83" i="38" s="1"/>
  <c r="AH83" i="38" s="1"/>
  <c r="AI83" i="38" s="1"/>
  <c r="AJ83" i="38" s="1"/>
  <c r="T28" i="38" s="1"/>
  <c r="AE41" i="37"/>
  <c r="W31" i="37"/>
  <c r="U31" i="37"/>
  <c r="V31" i="37" s="1"/>
  <c r="X31" i="37" s="1"/>
  <c r="Y31" i="37" s="1"/>
  <c r="AE37" i="38"/>
  <c r="W17" i="37"/>
  <c r="U17" i="37"/>
  <c r="V17" i="37" s="1"/>
  <c r="X17" i="37" s="1"/>
  <c r="AE26" i="37"/>
  <c r="Y44" i="37"/>
  <c r="AH12" i="37"/>
  <c r="AI12" i="37" s="1"/>
  <c r="AF12" i="37"/>
  <c r="AG12" i="37" s="1"/>
  <c r="AH21" i="37"/>
  <c r="AI21" i="37" s="1"/>
  <c r="AF21" i="37"/>
  <c r="AG21" i="37" s="1"/>
  <c r="U35" i="37"/>
  <c r="V35" i="37" s="1"/>
  <c r="X35" i="37" s="1"/>
  <c r="Y35" i="37" s="1"/>
  <c r="W35" i="37"/>
  <c r="W42" i="38"/>
  <c r="U42" i="38"/>
  <c r="V42" i="38" s="1"/>
  <c r="X42" i="38" s="1"/>
  <c r="W23" i="37"/>
  <c r="U23" i="37"/>
  <c r="V23" i="37" s="1"/>
  <c r="X23" i="37" s="1"/>
  <c r="AH8" i="37"/>
  <c r="AI8" i="37" s="1"/>
  <c r="AF8" i="37"/>
  <c r="AG8" i="37" s="1"/>
  <c r="W42" i="37"/>
  <c r="Y42" i="37" s="1"/>
  <c r="Y38" i="37"/>
  <c r="AE25" i="37"/>
  <c r="U39" i="37"/>
  <c r="V39" i="37" s="1"/>
  <c r="X39" i="37" s="1"/>
  <c r="W39" i="37"/>
  <c r="AE31" i="38"/>
  <c r="U27" i="37"/>
  <c r="V27" i="37" s="1"/>
  <c r="X27" i="37" s="1"/>
  <c r="W27" i="37"/>
  <c r="W24" i="38"/>
  <c r="U24" i="38"/>
  <c r="V24" i="38" s="1"/>
  <c r="X24" i="38" s="1"/>
  <c r="AH51" i="37"/>
  <c r="AF51" i="37"/>
  <c r="AE7" i="37"/>
  <c r="AE33" i="37"/>
  <c r="AE30" i="37"/>
  <c r="W29" i="37"/>
  <c r="U29" i="37"/>
  <c r="V29" i="37" s="1"/>
  <c r="X29" i="37" s="1"/>
  <c r="Y18" i="37"/>
  <c r="U34" i="38"/>
  <c r="V34" i="38" s="1"/>
  <c r="X34" i="38" s="1"/>
  <c r="W34" i="38"/>
  <c r="AE41" i="38"/>
  <c r="W36" i="37"/>
  <c r="U36" i="37"/>
  <c r="V36" i="37" s="1"/>
  <c r="X36" i="37" s="1"/>
  <c r="Y36" i="37" s="1"/>
  <c r="U32" i="37"/>
  <c r="V32" i="37" s="1"/>
  <c r="X32" i="37" s="1"/>
  <c r="Y32" i="37" s="1"/>
  <c r="W32" i="37"/>
  <c r="Y49" i="37"/>
  <c r="L78" i="38"/>
  <c r="M78" i="38" s="1"/>
  <c r="N78" i="38" s="1"/>
  <c r="O78" i="38" s="1"/>
  <c r="P78" i="38" s="1"/>
  <c r="Q78" i="38" s="1"/>
  <c r="R78" i="38" s="1"/>
  <c r="S78" i="38" s="1"/>
  <c r="T78" i="38" s="1"/>
  <c r="U78" i="38" s="1"/>
  <c r="V78" i="38" s="1"/>
  <c r="W78" i="38" s="1"/>
  <c r="X78" i="38" s="1"/>
  <c r="Y78" i="38" s="1"/>
  <c r="Z78" i="38" s="1"/>
  <c r="AA78" i="38" s="1"/>
  <c r="AB78" i="38" s="1"/>
  <c r="AC78" i="38" s="1"/>
  <c r="AD78" i="38" s="1"/>
  <c r="AE78" i="38" s="1"/>
  <c r="AF78" i="38" s="1"/>
  <c r="AG78" i="38" s="1"/>
  <c r="AH78" i="38" s="1"/>
  <c r="AI78" i="38" s="1"/>
  <c r="AJ78" i="38" s="1"/>
  <c r="T23" i="38" s="1"/>
  <c r="L89" i="37"/>
  <c r="M89" i="37" s="1"/>
  <c r="N89" i="37" s="1"/>
  <c r="O89" i="37" s="1"/>
  <c r="P89" i="37" s="1"/>
  <c r="Q89" i="37" s="1"/>
  <c r="R89" i="37" s="1"/>
  <c r="S89" i="37" s="1"/>
  <c r="T89" i="37" s="1"/>
  <c r="U89" i="37" s="1"/>
  <c r="V89" i="37" s="1"/>
  <c r="W89" i="37" s="1"/>
  <c r="X89" i="37" s="1"/>
  <c r="Y89" i="37" s="1"/>
  <c r="Z89" i="37" s="1"/>
  <c r="AA89" i="37" s="1"/>
  <c r="AB89" i="37" s="1"/>
  <c r="AC89" i="37" s="1"/>
  <c r="AD89" i="37" s="1"/>
  <c r="AE89" i="37" s="1"/>
  <c r="AF89" i="37" s="1"/>
  <c r="AG89" i="37" s="1"/>
  <c r="AH89" i="37" s="1"/>
  <c r="AI89" i="37" s="1"/>
  <c r="AJ89" i="37" s="1"/>
  <c r="T34" i="37" s="1"/>
  <c r="AE4" i="38"/>
  <c r="Y48" i="38"/>
  <c r="Y48" i="37"/>
  <c r="U43" i="36"/>
  <c r="V43" i="36" s="1"/>
  <c r="X43" i="36" s="1"/>
  <c r="Y43" i="36" s="1"/>
  <c r="W43" i="36"/>
  <c r="U39" i="36"/>
  <c r="V39" i="36" s="1"/>
  <c r="X39" i="36" s="1"/>
  <c r="W39" i="36"/>
  <c r="U23" i="36"/>
  <c r="V23" i="36" s="1"/>
  <c r="X23" i="36" s="1"/>
  <c r="Y23" i="36" s="1"/>
  <c r="W23" i="36"/>
  <c r="W17" i="36"/>
  <c r="U17" i="36"/>
  <c r="V17" i="36" s="1"/>
  <c r="X17" i="36" s="1"/>
  <c r="Y17" i="36" s="1"/>
  <c r="U24" i="36"/>
  <c r="V24" i="36" s="1"/>
  <c r="X24" i="36" s="1"/>
  <c r="Y24" i="36" s="1"/>
  <c r="W24" i="36"/>
  <c r="AF6" i="36"/>
  <c r="AG6" i="36" s="1"/>
  <c r="AH6" i="36"/>
  <c r="AI6" i="36" s="1"/>
  <c r="U21" i="36"/>
  <c r="V21" i="36" s="1"/>
  <c r="X21" i="36" s="1"/>
  <c r="Y21" i="36" s="1"/>
  <c r="W21" i="36"/>
  <c r="U42" i="36"/>
  <c r="V42" i="36" s="1"/>
  <c r="X42" i="36" s="1"/>
  <c r="W42" i="36"/>
  <c r="AH47" i="36"/>
  <c r="AI47" i="36" s="1"/>
  <c r="AF47" i="36"/>
  <c r="AG47" i="36" s="1"/>
  <c r="U51" i="36"/>
  <c r="W51" i="36"/>
  <c r="Y51" i="36" s="1"/>
  <c r="U32" i="36"/>
  <c r="V32" i="36" s="1"/>
  <c r="X32" i="36" s="1"/>
  <c r="Y32" i="36" s="1"/>
  <c r="W32" i="36"/>
  <c r="U7" i="36"/>
  <c r="V7" i="36" s="1"/>
  <c r="X7" i="36" s="1"/>
  <c r="W7" i="36"/>
  <c r="W19" i="36"/>
  <c r="U19" i="36"/>
  <c r="V19" i="36" s="1"/>
  <c r="X19" i="36" s="1"/>
  <c r="U50" i="36"/>
  <c r="V50" i="36" s="1"/>
  <c r="X50" i="36" s="1"/>
  <c r="W50" i="36"/>
  <c r="U5" i="36"/>
  <c r="V5" i="36" s="1"/>
  <c r="X5" i="36" s="1"/>
  <c r="Y5" i="36" s="1"/>
  <c r="W5" i="36"/>
  <c r="U46" i="36"/>
  <c r="V46" i="36" s="1"/>
  <c r="X46" i="36" s="1"/>
  <c r="W46" i="36"/>
  <c r="U26" i="36"/>
  <c r="V26" i="36" s="1"/>
  <c r="X26" i="36" s="1"/>
  <c r="Y26" i="36" s="1"/>
  <c r="W26" i="36"/>
  <c r="W29" i="36"/>
  <c r="U29" i="36"/>
  <c r="V29" i="36" s="1"/>
  <c r="X29" i="36" s="1"/>
  <c r="Y29" i="36" s="1"/>
  <c r="AH35" i="36"/>
  <c r="AI35" i="36" s="1"/>
  <c r="AF35" i="36"/>
  <c r="AG35" i="36" s="1"/>
  <c r="AH40" i="36"/>
  <c r="AI40" i="36" s="1"/>
  <c r="AF40" i="36"/>
  <c r="AG40" i="36" s="1"/>
  <c r="AF28" i="36"/>
  <c r="AG28" i="36" s="1"/>
  <c r="AH28" i="36"/>
  <c r="AI28" i="36" s="1"/>
  <c r="W33" i="36"/>
  <c r="U33" i="36"/>
  <c r="V33" i="36" s="1"/>
  <c r="X33" i="36" s="1"/>
  <c r="Y33" i="36" s="1"/>
  <c r="AF16" i="36"/>
  <c r="AG16" i="36" s="1"/>
  <c r="AH16" i="36"/>
  <c r="AI16" i="36" s="1"/>
  <c r="Y30" i="36"/>
  <c r="Y14" i="36"/>
  <c r="U18" i="36"/>
  <c r="V18" i="36" s="1"/>
  <c r="X18" i="36" s="1"/>
  <c r="Y18" i="36" s="1"/>
  <c r="W18" i="36"/>
  <c r="U44" i="36"/>
  <c r="V44" i="36" s="1"/>
  <c r="X44" i="36" s="1"/>
  <c r="W44" i="36"/>
  <c r="AF8" i="36"/>
  <c r="AG8" i="36" s="1"/>
  <c r="AH8" i="36"/>
  <c r="AI8" i="36" s="1"/>
  <c r="U41" i="36"/>
  <c r="V41" i="36" s="1"/>
  <c r="X41" i="36" s="1"/>
  <c r="W41" i="36"/>
  <c r="L89" i="36"/>
  <c r="M89" i="36" s="1"/>
  <c r="N89" i="36" s="1"/>
  <c r="O89" i="36" s="1"/>
  <c r="P89" i="36" s="1"/>
  <c r="Q89" i="36" s="1"/>
  <c r="R89" i="36" s="1"/>
  <c r="S89" i="36" s="1"/>
  <c r="T89" i="36" s="1"/>
  <c r="U89" i="36" s="1"/>
  <c r="V89" i="36" s="1"/>
  <c r="W89" i="36" s="1"/>
  <c r="X89" i="36" s="1"/>
  <c r="Y89" i="36" s="1"/>
  <c r="Z89" i="36" s="1"/>
  <c r="AA89" i="36" s="1"/>
  <c r="AB89" i="36" s="1"/>
  <c r="AC89" i="36" s="1"/>
  <c r="AD89" i="36" s="1"/>
  <c r="AE89" i="36" s="1"/>
  <c r="AF89" i="36" s="1"/>
  <c r="AG89" i="36" s="1"/>
  <c r="AH89" i="36" s="1"/>
  <c r="AI89" i="36" s="1"/>
  <c r="AJ89" i="36" s="1"/>
  <c r="T34" i="36" s="1"/>
  <c r="L68" i="36"/>
  <c r="M68" i="36" s="1"/>
  <c r="N68" i="36" s="1"/>
  <c r="O68" i="36" s="1"/>
  <c r="P68" i="36" s="1"/>
  <c r="Q68" i="36" s="1"/>
  <c r="R68" i="36" s="1"/>
  <c r="S68" i="36" s="1"/>
  <c r="T68" i="36" s="1"/>
  <c r="U68" i="36" s="1"/>
  <c r="V68" i="36" s="1"/>
  <c r="W68" i="36" s="1"/>
  <c r="X68" i="36" s="1"/>
  <c r="Y68" i="36" s="1"/>
  <c r="Z68" i="36" s="1"/>
  <c r="AA68" i="36" s="1"/>
  <c r="AB68" i="36" s="1"/>
  <c r="AC68" i="36" s="1"/>
  <c r="AD68" i="36" s="1"/>
  <c r="AE68" i="36" s="1"/>
  <c r="AF68" i="36" s="1"/>
  <c r="AG68" i="36" s="1"/>
  <c r="AH68" i="36" s="1"/>
  <c r="AI68" i="36" s="1"/>
  <c r="AJ68" i="36" s="1"/>
  <c r="T13" i="36" s="1"/>
  <c r="W27" i="36"/>
  <c r="U27" i="36"/>
  <c r="V27" i="36" s="1"/>
  <c r="X27" i="36" s="1"/>
  <c r="Y27" i="36" s="1"/>
  <c r="AE34" i="36"/>
  <c r="U31" i="36"/>
  <c r="V31" i="36" s="1"/>
  <c r="X31" i="36" s="1"/>
  <c r="Y31" i="36" s="1"/>
  <c r="W31" i="36"/>
  <c r="AF4" i="36"/>
  <c r="AH4" i="36"/>
  <c r="AI4" i="36" s="1"/>
  <c r="Y20" i="36"/>
  <c r="W45" i="36"/>
  <c r="U45" i="36"/>
  <c r="V45" i="36" s="1"/>
  <c r="X45" i="36" s="1"/>
  <c r="Y45" i="36" s="1"/>
  <c r="AH25" i="36"/>
  <c r="AI25" i="36" s="1"/>
  <c r="AF25" i="36"/>
  <c r="AG25" i="36" s="1"/>
  <c r="AF11" i="36"/>
  <c r="AG11" i="36" s="1"/>
  <c r="AH11" i="36"/>
  <c r="AI11" i="36" s="1"/>
  <c r="AF38" i="36"/>
  <c r="AG38" i="36" s="1"/>
  <c r="AH38" i="36"/>
  <c r="AI38" i="36" s="1"/>
  <c r="W15" i="36"/>
  <c r="U15" i="36"/>
  <c r="V15" i="36" s="1"/>
  <c r="X15" i="36" s="1"/>
  <c r="Y15" i="36" s="1"/>
  <c r="AH36" i="36"/>
  <c r="AI36" i="36" s="1"/>
  <c r="AF36" i="36"/>
  <c r="AG36" i="36" s="1"/>
  <c r="AF37" i="36"/>
  <c r="AG37" i="36" s="1"/>
  <c r="AH37" i="36"/>
  <c r="AI37" i="36" s="1"/>
  <c r="Y10" i="36"/>
  <c r="U12" i="36"/>
  <c r="V12" i="36" s="1"/>
  <c r="X12" i="36" s="1"/>
  <c r="Y12" i="36" s="1"/>
  <c r="W12" i="36"/>
  <c r="AE19" i="36"/>
  <c r="U49" i="36"/>
  <c r="V49" i="36" s="1"/>
  <c r="X49" i="36" s="1"/>
  <c r="Y49" i="36" s="1"/>
  <c r="W49" i="36"/>
  <c r="AH9" i="36"/>
  <c r="AI9" i="36" s="1"/>
  <c r="AF9" i="36"/>
  <c r="AG9" i="36" s="1"/>
  <c r="AF22" i="36"/>
  <c r="AG22" i="36" s="1"/>
  <c r="AH22" i="36"/>
  <c r="AI22" i="36" s="1"/>
  <c r="AH48" i="36"/>
  <c r="AI48" i="36" s="1"/>
  <c r="AF48" i="36"/>
  <c r="AG48" i="36" s="1"/>
  <c r="M14" i="35"/>
  <c r="M22" i="35"/>
  <c r="M30" i="35"/>
  <c r="M38" i="35"/>
  <c r="M46" i="35"/>
  <c r="M50" i="35"/>
  <c r="S51" i="35"/>
  <c r="M18" i="35"/>
  <c r="M26" i="35"/>
  <c r="M34" i="35"/>
  <c r="M42" i="35"/>
  <c r="M6" i="35"/>
  <c r="M8" i="35"/>
  <c r="M10" i="35"/>
  <c r="S10" i="35" s="1"/>
  <c r="M12" i="35"/>
  <c r="S4" i="35"/>
  <c r="AB13" i="35"/>
  <c r="AB19" i="35"/>
  <c r="AB29" i="35"/>
  <c r="AB4" i="35"/>
  <c r="AB8" i="35"/>
  <c r="AB12" i="35"/>
  <c r="AB47" i="35"/>
  <c r="AD47" i="35"/>
  <c r="AD43" i="35"/>
  <c r="AB33" i="35"/>
  <c r="AB45" i="35"/>
  <c r="AB43" i="35"/>
  <c r="AB49" i="35"/>
  <c r="AB6" i="35"/>
  <c r="AB10" i="35"/>
  <c r="R22" i="35"/>
  <c r="AD49" i="35"/>
  <c r="AD45" i="35"/>
  <c r="AD33" i="35"/>
  <c r="AD29" i="35"/>
  <c r="S46" i="35"/>
  <c r="M16" i="35"/>
  <c r="M32" i="35"/>
  <c r="M36" i="35"/>
  <c r="M40" i="35"/>
  <c r="M44" i="35"/>
  <c r="S44" i="35" s="1"/>
  <c r="M48" i="35"/>
  <c r="S48" i="35" s="1"/>
  <c r="M5" i="35"/>
  <c r="M7" i="35"/>
  <c r="M9" i="35"/>
  <c r="M11" i="35"/>
  <c r="M20" i="35"/>
  <c r="M24" i="35"/>
  <c r="M28" i="35"/>
  <c r="M17" i="35"/>
  <c r="M19" i="35"/>
  <c r="S19" i="35" s="1"/>
  <c r="M25" i="35"/>
  <c r="M27" i="35"/>
  <c r="M29" i="35"/>
  <c r="S29" i="35" s="1"/>
  <c r="M31" i="35"/>
  <c r="M33" i="35"/>
  <c r="S33" i="35" s="1"/>
  <c r="M35" i="35"/>
  <c r="M37" i="35"/>
  <c r="M39" i="35"/>
  <c r="M41" i="35"/>
  <c r="M43" i="35"/>
  <c r="M45" i="35"/>
  <c r="S45" i="35" s="1"/>
  <c r="M47" i="35"/>
  <c r="S47" i="35" s="1"/>
  <c r="M49" i="35"/>
  <c r="S49" i="35" s="1"/>
  <c r="M21" i="35"/>
  <c r="M15" i="35"/>
  <c r="M23" i="35"/>
  <c r="S50" i="35"/>
  <c r="S43" i="35"/>
  <c r="S13" i="35"/>
  <c r="S6" i="35"/>
  <c r="S8" i="35"/>
  <c r="S12" i="35"/>
  <c r="K102" i="35"/>
  <c r="K98" i="35"/>
  <c r="K104" i="35"/>
  <c r="K100" i="35"/>
  <c r="L100" i="35" s="1"/>
  <c r="M100" i="35" s="1"/>
  <c r="K88" i="35"/>
  <c r="K84" i="35"/>
  <c r="P25" i="35"/>
  <c r="AB25" i="35" s="1"/>
  <c r="P5" i="35"/>
  <c r="P18" i="35"/>
  <c r="AB18" i="35" s="1"/>
  <c r="P7" i="35"/>
  <c r="P31" i="35"/>
  <c r="AB31" i="35" s="1"/>
  <c r="P39" i="35"/>
  <c r="AB39" i="35" s="1"/>
  <c r="O51" i="35"/>
  <c r="Q51" i="35" s="1"/>
  <c r="AD51" i="35" s="1"/>
  <c r="O37" i="35"/>
  <c r="Q37" i="35" s="1"/>
  <c r="Z37" i="35" s="1"/>
  <c r="AA37" i="35" s="1"/>
  <c r="O41" i="35"/>
  <c r="Q41" i="35" s="1"/>
  <c r="Z41" i="35" s="1"/>
  <c r="AA41" i="35" s="1"/>
  <c r="P16" i="35"/>
  <c r="AB16" i="35" s="1"/>
  <c r="P23" i="35"/>
  <c r="AB23" i="35" s="1"/>
  <c r="P35" i="35"/>
  <c r="AB35" i="35" s="1"/>
  <c r="P11" i="35"/>
  <c r="AD11" i="35" s="1"/>
  <c r="P14" i="35"/>
  <c r="AB14" i="35" s="1"/>
  <c r="P20" i="35"/>
  <c r="P21" i="35"/>
  <c r="AB21" i="35" s="1"/>
  <c r="O27" i="35"/>
  <c r="Q27" i="35" s="1"/>
  <c r="Z27" i="35" s="1"/>
  <c r="AA27" i="35" s="1"/>
  <c r="P37" i="35"/>
  <c r="P41" i="35"/>
  <c r="O16" i="35"/>
  <c r="Q16" i="35" s="1"/>
  <c r="Z16" i="35" s="1"/>
  <c r="AA16" i="35" s="1"/>
  <c r="P27" i="35"/>
  <c r="AB27" i="35" s="1"/>
  <c r="O8" i="35"/>
  <c r="Q8" i="35" s="1"/>
  <c r="AD8" i="35" s="1"/>
  <c r="P9" i="35"/>
  <c r="AD9" i="35" s="1"/>
  <c r="O23" i="35"/>
  <c r="Q23" i="35" s="1"/>
  <c r="Z23" i="35" s="1"/>
  <c r="AA23" i="35" s="1"/>
  <c r="P15" i="35"/>
  <c r="AB15" i="35" s="1"/>
  <c r="O44" i="35"/>
  <c r="Q44" i="35" s="1"/>
  <c r="AD44" i="35" s="1"/>
  <c r="P36" i="35"/>
  <c r="O14" i="35"/>
  <c r="Q14" i="35" s="1"/>
  <c r="Z14" i="35" s="1"/>
  <c r="AA14" i="35" s="1"/>
  <c r="P26" i="35"/>
  <c r="AB26" i="35" s="1"/>
  <c r="O34" i="35"/>
  <c r="Q34" i="35" s="1"/>
  <c r="Z34" i="35" s="1"/>
  <c r="AA34" i="35" s="1"/>
  <c r="O4" i="35"/>
  <c r="Q4" i="35" s="1"/>
  <c r="AD4" i="35" s="1"/>
  <c r="O12" i="35"/>
  <c r="Q12" i="35" s="1"/>
  <c r="AD12" i="35" s="1"/>
  <c r="O20" i="35"/>
  <c r="Q20" i="35" s="1"/>
  <c r="Z20" i="35" s="1"/>
  <c r="AA20" i="35" s="1"/>
  <c r="O21" i="35"/>
  <c r="Q21" i="35" s="1"/>
  <c r="Z21" i="35" s="1"/>
  <c r="AA21" i="35" s="1"/>
  <c r="P28" i="35"/>
  <c r="AB28" i="35" s="1"/>
  <c r="O36" i="35"/>
  <c r="Q36" i="35" s="1"/>
  <c r="Z36" i="35" s="1"/>
  <c r="AA36" i="35" s="1"/>
  <c r="O6" i="35"/>
  <c r="Q6" i="35" s="1"/>
  <c r="Z6" i="35" s="1"/>
  <c r="AA6" i="35" s="1"/>
  <c r="O50" i="35"/>
  <c r="Q50" i="35" s="1"/>
  <c r="AD50" i="35" s="1"/>
  <c r="P42" i="35"/>
  <c r="O10" i="35"/>
  <c r="Q10" i="35" s="1"/>
  <c r="Z10" i="35" s="1"/>
  <c r="AA10" i="35" s="1"/>
  <c r="P17" i="35"/>
  <c r="AB17" i="35" s="1"/>
  <c r="O25" i="35"/>
  <c r="Q25" i="35" s="1"/>
  <c r="Z25" i="35" s="1"/>
  <c r="AA25" i="35" s="1"/>
  <c r="O18" i="35"/>
  <c r="Q18" i="35" s="1"/>
  <c r="Z18" i="35" s="1"/>
  <c r="AA18" i="35" s="1"/>
  <c r="P34" i="35"/>
  <c r="O42" i="35"/>
  <c r="Q42" i="35" s="1"/>
  <c r="Z42" i="35" s="1"/>
  <c r="AA42" i="35" s="1"/>
  <c r="O13" i="35"/>
  <c r="Q13" i="35" s="1"/>
  <c r="Z13" i="35" s="1"/>
  <c r="AA13" i="35" s="1"/>
  <c r="O15" i="35"/>
  <c r="Q15" i="35" s="1"/>
  <c r="Z15" i="35" s="1"/>
  <c r="AA15" i="35" s="1"/>
  <c r="O17" i="35"/>
  <c r="Q17" i="35" s="1"/>
  <c r="Z17" i="35" s="1"/>
  <c r="AA17" i="35" s="1"/>
  <c r="O19" i="35"/>
  <c r="Q19" i="35" s="1"/>
  <c r="AD19" i="35" s="1"/>
  <c r="P24" i="35"/>
  <c r="AB24" i="35" s="1"/>
  <c r="O32" i="35"/>
  <c r="Q32" i="35" s="1"/>
  <c r="Z32" i="35" s="1"/>
  <c r="AA32" i="35" s="1"/>
  <c r="P32" i="35"/>
  <c r="O40" i="35"/>
  <c r="Q40" i="35" s="1"/>
  <c r="Z40" i="35" s="1"/>
  <c r="AA40" i="35" s="1"/>
  <c r="O48" i="35"/>
  <c r="Q48" i="35" s="1"/>
  <c r="AD48" i="35" s="1"/>
  <c r="P40" i="35"/>
  <c r="P22" i="35"/>
  <c r="AB22" i="35" s="1"/>
  <c r="O30" i="35"/>
  <c r="Q30" i="35" s="1"/>
  <c r="Z30" i="35" s="1"/>
  <c r="AA30" i="35" s="1"/>
  <c r="P30" i="35"/>
  <c r="AB30" i="35" s="1"/>
  <c r="O38" i="35"/>
  <c r="Q38" i="35" s="1"/>
  <c r="Z38" i="35" s="1"/>
  <c r="AA38" i="35" s="1"/>
  <c r="O46" i="35"/>
  <c r="Q46" i="35" s="1"/>
  <c r="AD46" i="35" s="1"/>
  <c r="P38" i="35"/>
  <c r="L88" i="35" l="1"/>
  <c r="M88" i="35" s="1"/>
  <c r="Y16" i="37"/>
  <c r="Y20" i="37"/>
  <c r="AI33" i="37"/>
  <c r="Y26" i="37"/>
  <c r="Y28" i="37"/>
  <c r="L98" i="35"/>
  <c r="M98" i="35" s="1"/>
  <c r="Y27" i="37"/>
  <c r="Y22" i="37"/>
  <c r="AF51" i="38"/>
  <c r="AG51" i="38" s="1"/>
  <c r="AH51" i="38"/>
  <c r="AI51" i="38" s="1"/>
  <c r="U32" i="38"/>
  <c r="V32" i="38" s="1"/>
  <c r="X32" i="38" s="1"/>
  <c r="Y16" i="38"/>
  <c r="AH16" i="38" s="1"/>
  <c r="AI16" i="38" s="1"/>
  <c r="AF16" i="38"/>
  <c r="AG16" i="38" s="1"/>
  <c r="AF11" i="38"/>
  <c r="AG11" i="38" s="1"/>
  <c r="AH11" i="38"/>
  <c r="AI11" i="38" s="1"/>
  <c r="Y9" i="38"/>
  <c r="Y6" i="38"/>
  <c r="Y10" i="38"/>
  <c r="U13" i="38"/>
  <c r="V13" i="38" s="1"/>
  <c r="X13" i="38" s="1"/>
  <c r="Y13" i="38" s="1"/>
  <c r="W13" i="38"/>
  <c r="AF5" i="38"/>
  <c r="AH5" i="38"/>
  <c r="Y12" i="38"/>
  <c r="Y7" i="38"/>
  <c r="AF14" i="38"/>
  <c r="AG14" i="38" s="1"/>
  <c r="AH14" i="38"/>
  <c r="AI14" i="38" s="1"/>
  <c r="AH20" i="38"/>
  <c r="AI20" i="38" s="1"/>
  <c r="AF20" i="38"/>
  <c r="AG20" i="38" s="1"/>
  <c r="U29" i="38"/>
  <c r="V29" i="38" s="1"/>
  <c r="X29" i="38" s="1"/>
  <c r="Y29" i="38" s="1"/>
  <c r="AF29" i="38" s="1"/>
  <c r="AG29" i="38" s="1"/>
  <c r="AH17" i="38"/>
  <c r="AI17" i="38" s="1"/>
  <c r="AF47" i="38"/>
  <c r="AG47" i="38" s="1"/>
  <c r="Y21" i="38"/>
  <c r="AF21" i="38" s="1"/>
  <c r="AG21" i="38" s="1"/>
  <c r="Y40" i="38"/>
  <c r="AF40" i="38" s="1"/>
  <c r="AG40" i="38" s="1"/>
  <c r="Y25" i="38"/>
  <c r="Y18" i="38"/>
  <c r="AH18" i="38" s="1"/>
  <c r="AI18" i="38" s="1"/>
  <c r="AH22" i="38"/>
  <c r="AI22" i="38" s="1"/>
  <c r="Y46" i="38"/>
  <c r="Y44" i="38"/>
  <c r="AF44" i="38" s="1"/>
  <c r="AG44" i="38" s="1"/>
  <c r="Y33" i="38"/>
  <c r="AH33" i="38" s="1"/>
  <c r="AI33" i="38" s="1"/>
  <c r="Y41" i="38"/>
  <c r="Y30" i="38"/>
  <c r="AH30" i="38" s="1"/>
  <c r="AI30" i="38" s="1"/>
  <c r="AH27" i="38"/>
  <c r="AI27" i="38" s="1"/>
  <c r="Y45" i="38"/>
  <c r="AF45" i="38" s="1"/>
  <c r="AG45" i="38" s="1"/>
  <c r="Y31" i="38"/>
  <c r="AF31" i="38" s="1"/>
  <c r="AG31" i="38" s="1"/>
  <c r="AH42" i="37"/>
  <c r="AI42" i="37" s="1"/>
  <c r="AF42" i="37"/>
  <c r="AG42" i="37" s="1"/>
  <c r="AH44" i="38"/>
  <c r="AI44" i="38" s="1"/>
  <c r="AF40" i="37"/>
  <c r="AG40" i="37" s="1"/>
  <c r="AH40" i="37"/>
  <c r="AI40" i="37" s="1"/>
  <c r="AH20" i="37"/>
  <c r="AI20" i="37" s="1"/>
  <c r="AF20" i="37"/>
  <c r="AG20" i="37" s="1"/>
  <c r="AF28" i="37"/>
  <c r="AG28" i="37" s="1"/>
  <c r="AH28" i="37"/>
  <c r="AI28" i="37" s="1"/>
  <c r="AH4" i="38"/>
  <c r="AI4" i="38" s="1"/>
  <c r="AF4" i="38"/>
  <c r="AF49" i="37"/>
  <c r="AG49" i="37" s="1"/>
  <c r="AH49" i="37"/>
  <c r="AI49" i="37" s="1"/>
  <c r="Y34" i="38"/>
  <c r="Y39" i="37"/>
  <c r="AH38" i="37"/>
  <c r="AI38" i="37" s="1"/>
  <c r="AF38" i="37"/>
  <c r="AG38" i="37" s="1"/>
  <c r="Y42" i="38"/>
  <c r="Y17" i="37"/>
  <c r="Y26" i="38"/>
  <c r="Y19" i="38"/>
  <c r="AH15" i="37"/>
  <c r="AI15" i="37" s="1"/>
  <c r="AF15" i="37"/>
  <c r="AG15" i="37" s="1"/>
  <c r="Y38" i="38"/>
  <c r="Y50" i="38"/>
  <c r="AG33" i="37"/>
  <c r="Y30" i="37"/>
  <c r="Y11" i="37"/>
  <c r="Y7" i="37"/>
  <c r="Y25" i="37"/>
  <c r="Y14" i="37"/>
  <c r="Y37" i="38"/>
  <c r="Y5" i="37"/>
  <c r="AF48" i="37"/>
  <c r="AG48" i="37" s="1"/>
  <c r="AH48" i="37"/>
  <c r="AI48" i="37" s="1"/>
  <c r="AF48" i="38"/>
  <c r="AG48" i="38" s="1"/>
  <c r="AH48" i="38"/>
  <c r="AI48" i="38" s="1"/>
  <c r="AH31" i="37"/>
  <c r="AI31" i="37" s="1"/>
  <c r="AF31" i="37"/>
  <c r="AG31" i="37" s="1"/>
  <c r="AH35" i="38"/>
  <c r="AI35" i="38" s="1"/>
  <c r="AF35" i="38"/>
  <c r="AG35" i="38" s="1"/>
  <c r="AF49" i="38"/>
  <c r="AG49" i="38" s="1"/>
  <c r="AH49" i="38"/>
  <c r="AI49" i="38" s="1"/>
  <c r="U34" i="37"/>
  <c r="V34" i="37" s="1"/>
  <c r="X34" i="37" s="1"/>
  <c r="W34" i="37"/>
  <c r="AF18" i="37"/>
  <c r="AG18" i="37" s="1"/>
  <c r="AH18" i="37"/>
  <c r="AI18" i="37" s="1"/>
  <c r="AH27" i="37"/>
  <c r="AI27" i="37" s="1"/>
  <c r="AF27" i="37"/>
  <c r="AG27" i="37" s="1"/>
  <c r="AH16" i="37"/>
  <c r="AI16" i="37" s="1"/>
  <c r="AF16" i="37"/>
  <c r="AG16" i="37" s="1"/>
  <c r="AF9" i="37"/>
  <c r="AG9" i="37" s="1"/>
  <c r="AH9" i="37"/>
  <c r="AI9" i="37" s="1"/>
  <c r="AF10" i="37"/>
  <c r="AG10" i="37" s="1"/>
  <c r="AH10" i="37"/>
  <c r="AI10" i="37" s="1"/>
  <c r="AH26" i="37"/>
  <c r="AI26" i="37" s="1"/>
  <c r="AF26" i="37"/>
  <c r="AG26" i="37" s="1"/>
  <c r="AF41" i="38"/>
  <c r="AG41" i="38" s="1"/>
  <c r="AH41" i="38"/>
  <c r="AI41" i="38" s="1"/>
  <c r="Y37" i="37"/>
  <c r="Y50" i="37"/>
  <c r="Y24" i="37"/>
  <c r="AF36" i="37"/>
  <c r="AG36" i="37" s="1"/>
  <c r="AH36" i="37"/>
  <c r="AI36" i="37" s="1"/>
  <c r="AH35" i="37"/>
  <c r="AI35" i="37" s="1"/>
  <c r="AF35" i="37"/>
  <c r="AG35" i="37" s="1"/>
  <c r="AF4" i="37"/>
  <c r="AH4" i="37"/>
  <c r="AI4" i="37" s="1"/>
  <c r="W23" i="38"/>
  <c r="U23" i="38"/>
  <c r="V23" i="38" s="1"/>
  <c r="X23" i="38" s="1"/>
  <c r="AF32" i="37"/>
  <c r="AG32" i="37" s="1"/>
  <c r="AH32" i="37"/>
  <c r="AI32" i="37" s="1"/>
  <c r="Y29" i="37"/>
  <c r="Y24" i="38"/>
  <c r="Y23" i="37"/>
  <c r="AF44" i="37"/>
  <c r="AG44" i="37" s="1"/>
  <c r="AH44" i="37"/>
  <c r="AI44" i="37" s="1"/>
  <c r="W28" i="38"/>
  <c r="U28" i="38"/>
  <c r="V28" i="38" s="1"/>
  <c r="X28" i="38" s="1"/>
  <c r="Y43" i="38"/>
  <c r="Y43" i="37"/>
  <c r="Y46" i="37"/>
  <c r="Y41" i="37"/>
  <c r="Y19" i="37"/>
  <c r="Y36" i="38"/>
  <c r="Y32" i="38"/>
  <c r="AH22" i="37"/>
  <c r="AI22" i="37" s="1"/>
  <c r="AF22" i="37"/>
  <c r="AG22" i="37" s="1"/>
  <c r="AH25" i="38"/>
  <c r="AI25" i="38" s="1"/>
  <c r="AF25" i="38"/>
  <c r="AG25" i="38" s="1"/>
  <c r="AF6" i="37"/>
  <c r="AG6" i="37" s="1"/>
  <c r="AH6" i="37"/>
  <c r="AI6" i="37" s="1"/>
  <c r="AF15" i="36"/>
  <c r="AG15" i="36" s="1"/>
  <c r="AH15" i="36"/>
  <c r="AI15" i="36" s="1"/>
  <c r="AF27" i="36"/>
  <c r="AG27" i="36" s="1"/>
  <c r="AH27" i="36"/>
  <c r="AI27" i="36" s="1"/>
  <c r="AH14" i="36"/>
  <c r="AI14" i="36" s="1"/>
  <c r="AF14" i="36"/>
  <c r="AG14" i="36" s="1"/>
  <c r="AH29" i="36"/>
  <c r="AI29" i="36" s="1"/>
  <c r="AF29" i="36"/>
  <c r="AG29" i="36" s="1"/>
  <c r="AH51" i="36"/>
  <c r="AF51" i="36"/>
  <c r="AF17" i="36"/>
  <c r="AG17" i="36" s="1"/>
  <c r="AH17" i="36"/>
  <c r="AI17" i="36" s="1"/>
  <c r="Y41" i="36"/>
  <c r="Y44" i="36"/>
  <c r="AH30" i="36"/>
  <c r="AI30" i="36" s="1"/>
  <c r="AF30" i="36"/>
  <c r="AG30" i="36" s="1"/>
  <c r="Y46" i="36"/>
  <c r="Y50" i="36"/>
  <c r="Y7" i="36"/>
  <c r="Y42" i="36"/>
  <c r="Y39" i="36"/>
  <c r="AF45" i="36"/>
  <c r="AG45" i="36" s="1"/>
  <c r="AH45" i="36"/>
  <c r="AI45" i="36" s="1"/>
  <c r="AH33" i="36"/>
  <c r="AI33" i="36" s="1"/>
  <c r="AF33" i="36"/>
  <c r="AG33" i="36" s="1"/>
  <c r="AF12" i="36"/>
  <c r="AG12" i="36" s="1"/>
  <c r="AH12" i="36"/>
  <c r="AI12" i="36" s="1"/>
  <c r="AH20" i="36"/>
  <c r="AI20" i="36" s="1"/>
  <c r="AF20" i="36"/>
  <c r="AG20" i="36" s="1"/>
  <c r="AF31" i="36"/>
  <c r="AG31" i="36" s="1"/>
  <c r="AH31" i="36"/>
  <c r="AI31" i="36" s="1"/>
  <c r="W13" i="36"/>
  <c r="U13" i="36"/>
  <c r="V13" i="36" s="1"/>
  <c r="X13" i="36" s="1"/>
  <c r="Y19" i="36"/>
  <c r="AF49" i="36"/>
  <c r="AG49" i="36" s="1"/>
  <c r="AH49" i="36"/>
  <c r="AI49" i="36" s="1"/>
  <c r="AH10" i="36"/>
  <c r="AI10" i="36" s="1"/>
  <c r="AF10" i="36"/>
  <c r="AG10" i="36" s="1"/>
  <c r="W34" i="36"/>
  <c r="U34" i="36"/>
  <c r="V34" i="36" s="1"/>
  <c r="X34" i="36" s="1"/>
  <c r="Y34" i="36" s="1"/>
  <c r="AH18" i="36"/>
  <c r="AI18" i="36" s="1"/>
  <c r="AF18" i="36"/>
  <c r="AG18" i="36" s="1"/>
  <c r="AH26" i="36"/>
  <c r="AI26" i="36" s="1"/>
  <c r="AF26" i="36"/>
  <c r="AG26" i="36" s="1"/>
  <c r="AH5" i="36"/>
  <c r="AF5" i="36"/>
  <c r="AF32" i="36"/>
  <c r="AG32" i="36" s="1"/>
  <c r="AH32" i="36"/>
  <c r="AI32" i="36" s="1"/>
  <c r="AF21" i="36"/>
  <c r="AG21" i="36" s="1"/>
  <c r="AH21" i="36"/>
  <c r="AI21" i="36" s="1"/>
  <c r="AH24" i="36"/>
  <c r="AI24" i="36" s="1"/>
  <c r="AF24" i="36"/>
  <c r="AG24" i="36" s="1"/>
  <c r="AF23" i="36"/>
  <c r="AG23" i="36" s="1"/>
  <c r="AH23" i="36"/>
  <c r="AI23" i="36" s="1"/>
  <c r="AH43" i="36"/>
  <c r="AI43" i="36" s="1"/>
  <c r="AF43" i="36"/>
  <c r="AG43" i="36" s="1"/>
  <c r="L102" i="35"/>
  <c r="M102" i="35" s="1"/>
  <c r="L104" i="35"/>
  <c r="M104" i="35" s="1"/>
  <c r="L84" i="35"/>
  <c r="M84" i="35" s="1"/>
  <c r="N84" i="35" s="1"/>
  <c r="O84" i="35" s="1"/>
  <c r="AE12" i="35"/>
  <c r="AE47" i="35"/>
  <c r="AE8" i="35"/>
  <c r="AE45" i="35"/>
  <c r="AE29" i="35"/>
  <c r="AE4" i="35"/>
  <c r="AE33" i="35"/>
  <c r="AE19" i="35"/>
  <c r="AE49" i="35"/>
  <c r="AE43" i="35"/>
  <c r="AB41" i="35"/>
  <c r="AB34" i="35"/>
  <c r="AD25" i="35"/>
  <c r="AE25" i="35" s="1"/>
  <c r="AB40" i="35"/>
  <c r="AB42" i="35"/>
  <c r="N88" i="35"/>
  <c r="O88" i="35" s="1"/>
  <c r="AD36" i="35"/>
  <c r="AD27" i="35"/>
  <c r="AE27" i="35" s="1"/>
  <c r="AB37" i="35"/>
  <c r="AD34" i="35"/>
  <c r="AD38" i="35"/>
  <c r="AD32" i="35"/>
  <c r="AD28" i="35"/>
  <c r="AE28" i="35" s="1"/>
  <c r="K60" i="35"/>
  <c r="AB5" i="35"/>
  <c r="AD13" i="35"/>
  <c r="AE13" i="35" s="1"/>
  <c r="AD37" i="35"/>
  <c r="AE37" i="35" s="1"/>
  <c r="AD6" i="35"/>
  <c r="AE6" i="35" s="1"/>
  <c r="AD22" i="35"/>
  <c r="AE22" i="35" s="1"/>
  <c r="AD40" i="35"/>
  <c r="AE40" i="35" s="1"/>
  <c r="AD15" i="35"/>
  <c r="AE15" i="35" s="1"/>
  <c r="AD31" i="35"/>
  <c r="AE31" i="35" s="1"/>
  <c r="S36" i="35"/>
  <c r="AB36" i="35"/>
  <c r="K64" i="35"/>
  <c r="AB9" i="35"/>
  <c r="AE9" i="35" s="1"/>
  <c r="S20" i="35"/>
  <c r="AB20" i="35"/>
  <c r="AB38" i="35"/>
  <c r="K66" i="35"/>
  <c r="AB11" i="35"/>
  <c r="AE11" i="35" s="1"/>
  <c r="AD17" i="35"/>
  <c r="AE17" i="35" s="1"/>
  <c r="AD41" i="35"/>
  <c r="AE41" i="35" s="1"/>
  <c r="AD10" i="35"/>
  <c r="AE10" i="35" s="1"/>
  <c r="AD26" i="35"/>
  <c r="AE26" i="35" s="1"/>
  <c r="AD42" i="35"/>
  <c r="AD35" i="35"/>
  <c r="AE35" i="35" s="1"/>
  <c r="AD16" i="35"/>
  <c r="AE16" i="35" s="1"/>
  <c r="AD18" i="35"/>
  <c r="AE18" i="35" s="1"/>
  <c r="AB32" i="35"/>
  <c r="K62" i="35"/>
  <c r="AB7" i="35"/>
  <c r="AD5" i="35"/>
  <c r="AE5" i="35" s="1"/>
  <c r="AD21" i="35"/>
  <c r="AE21" i="35" s="1"/>
  <c r="AD24" i="35"/>
  <c r="AE24" i="35" s="1"/>
  <c r="AD14" i="35"/>
  <c r="AE14" i="35" s="1"/>
  <c r="AD30" i="35"/>
  <c r="AE30" i="35" s="1"/>
  <c r="AD7" i="35"/>
  <c r="AD23" i="35"/>
  <c r="AE23" i="35" s="1"/>
  <c r="AD39" i="35"/>
  <c r="AE39" i="35" s="1"/>
  <c r="AD20" i="35"/>
  <c r="K101" i="35"/>
  <c r="Z46" i="35"/>
  <c r="AA46" i="35" s="1"/>
  <c r="AB46" i="35" s="1"/>
  <c r="AE46" i="35" s="1"/>
  <c r="K103" i="35"/>
  <c r="Z48" i="35"/>
  <c r="AA48" i="35" s="1"/>
  <c r="AB48" i="35" s="1"/>
  <c r="AE48" i="35" s="1"/>
  <c r="K105" i="35"/>
  <c r="Z50" i="35"/>
  <c r="AA50" i="35" s="1"/>
  <c r="AB50" i="35" s="1"/>
  <c r="AE50" i="35" s="1"/>
  <c r="K99" i="35"/>
  <c r="Z44" i="35"/>
  <c r="AA44" i="35" s="1"/>
  <c r="AB44" i="35" s="1"/>
  <c r="AE44" i="35" s="1"/>
  <c r="K63" i="35"/>
  <c r="Z8" i="35"/>
  <c r="AA8" i="35" s="1"/>
  <c r="N100" i="35"/>
  <c r="O100" i="35" s="1"/>
  <c r="K67" i="35"/>
  <c r="Z12" i="35"/>
  <c r="AA12" i="35" s="1"/>
  <c r="K59" i="35"/>
  <c r="L59" i="35" s="1"/>
  <c r="M59" i="35" s="1"/>
  <c r="N59" i="35" s="1"/>
  <c r="O59" i="35" s="1"/>
  <c r="Z4" i="35"/>
  <c r="AA4" i="35" s="1"/>
  <c r="K106" i="35"/>
  <c r="Z51" i="35"/>
  <c r="AA51" i="35" s="1"/>
  <c r="AB51" i="35" s="1"/>
  <c r="AE51" i="35" s="1"/>
  <c r="K74" i="35"/>
  <c r="Z19" i="35"/>
  <c r="AA19" i="35" s="1"/>
  <c r="S41" i="35"/>
  <c r="K68" i="35"/>
  <c r="S37" i="35"/>
  <c r="S16" i="35"/>
  <c r="S38" i="35"/>
  <c r="S17" i="35"/>
  <c r="K61" i="35"/>
  <c r="K81" i="35"/>
  <c r="N104" i="35"/>
  <c r="O104" i="35" s="1"/>
  <c r="K77" i="35"/>
  <c r="S32" i="35"/>
  <c r="K65" i="35"/>
  <c r="S21" i="35"/>
  <c r="N98" i="35"/>
  <c r="O98" i="35" s="1"/>
  <c r="S42" i="35"/>
  <c r="K83" i="35"/>
  <c r="K79" i="35"/>
  <c r="S14" i="35"/>
  <c r="N102" i="35"/>
  <c r="O102" i="35" s="1"/>
  <c r="S5" i="35"/>
  <c r="S23" i="35"/>
  <c r="S26" i="35"/>
  <c r="S40" i="35"/>
  <c r="S30" i="35"/>
  <c r="S18" i="35"/>
  <c r="S11" i="35"/>
  <c r="K90" i="35"/>
  <c r="S35" i="35"/>
  <c r="S34" i="35"/>
  <c r="K92" i="35"/>
  <c r="K94" i="35"/>
  <c r="S39" i="35"/>
  <c r="S22" i="35"/>
  <c r="S28" i="35"/>
  <c r="S9" i="35"/>
  <c r="S25" i="35"/>
  <c r="K93" i="35"/>
  <c r="S15" i="35"/>
  <c r="K82" i="35"/>
  <c r="S27" i="35"/>
  <c r="K86" i="35"/>
  <c r="S31" i="35"/>
  <c r="S24" i="35"/>
  <c r="S7" i="35"/>
  <c r="K72" i="35"/>
  <c r="L72" i="35" s="1"/>
  <c r="M72" i="35" s="1"/>
  <c r="K70" i="35"/>
  <c r="K89" i="35"/>
  <c r="K76" i="35"/>
  <c r="K95" i="35"/>
  <c r="K97" i="35"/>
  <c r="K96" i="35"/>
  <c r="K75" i="35"/>
  <c r="K78" i="35"/>
  <c r="L78" i="35" s="1"/>
  <c r="M78" i="35" s="1"/>
  <c r="K73" i="35"/>
  <c r="K85" i="35"/>
  <c r="K80" i="35"/>
  <c r="L80" i="35" s="1"/>
  <c r="M80" i="35" s="1"/>
  <c r="K69" i="35"/>
  <c r="L69" i="35" s="1"/>
  <c r="M69" i="35" s="1"/>
  <c r="K71" i="35"/>
  <c r="K91" i="35"/>
  <c r="K87" i="35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60" i="31"/>
  <c r="D59" i="31"/>
  <c r="D58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42" i="31"/>
  <c r="Y34" i="37" l="1"/>
  <c r="AH45" i="38"/>
  <c r="AI45" i="38" s="1"/>
  <c r="AF10" i="38"/>
  <c r="AG10" i="38" s="1"/>
  <c r="AH10" i="38"/>
  <c r="AI10" i="38" s="1"/>
  <c r="AH13" i="38"/>
  <c r="AI13" i="38" s="1"/>
  <c r="AF13" i="38"/>
  <c r="AG13" i="38" s="1"/>
  <c r="AF6" i="38"/>
  <c r="AG6" i="38" s="1"/>
  <c r="AH6" i="38"/>
  <c r="AI6" i="38" s="1"/>
  <c r="AH12" i="38"/>
  <c r="AI12" i="38" s="1"/>
  <c r="AF12" i="38"/>
  <c r="AG12" i="38" s="1"/>
  <c r="AH7" i="38"/>
  <c r="AI7" i="38" s="1"/>
  <c r="AF7" i="38"/>
  <c r="AG7" i="38" s="1"/>
  <c r="AH9" i="38"/>
  <c r="AI9" i="38" s="1"/>
  <c r="AF9" i="38"/>
  <c r="AG9" i="38" s="1"/>
  <c r="AH40" i="38"/>
  <c r="AI40" i="38" s="1"/>
  <c r="AH21" i="38"/>
  <c r="AI21" i="38" s="1"/>
  <c r="AF18" i="38"/>
  <c r="AG18" i="38" s="1"/>
  <c r="AH29" i="38"/>
  <c r="AI29" i="38" s="1"/>
  <c r="AF30" i="38"/>
  <c r="AG30" i="38" s="1"/>
  <c r="AH46" i="38"/>
  <c r="AI46" i="38" s="1"/>
  <c r="AF46" i="38"/>
  <c r="AG46" i="38" s="1"/>
  <c r="AF33" i="38"/>
  <c r="AG33" i="38" s="1"/>
  <c r="AH31" i="38"/>
  <c r="AI31" i="38" s="1"/>
  <c r="AF32" i="38"/>
  <c r="AG32" i="38" s="1"/>
  <c r="AH32" i="38"/>
  <c r="AI32" i="38" s="1"/>
  <c r="AH46" i="37"/>
  <c r="AI46" i="37" s="1"/>
  <c r="AF46" i="37"/>
  <c r="AG46" i="37" s="1"/>
  <c r="Y28" i="38"/>
  <c r="AF23" i="37"/>
  <c r="AG23" i="37" s="1"/>
  <c r="AH23" i="37"/>
  <c r="AI23" i="37" s="1"/>
  <c r="AF24" i="37"/>
  <c r="AG24" i="37" s="1"/>
  <c r="AH24" i="37"/>
  <c r="AI24" i="37" s="1"/>
  <c r="AF5" i="37"/>
  <c r="AH5" i="37"/>
  <c r="AH7" i="37"/>
  <c r="AI7" i="37" s="1"/>
  <c r="AF7" i="37"/>
  <c r="AG7" i="37" s="1"/>
  <c r="AH42" i="38"/>
  <c r="AI42" i="38" s="1"/>
  <c r="AF42" i="38"/>
  <c r="AG42" i="38" s="1"/>
  <c r="AH34" i="38"/>
  <c r="AI34" i="38" s="1"/>
  <c r="AF34" i="38"/>
  <c r="AG34" i="38" s="1"/>
  <c r="AH43" i="38"/>
  <c r="AI43" i="38" s="1"/>
  <c r="AF43" i="38"/>
  <c r="AG43" i="38" s="1"/>
  <c r="AF25" i="37"/>
  <c r="AG25" i="37" s="1"/>
  <c r="AH25" i="37"/>
  <c r="AI25" i="37" s="1"/>
  <c r="AF17" i="37"/>
  <c r="AG17" i="37" s="1"/>
  <c r="AH17" i="37"/>
  <c r="AI17" i="37" s="1"/>
  <c r="AF36" i="38"/>
  <c r="AG36" i="38" s="1"/>
  <c r="AH36" i="38"/>
  <c r="AI36" i="38" s="1"/>
  <c r="AH43" i="37"/>
  <c r="AI43" i="37" s="1"/>
  <c r="AF43" i="37"/>
  <c r="AG43" i="37" s="1"/>
  <c r="AH50" i="37"/>
  <c r="AI50" i="37" s="1"/>
  <c r="AF50" i="37"/>
  <c r="AG50" i="37" s="1"/>
  <c r="AF37" i="38"/>
  <c r="AG37" i="38" s="1"/>
  <c r="AH37" i="38"/>
  <c r="AI37" i="38" s="1"/>
  <c r="AH11" i="37"/>
  <c r="AI11" i="37" s="1"/>
  <c r="AF11" i="37"/>
  <c r="AG11" i="37" s="1"/>
  <c r="AH50" i="38"/>
  <c r="AI50" i="38" s="1"/>
  <c r="AF50" i="38"/>
  <c r="AG50" i="38" s="1"/>
  <c r="AH19" i="38"/>
  <c r="AI19" i="38" s="1"/>
  <c r="AF19" i="38"/>
  <c r="AG19" i="38" s="1"/>
  <c r="AF41" i="37"/>
  <c r="AG41" i="37" s="1"/>
  <c r="AH41" i="37"/>
  <c r="AI41" i="37" s="1"/>
  <c r="AF29" i="37"/>
  <c r="AG29" i="37" s="1"/>
  <c r="AH29" i="37"/>
  <c r="AI29" i="37" s="1"/>
  <c r="AH39" i="37"/>
  <c r="AI39" i="37" s="1"/>
  <c r="AF39" i="37"/>
  <c r="AG39" i="37" s="1"/>
  <c r="AF19" i="37"/>
  <c r="AG19" i="37" s="1"/>
  <c r="AH19" i="37"/>
  <c r="AI19" i="37" s="1"/>
  <c r="AH24" i="38"/>
  <c r="AI24" i="38" s="1"/>
  <c r="AF24" i="38"/>
  <c r="AG24" i="38" s="1"/>
  <c r="Y23" i="38"/>
  <c r="AF37" i="37"/>
  <c r="AG37" i="37" s="1"/>
  <c r="AH37" i="37"/>
  <c r="AI37" i="37" s="1"/>
  <c r="AH34" i="37"/>
  <c r="AI34" i="37" s="1"/>
  <c r="AF34" i="37"/>
  <c r="AG34" i="37" s="1"/>
  <c r="AH14" i="37"/>
  <c r="AI14" i="37" s="1"/>
  <c r="AF14" i="37"/>
  <c r="AG14" i="37" s="1"/>
  <c r="AH30" i="37"/>
  <c r="AI30" i="37" s="1"/>
  <c r="AF30" i="37"/>
  <c r="AG30" i="37" s="1"/>
  <c r="AH38" i="38"/>
  <c r="AI38" i="38" s="1"/>
  <c r="AF38" i="38"/>
  <c r="AG38" i="38" s="1"/>
  <c r="AH26" i="38"/>
  <c r="AI26" i="38" s="1"/>
  <c r="AF26" i="38"/>
  <c r="AG26" i="38" s="1"/>
  <c r="AH7" i="36"/>
  <c r="AI7" i="36" s="1"/>
  <c r="AF7" i="36"/>
  <c r="AG7" i="36" s="1"/>
  <c r="AF34" i="36"/>
  <c r="AG34" i="36" s="1"/>
  <c r="AH34" i="36"/>
  <c r="AI34" i="36" s="1"/>
  <c r="AH19" i="36"/>
  <c r="AI19" i="36" s="1"/>
  <c r="AF19" i="36"/>
  <c r="AG19" i="36" s="1"/>
  <c r="AF50" i="36"/>
  <c r="AG50" i="36" s="1"/>
  <c r="AH50" i="36"/>
  <c r="AI50" i="36" s="1"/>
  <c r="AH44" i="36"/>
  <c r="AI44" i="36" s="1"/>
  <c r="AF44" i="36"/>
  <c r="AG44" i="36" s="1"/>
  <c r="AF42" i="36"/>
  <c r="AG42" i="36" s="1"/>
  <c r="AH42" i="36"/>
  <c r="AI42" i="36" s="1"/>
  <c r="Y13" i="36"/>
  <c r="AH39" i="36"/>
  <c r="AI39" i="36" s="1"/>
  <c r="AF39" i="36"/>
  <c r="AG39" i="36" s="1"/>
  <c r="AF46" i="36"/>
  <c r="AG46" i="36" s="1"/>
  <c r="AH46" i="36"/>
  <c r="AI46" i="36" s="1"/>
  <c r="AF41" i="36"/>
  <c r="AG41" i="36" s="1"/>
  <c r="AH41" i="36"/>
  <c r="AI41" i="36" s="1"/>
  <c r="L75" i="35"/>
  <c r="M75" i="35" s="1"/>
  <c r="L76" i="35"/>
  <c r="M76" i="35" s="1"/>
  <c r="L89" i="35"/>
  <c r="M89" i="35" s="1"/>
  <c r="L92" i="35"/>
  <c r="M92" i="35" s="1"/>
  <c r="L91" i="35"/>
  <c r="M91" i="35" s="1"/>
  <c r="L97" i="35"/>
  <c r="M97" i="35" s="1"/>
  <c r="L62" i="35"/>
  <c r="M62" i="35" s="1"/>
  <c r="N62" i="35" s="1"/>
  <c r="O62" i="35" s="1"/>
  <c r="L64" i="35"/>
  <c r="M64" i="35" s="1"/>
  <c r="N64" i="35" s="1"/>
  <c r="O64" i="35" s="1"/>
  <c r="P64" i="35" s="1"/>
  <c r="Q64" i="35" s="1"/>
  <c r="R64" i="35" s="1"/>
  <c r="S64" i="35" s="1"/>
  <c r="T64" i="35" s="1"/>
  <c r="U64" i="35" s="1"/>
  <c r="V64" i="35" s="1"/>
  <c r="W64" i="35" s="1"/>
  <c r="X64" i="35" s="1"/>
  <c r="Y64" i="35" s="1"/>
  <c r="L85" i="35"/>
  <c r="M85" i="35" s="1"/>
  <c r="L96" i="35"/>
  <c r="M96" i="35" s="1"/>
  <c r="L95" i="35"/>
  <c r="M95" i="35" s="1"/>
  <c r="L93" i="35"/>
  <c r="M93" i="35" s="1"/>
  <c r="N93" i="35" s="1"/>
  <c r="O93" i="35" s="1"/>
  <c r="L87" i="35"/>
  <c r="M87" i="35" s="1"/>
  <c r="L86" i="35"/>
  <c r="M86" i="35" s="1"/>
  <c r="L79" i="35"/>
  <c r="M79" i="35" s="1"/>
  <c r="N79" i="35" s="1"/>
  <c r="O79" i="35" s="1"/>
  <c r="L77" i="35"/>
  <c r="M77" i="35" s="1"/>
  <c r="N77" i="35" s="1"/>
  <c r="O77" i="35" s="1"/>
  <c r="L68" i="35"/>
  <c r="M68" i="35" s="1"/>
  <c r="N68" i="35" s="1"/>
  <c r="O68" i="35" s="1"/>
  <c r="P68" i="35" s="1"/>
  <c r="Q68" i="35" s="1"/>
  <c r="R68" i="35" s="1"/>
  <c r="S68" i="35" s="1"/>
  <c r="T68" i="35" s="1"/>
  <c r="U68" i="35" s="1"/>
  <c r="V68" i="35" s="1"/>
  <c r="W68" i="35" s="1"/>
  <c r="X68" i="35" s="1"/>
  <c r="Y68" i="35" s="1"/>
  <c r="L63" i="35"/>
  <c r="M63" i="35" s="1"/>
  <c r="N63" i="35" s="1"/>
  <c r="O63" i="35" s="1"/>
  <c r="P63" i="35" s="1"/>
  <c r="Q63" i="35" s="1"/>
  <c r="R63" i="35" s="1"/>
  <c r="S63" i="35" s="1"/>
  <c r="T63" i="35" s="1"/>
  <c r="U63" i="35" s="1"/>
  <c r="V63" i="35" s="1"/>
  <c r="W63" i="35" s="1"/>
  <c r="X63" i="35" s="1"/>
  <c r="Y63" i="35" s="1"/>
  <c r="L105" i="35"/>
  <c r="M105" i="35" s="1"/>
  <c r="N105" i="35" s="1"/>
  <c r="O105" i="35" s="1"/>
  <c r="P105" i="35" s="1"/>
  <c r="Q105" i="35" s="1"/>
  <c r="R105" i="35" s="1"/>
  <c r="S105" i="35" s="1"/>
  <c r="T105" i="35" s="1"/>
  <c r="U105" i="35" s="1"/>
  <c r="V105" i="35" s="1"/>
  <c r="W105" i="35" s="1"/>
  <c r="X105" i="35" s="1"/>
  <c r="Y105" i="35" s="1"/>
  <c r="L101" i="35"/>
  <c r="M101" i="35" s="1"/>
  <c r="N101" i="35" s="1"/>
  <c r="O101" i="35" s="1"/>
  <c r="P101" i="35" s="1"/>
  <c r="Q101" i="35" s="1"/>
  <c r="R101" i="35" s="1"/>
  <c r="S101" i="35" s="1"/>
  <c r="T101" i="35" s="1"/>
  <c r="U101" i="35" s="1"/>
  <c r="V101" i="35" s="1"/>
  <c r="W101" i="35" s="1"/>
  <c r="X101" i="35" s="1"/>
  <c r="Y101" i="35" s="1"/>
  <c r="L61" i="35"/>
  <c r="M61" i="35" s="1"/>
  <c r="N61" i="35" s="1"/>
  <c r="O61" i="35" s="1"/>
  <c r="P61" i="35" s="1"/>
  <c r="Q61" i="35" s="1"/>
  <c r="R61" i="35" s="1"/>
  <c r="S61" i="35" s="1"/>
  <c r="T61" i="35" s="1"/>
  <c r="U61" i="35" s="1"/>
  <c r="V61" i="35" s="1"/>
  <c r="W61" i="35" s="1"/>
  <c r="X61" i="35" s="1"/>
  <c r="Y61" i="35" s="1"/>
  <c r="L83" i="35"/>
  <c r="M83" i="35" s="1"/>
  <c r="L106" i="35"/>
  <c r="M106" i="35" s="1"/>
  <c r="N106" i="35" s="1"/>
  <c r="O106" i="35" s="1"/>
  <c r="P106" i="35" s="1"/>
  <c r="Q106" i="35" s="1"/>
  <c r="R106" i="35" s="1"/>
  <c r="S106" i="35" s="1"/>
  <c r="T106" i="35" s="1"/>
  <c r="U106" i="35" s="1"/>
  <c r="V106" i="35" s="1"/>
  <c r="W106" i="35" s="1"/>
  <c r="X106" i="35" s="1"/>
  <c r="Y106" i="35" s="1"/>
  <c r="N67" i="35"/>
  <c r="O67" i="35" s="1"/>
  <c r="P67" i="35" s="1"/>
  <c r="Q67" i="35" s="1"/>
  <c r="R67" i="35" s="1"/>
  <c r="S67" i="35" s="1"/>
  <c r="T67" i="35" s="1"/>
  <c r="U67" i="35" s="1"/>
  <c r="V67" i="35" s="1"/>
  <c r="W67" i="35" s="1"/>
  <c r="X67" i="35" s="1"/>
  <c r="Y67" i="35" s="1"/>
  <c r="L67" i="35"/>
  <c r="M67" i="35" s="1"/>
  <c r="L74" i="35"/>
  <c r="M74" i="35" s="1"/>
  <c r="N74" i="35" s="1"/>
  <c r="O74" i="35" s="1"/>
  <c r="P74" i="35" s="1"/>
  <c r="Q74" i="35" s="1"/>
  <c r="R74" i="35" s="1"/>
  <c r="S74" i="35" s="1"/>
  <c r="T74" i="35" s="1"/>
  <c r="U74" i="35" s="1"/>
  <c r="V74" i="35" s="1"/>
  <c r="W74" i="35" s="1"/>
  <c r="X74" i="35" s="1"/>
  <c r="Y74" i="35" s="1"/>
  <c r="L71" i="35"/>
  <c r="M71" i="35" s="1"/>
  <c r="N71" i="35" s="1"/>
  <c r="O71" i="35" s="1"/>
  <c r="P71" i="35" s="1"/>
  <c r="Q71" i="35" s="1"/>
  <c r="R71" i="35" s="1"/>
  <c r="S71" i="35" s="1"/>
  <c r="T71" i="35" s="1"/>
  <c r="U71" i="35" s="1"/>
  <c r="V71" i="35" s="1"/>
  <c r="W71" i="35" s="1"/>
  <c r="X71" i="35" s="1"/>
  <c r="Y71" i="35" s="1"/>
  <c r="L73" i="35"/>
  <c r="M73" i="35" s="1"/>
  <c r="N73" i="35" s="1"/>
  <c r="O73" i="35" s="1"/>
  <c r="P73" i="35" s="1"/>
  <c r="Q73" i="35" s="1"/>
  <c r="R73" i="35" s="1"/>
  <c r="S73" i="35" s="1"/>
  <c r="T73" i="35" s="1"/>
  <c r="U73" i="35" s="1"/>
  <c r="V73" i="35" s="1"/>
  <c r="W73" i="35" s="1"/>
  <c r="X73" i="35" s="1"/>
  <c r="Y73" i="35" s="1"/>
  <c r="L70" i="35"/>
  <c r="M70" i="35" s="1"/>
  <c r="L82" i="35"/>
  <c r="M82" i="35" s="1"/>
  <c r="L94" i="35"/>
  <c r="M94" i="35" s="1"/>
  <c r="N94" i="35" s="1"/>
  <c r="O94" i="35" s="1"/>
  <c r="L90" i="35"/>
  <c r="M90" i="35" s="1"/>
  <c r="L65" i="35"/>
  <c r="M65" i="35" s="1"/>
  <c r="N65" i="35" s="1"/>
  <c r="O65" i="35" s="1"/>
  <c r="P65" i="35" s="1"/>
  <c r="Q65" i="35" s="1"/>
  <c r="R65" i="35" s="1"/>
  <c r="S65" i="35" s="1"/>
  <c r="T65" i="35" s="1"/>
  <c r="U65" i="35" s="1"/>
  <c r="V65" i="35" s="1"/>
  <c r="W65" i="35" s="1"/>
  <c r="X65" i="35" s="1"/>
  <c r="Y65" i="35" s="1"/>
  <c r="L81" i="35"/>
  <c r="M81" i="35" s="1"/>
  <c r="N81" i="35" s="1"/>
  <c r="O81" i="35" s="1"/>
  <c r="L99" i="35"/>
  <c r="M99" i="35" s="1"/>
  <c r="N99" i="35" s="1"/>
  <c r="O99" i="35" s="1"/>
  <c r="P99" i="35" s="1"/>
  <c r="Q99" i="35" s="1"/>
  <c r="R99" i="35" s="1"/>
  <c r="S99" i="35" s="1"/>
  <c r="T99" i="35" s="1"/>
  <c r="U99" i="35" s="1"/>
  <c r="V99" i="35" s="1"/>
  <c r="W99" i="35" s="1"/>
  <c r="X99" i="35" s="1"/>
  <c r="Y99" i="35" s="1"/>
  <c r="L103" i="35"/>
  <c r="M103" i="35" s="1"/>
  <c r="N103" i="35" s="1"/>
  <c r="O103" i="35" s="1"/>
  <c r="P103" i="35" s="1"/>
  <c r="Q103" i="35" s="1"/>
  <c r="R103" i="35" s="1"/>
  <c r="S103" i="35" s="1"/>
  <c r="T103" i="35" s="1"/>
  <c r="U103" i="35" s="1"/>
  <c r="V103" i="35" s="1"/>
  <c r="W103" i="35" s="1"/>
  <c r="X103" i="35" s="1"/>
  <c r="Y103" i="35" s="1"/>
  <c r="L66" i="35"/>
  <c r="M66" i="35" s="1"/>
  <c r="N66" i="35" s="1"/>
  <c r="O66" i="35" s="1"/>
  <c r="L60" i="35"/>
  <c r="M60" i="35" s="1"/>
  <c r="N60" i="35" s="1"/>
  <c r="O60" i="35" s="1"/>
  <c r="P59" i="35"/>
  <c r="Q59" i="35" s="1"/>
  <c r="R59" i="35" s="1"/>
  <c r="S59" i="35" s="1"/>
  <c r="T59" i="35" s="1"/>
  <c r="U59" i="35" s="1"/>
  <c r="V59" i="35" s="1"/>
  <c r="W59" i="35" s="1"/>
  <c r="X59" i="35" s="1"/>
  <c r="Y59" i="35" s="1"/>
  <c r="P102" i="35"/>
  <c r="Q102" i="35" s="1"/>
  <c r="R102" i="35" s="1"/>
  <c r="S102" i="35" s="1"/>
  <c r="T102" i="35" s="1"/>
  <c r="U102" i="35" s="1"/>
  <c r="V102" i="35" s="1"/>
  <c r="W102" i="35" s="1"/>
  <c r="X102" i="35" s="1"/>
  <c r="Y102" i="35" s="1"/>
  <c r="P88" i="35"/>
  <c r="Q88" i="35" s="1"/>
  <c r="R88" i="35" s="1"/>
  <c r="S88" i="35" s="1"/>
  <c r="T88" i="35" s="1"/>
  <c r="U88" i="35" s="1"/>
  <c r="V88" i="35" s="1"/>
  <c r="W88" i="35" s="1"/>
  <c r="X88" i="35" s="1"/>
  <c r="Y88" i="35" s="1"/>
  <c r="P98" i="35"/>
  <c r="Q98" i="35" s="1"/>
  <c r="R98" i="35" s="1"/>
  <c r="S98" i="35" s="1"/>
  <c r="T98" i="35" s="1"/>
  <c r="U98" i="35" s="1"/>
  <c r="V98" i="35" s="1"/>
  <c r="W98" i="35" s="1"/>
  <c r="X98" i="35" s="1"/>
  <c r="Y98" i="35" s="1"/>
  <c r="P84" i="35"/>
  <c r="Q84" i="35" s="1"/>
  <c r="R84" i="35" s="1"/>
  <c r="S84" i="35" s="1"/>
  <c r="T84" i="35" s="1"/>
  <c r="U84" i="35" s="1"/>
  <c r="V84" i="35" s="1"/>
  <c r="W84" i="35" s="1"/>
  <c r="X84" i="35" s="1"/>
  <c r="Y84" i="35" s="1"/>
  <c r="P100" i="35"/>
  <c r="Q100" i="35" s="1"/>
  <c r="R100" i="35" s="1"/>
  <c r="S100" i="35" s="1"/>
  <c r="T100" i="35" s="1"/>
  <c r="U100" i="35" s="1"/>
  <c r="V100" i="35" s="1"/>
  <c r="W100" i="35" s="1"/>
  <c r="X100" i="35" s="1"/>
  <c r="Y100" i="35" s="1"/>
  <c r="P104" i="35"/>
  <c r="Q104" i="35" s="1"/>
  <c r="R104" i="35" s="1"/>
  <c r="S104" i="35" s="1"/>
  <c r="T104" i="35" s="1"/>
  <c r="U104" i="35" s="1"/>
  <c r="V104" i="35" s="1"/>
  <c r="W104" i="35" s="1"/>
  <c r="X104" i="35" s="1"/>
  <c r="Y104" i="35" s="1"/>
  <c r="AE34" i="35"/>
  <c r="AE7" i="35"/>
  <c r="AE42" i="35"/>
  <c r="AE38" i="35"/>
  <c r="AE32" i="35"/>
  <c r="AE20" i="35"/>
  <c r="N83" i="35"/>
  <c r="O83" i="35" s="1"/>
  <c r="AE36" i="35"/>
  <c r="N75" i="35"/>
  <c r="O75" i="35" s="1"/>
  <c r="N91" i="35"/>
  <c r="O91" i="35" s="1"/>
  <c r="N69" i="35"/>
  <c r="O69" i="35" s="1"/>
  <c r="N97" i="35"/>
  <c r="O97" i="35" s="1"/>
  <c r="N87" i="35"/>
  <c r="O87" i="35" s="1"/>
  <c r="N92" i="35"/>
  <c r="O92" i="35" s="1"/>
  <c r="N90" i="35"/>
  <c r="O90" i="35" s="1"/>
  <c r="N95" i="35"/>
  <c r="O95" i="35" s="1"/>
  <c r="N72" i="35"/>
  <c r="O72" i="35" s="1"/>
  <c r="N76" i="35"/>
  <c r="O76" i="35" s="1"/>
  <c r="N96" i="35"/>
  <c r="O96" i="35" s="1"/>
  <c r="N89" i="35"/>
  <c r="O89" i="35" s="1"/>
  <c r="N86" i="35"/>
  <c r="O86" i="35" s="1"/>
  <c r="N80" i="35"/>
  <c r="O80" i="35" s="1"/>
  <c r="N85" i="35"/>
  <c r="O85" i="35" s="1"/>
  <c r="N82" i="35"/>
  <c r="O82" i="35" s="1"/>
  <c r="N70" i="35"/>
  <c r="O70" i="35" s="1"/>
  <c r="N78" i="35"/>
  <c r="O78" i="35" s="1"/>
  <c r="S14" i="31"/>
  <c r="AF23" i="38" l="1"/>
  <c r="AG23" i="38" s="1"/>
  <c r="AH23" i="38"/>
  <c r="AI23" i="38" s="1"/>
  <c r="AF28" i="38"/>
  <c r="AG28" i="38" s="1"/>
  <c r="AH28" i="38"/>
  <c r="AI28" i="38" s="1"/>
  <c r="AH13" i="36"/>
  <c r="AI13" i="36" s="1"/>
  <c r="AF13" i="36"/>
  <c r="AG13" i="36" s="1"/>
  <c r="Z99" i="35"/>
  <c r="AA99" i="35" s="1"/>
  <c r="AB99" i="35" s="1"/>
  <c r="AC99" i="35" s="1"/>
  <c r="AD99" i="35" s="1"/>
  <c r="AE99" i="35" s="1"/>
  <c r="AF99" i="35" s="1"/>
  <c r="AG99" i="35" s="1"/>
  <c r="AH99" i="35" s="1"/>
  <c r="AI99" i="35" s="1"/>
  <c r="AJ99" i="35" s="1"/>
  <c r="T44" i="35" s="1"/>
  <c r="Z106" i="35"/>
  <c r="AA106" i="35" s="1"/>
  <c r="AB106" i="35" s="1"/>
  <c r="AC106" i="35" s="1"/>
  <c r="AD106" i="35" s="1"/>
  <c r="AE106" i="35" s="1"/>
  <c r="AF106" i="35" s="1"/>
  <c r="AG106" i="35" s="1"/>
  <c r="AH106" i="35" s="1"/>
  <c r="AI106" i="35" s="1"/>
  <c r="AJ106" i="35" s="1"/>
  <c r="T51" i="35" s="1"/>
  <c r="Z103" i="35"/>
  <c r="AA103" i="35" s="1"/>
  <c r="AB103" i="35" s="1"/>
  <c r="AC103" i="35" s="1"/>
  <c r="AD103" i="35" s="1"/>
  <c r="AE103" i="35" s="1"/>
  <c r="AF103" i="35" s="1"/>
  <c r="AG103" i="35" s="1"/>
  <c r="AH103" i="35" s="1"/>
  <c r="AI103" i="35" s="1"/>
  <c r="AJ103" i="35" s="1"/>
  <c r="T48" i="35" s="1"/>
  <c r="Z74" i="35"/>
  <c r="AA74" i="35" s="1"/>
  <c r="AB74" i="35" s="1"/>
  <c r="AC74" i="35" s="1"/>
  <c r="AD74" i="35" s="1"/>
  <c r="AE74" i="35" s="1"/>
  <c r="AF74" i="35" s="1"/>
  <c r="AG74" i="35" s="1"/>
  <c r="AH74" i="35" s="1"/>
  <c r="AI74" i="35" s="1"/>
  <c r="AJ74" i="35" s="1"/>
  <c r="T19" i="35" s="1"/>
  <c r="Z64" i="35"/>
  <c r="AA64" i="35" s="1"/>
  <c r="AB64" i="35" s="1"/>
  <c r="AC64" i="35" s="1"/>
  <c r="AD64" i="35" s="1"/>
  <c r="AE64" i="35" s="1"/>
  <c r="AF64" i="35" s="1"/>
  <c r="AG64" i="35" s="1"/>
  <c r="AH64" i="35" s="1"/>
  <c r="AI64" i="35" s="1"/>
  <c r="AJ64" i="35" s="1"/>
  <c r="T9" i="35" s="1"/>
  <c r="Z73" i="35"/>
  <c r="AA73" i="35" s="1"/>
  <c r="AB73" i="35" s="1"/>
  <c r="AC73" i="35" s="1"/>
  <c r="AD73" i="35" s="1"/>
  <c r="AE73" i="35" s="1"/>
  <c r="AF73" i="35" s="1"/>
  <c r="AG73" i="35" s="1"/>
  <c r="AH73" i="35" s="1"/>
  <c r="AI73" i="35" s="1"/>
  <c r="AJ73" i="35" s="1"/>
  <c r="T18" i="35" s="1"/>
  <c r="Z88" i="35"/>
  <c r="AA88" i="35" s="1"/>
  <c r="AB88" i="35" s="1"/>
  <c r="AC88" i="35" s="1"/>
  <c r="AD88" i="35" s="1"/>
  <c r="AE88" i="35" s="1"/>
  <c r="AF88" i="35" s="1"/>
  <c r="AG88" i="35" s="1"/>
  <c r="AH88" i="35" s="1"/>
  <c r="AI88" i="35" s="1"/>
  <c r="AJ88" i="35" s="1"/>
  <c r="T33" i="35" s="1"/>
  <c r="Z67" i="35"/>
  <c r="AA67" i="35" s="1"/>
  <c r="AB67" i="35" s="1"/>
  <c r="AC67" i="35" s="1"/>
  <c r="AD67" i="35" s="1"/>
  <c r="AE67" i="35" s="1"/>
  <c r="AF67" i="35" s="1"/>
  <c r="AG67" i="35" s="1"/>
  <c r="AH67" i="35" s="1"/>
  <c r="AI67" i="35" s="1"/>
  <c r="AJ67" i="35" s="1"/>
  <c r="T12" i="35" s="1"/>
  <c r="Z105" i="35"/>
  <c r="AA105" i="35" s="1"/>
  <c r="AB105" i="35" s="1"/>
  <c r="AC105" i="35" s="1"/>
  <c r="AD105" i="35" s="1"/>
  <c r="AE105" i="35" s="1"/>
  <c r="AF105" i="35" s="1"/>
  <c r="AG105" i="35" s="1"/>
  <c r="AH105" i="35" s="1"/>
  <c r="AI105" i="35" s="1"/>
  <c r="AJ105" i="35" s="1"/>
  <c r="T50" i="35" s="1"/>
  <c r="Z104" i="35"/>
  <c r="AA104" i="35" s="1"/>
  <c r="AB104" i="35" s="1"/>
  <c r="AC104" i="35" s="1"/>
  <c r="AD104" i="35" s="1"/>
  <c r="AE104" i="35" s="1"/>
  <c r="AF104" i="35" s="1"/>
  <c r="AG104" i="35" s="1"/>
  <c r="AH104" i="35" s="1"/>
  <c r="AI104" i="35" s="1"/>
  <c r="AJ104" i="35" s="1"/>
  <c r="T49" i="35" s="1"/>
  <c r="Z71" i="35"/>
  <c r="AA71" i="35" s="1"/>
  <c r="AB71" i="35" s="1"/>
  <c r="AC71" i="35" s="1"/>
  <c r="AD71" i="35" s="1"/>
  <c r="AE71" i="35" s="1"/>
  <c r="AF71" i="35" s="1"/>
  <c r="AG71" i="35" s="1"/>
  <c r="AH71" i="35" s="1"/>
  <c r="AI71" i="35" s="1"/>
  <c r="AJ71" i="35" s="1"/>
  <c r="T16" i="35" s="1"/>
  <c r="Z59" i="35"/>
  <c r="AA59" i="35" s="1"/>
  <c r="AB59" i="35" s="1"/>
  <c r="AC59" i="35" s="1"/>
  <c r="AD59" i="35" s="1"/>
  <c r="AE59" i="35" s="1"/>
  <c r="AF59" i="35" s="1"/>
  <c r="AG59" i="35" s="1"/>
  <c r="AH59" i="35" s="1"/>
  <c r="AI59" i="35" s="1"/>
  <c r="AJ59" i="35" s="1"/>
  <c r="T4" i="35" s="1"/>
  <c r="Z65" i="35"/>
  <c r="AA65" i="35" s="1"/>
  <c r="AB65" i="35" s="1"/>
  <c r="AC65" i="35" s="1"/>
  <c r="AD65" i="35" s="1"/>
  <c r="AE65" i="35" s="1"/>
  <c r="AF65" i="35" s="1"/>
  <c r="AG65" i="35" s="1"/>
  <c r="AH65" i="35" s="1"/>
  <c r="AI65" i="35" s="1"/>
  <c r="AJ65" i="35" s="1"/>
  <c r="T10" i="35" s="1"/>
  <c r="Z63" i="35"/>
  <c r="AA63" i="35" s="1"/>
  <c r="AB63" i="35" s="1"/>
  <c r="AC63" i="35" s="1"/>
  <c r="AD63" i="35" s="1"/>
  <c r="AE63" i="35" s="1"/>
  <c r="AF63" i="35" s="1"/>
  <c r="AG63" i="35" s="1"/>
  <c r="AH63" i="35" s="1"/>
  <c r="AI63" i="35" s="1"/>
  <c r="AJ63" i="35" s="1"/>
  <c r="T8" i="35" s="1"/>
  <c r="Z84" i="35"/>
  <c r="AA84" i="35" s="1"/>
  <c r="AB84" i="35" s="1"/>
  <c r="AC84" i="35" s="1"/>
  <c r="AD84" i="35" s="1"/>
  <c r="AE84" i="35" s="1"/>
  <c r="AF84" i="35" s="1"/>
  <c r="AG84" i="35" s="1"/>
  <c r="AH84" i="35" s="1"/>
  <c r="AI84" i="35" s="1"/>
  <c r="AJ84" i="35" s="1"/>
  <c r="T29" i="35" s="1"/>
  <c r="Z101" i="35"/>
  <c r="AA101" i="35" s="1"/>
  <c r="AB101" i="35" s="1"/>
  <c r="AC101" i="35" s="1"/>
  <c r="AD101" i="35" s="1"/>
  <c r="AE101" i="35" s="1"/>
  <c r="AF101" i="35" s="1"/>
  <c r="AG101" i="35" s="1"/>
  <c r="AH101" i="35" s="1"/>
  <c r="AI101" i="35" s="1"/>
  <c r="AJ101" i="35" s="1"/>
  <c r="T46" i="35" s="1"/>
  <c r="Z102" i="35"/>
  <c r="AA102" i="35" s="1"/>
  <c r="AB102" i="35" s="1"/>
  <c r="AC102" i="35" s="1"/>
  <c r="AD102" i="35" s="1"/>
  <c r="AE102" i="35" s="1"/>
  <c r="AF102" i="35" s="1"/>
  <c r="AG102" i="35" s="1"/>
  <c r="AH102" i="35" s="1"/>
  <c r="AI102" i="35" s="1"/>
  <c r="AJ102" i="35" s="1"/>
  <c r="T47" i="35" s="1"/>
  <c r="Z100" i="35"/>
  <c r="AA100" i="35" s="1"/>
  <c r="AB100" i="35" s="1"/>
  <c r="AC100" i="35" s="1"/>
  <c r="AD100" i="35" s="1"/>
  <c r="AE100" i="35" s="1"/>
  <c r="AF100" i="35" s="1"/>
  <c r="AG100" i="35" s="1"/>
  <c r="AH100" i="35" s="1"/>
  <c r="AI100" i="35" s="1"/>
  <c r="AJ100" i="35" s="1"/>
  <c r="T45" i="35" s="1"/>
  <c r="Z98" i="35"/>
  <c r="AA98" i="35" s="1"/>
  <c r="AB98" i="35" s="1"/>
  <c r="AC98" i="35" s="1"/>
  <c r="AD98" i="35" s="1"/>
  <c r="AE98" i="35" s="1"/>
  <c r="AF98" i="35" s="1"/>
  <c r="AG98" i="35" s="1"/>
  <c r="AH98" i="35" s="1"/>
  <c r="AI98" i="35" s="1"/>
  <c r="AJ98" i="35" s="1"/>
  <c r="T43" i="35" s="1"/>
  <c r="Z61" i="35"/>
  <c r="AA61" i="35" s="1"/>
  <c r="AB61" i="35" s="1"/>
  <c r="AC61" i="35" s="1"/>
  <c r="AD61" i="35" s="1"/>
  <c r="AE61" i="35" s="1"/>
  <c r="AF61" i="35" s="1"/>
  <c r="AG61" i="35" s="1"/>
  <c r="AH61" i="35" s="1"/>
  <c r="AI61" i="35" s="1"/>
  <c r="AJ61" i="35" s="1"/>
  <c r="T6" i="35" s="1"/>
  <c r="Z68" i="35"/>
  <c r="AA68" i="35" s="1"/>
  <c r="AB68" i="35" s="1"/>
  <c r="AC68" i="35" s="1"/>
  <c r="AD68" i="35" s="1"/>
  <c r="AE68" i="35" s="1"/>
  <c r="AF68" i="35" s="1"/>
  <c r="AG68" i="35" s="1"/>
  <c r="AH68" i="35" s="1"/>
  <c r="AI68" i="35" s="1"/>
  <c r="AJ68" i="35" s="1"/>
  <c r="T13" i="35" s="1"/>
  <c r="P78" i="35"/>
  <c r="Q78" i="35" s="1"/>
  <c r="R78" i="35" s="1"/>
  <c r="S78" i="35" s="1"/>
  <c r="T78" i="35" s="1"/>
  <c r="U78" i="35" s="1"/>
  <c r="V78" i="35" s="1"/>
  <c r="W78" i="35" s="1"/>
  <c r="X78" i="35" s="1"/>
  <c r="Y78" i="35" s="1"/>
  <c r="P95" i="35"/>
  <c r="Q95" i="35" s="1"/>
  <c r="R95" i="35" s="1"/>
  <c r="S95" i="35" s="1"/>
  <c r="T95" i="35" s="1"/>
  <c r="U95" i="35" s="1"/>
  <c r="V95" i="35" s="1"/>
  <c r="W95" i="35" s="1"/>
  <c r="X95" i="35" s="1"/>
  <c r="Y95" i="35" s="1"/>
  <c r="P75" i="35"/>
  <c r="Q75" i="35" s="1"/>
  <c r="R75" i="35" s="1"/>
  <c r="S75" i="35" s="1"/>
  <c r="T75" i="35" s="1"/>
  <c r="U75" i="35" s="1"/>
  <c r="V75" i="35" s="1"/>
  <c r="W75" i="35" s="1"/>
  <c r="X75" i="35" s="1"/>
  <c r="Y75" i="35" s="1"/>
  <c r="P70" i="35"/>
  <c r="Q70" i="35" s="1"/>
  <c r="R70" i="35" s="1"/>
  <c r="S70" i="35" s="1"/>
  <c r="T70" i="35" s="1"/>
  <c r="U70" i="35" s="1"/>
  <c r="V70" i="35" s="1"/>
  <c r="W70" i="35" s="1"/>
  <c r="X70" i="35" s="1"/>
  <c r="Y70" i="35" s="1"/>
  <c r="P86" i="35"/>
  <c r="Q86" i="35" s="1"/>
  <c r="R86" i="35" s="1"/>
  <c r="S86" i="35" s="1"/>
  <c r="T86" i="35" s="1"/>
  <c r="U86" i="35" s="1"/>
  <c r="V86" i="35" s="1"/>
  <c r="W86" i="35" s="1"/>
  <c r="X86" i="35" s="1"/>
  <c r="Y86" i="35" s="1"/>
  <c r="P89" i="35"/>
  <c r="Q89" i="35" s="1"/>
  <c r="R89" i="35" s="1"/>
  <c r="S89" i="35" s="1"/>
  <c r="T89" i="35" s="1"/>
  <c r="U89" i="35" s="1"/>
  <c r="V89" i="35" s="1"/>
  <c r="W89" i="35" s="1"/>
  <c r="X89" i="35" s="1"/>
  <c r="Y89" i="35" s="1"/>
  <c r="P79" i="35"/>
  <c r="Q79" i="35" s="1"/>
  <c r="R79" i="35" s="1"/>
  <c r="S79" i="35" s="1"/>
  <c r="T79" i="35" s="1"/>
  <c r="U79" i="35" s="1"/>
  <c r="V79" i="35" s="1"/>
  <c r="W79" i="35" s="1"/>
  <c r="X79" i="35" s="1"/>
  <c r="Y79" i="35" s="1"/>
  <c r="P97" i="35"/>
  <c r="Q97" i="35" s="1"/>
  <c r="R97" i="35" s="1"/>
  <c r="S97" i="35" s="1"/>
  <c r="T97" i="35" s="1"/>
  <c r="U97" i="35" s="1"/>
  <c r="V97" i="35" s="1"/>
  <c r="W97" i="35" s="1"/>
  <c r="X97" i="35" s="1"/>
  <c r="Y97" i="35" s="1"/>
  <c r="P66" i="35"/>
  <c r="Q66" i="35" s="1"/>
  <c r="R66" i="35" s="1"/>
  <c r="S66" i="35" s="1"/>
  <c r="T66" i="35" s="1"/>
  <c r="U66" i="35" s="1"/>
  <c r="V66" i="35" s="1"/>
  <c r="W66" i="35" s="1"/>
  <c r="X66" i="35" s="1"/>
  <c r="Y66" i="35" s="1"/>
  <c r="P83" i="35"/>
  <c r="Q83" i="35" s="1"/>
  <c r="R83" i="35" s="1"/>
  <c r="S83" i="35" s="1"/>
  <c r="T83" i="35" s="1"/>
  <c r="U83" i="35" s="1"/>
  <c r="V83" i="35" s="1"/>
  <c r="W83" i="35" s="1"/>
  <c r="X83" i="35" s="1"/>
  <c r="Y83" i="35" s="1"/>
  <c r="P80" i="35"/>
  <c r="Q80" i="35" s="1"/>
  <c r="R80" i="35" s="1"/>
  <c r="S80" i="35" s="1"/>
  <c r="T80" i="35" s="1"/>
  <c r="U80" i="35" s="1"/>
  <c r="V80" i="35" s="1"/>
  <c r="W80" i="35" s="1"/>
  <c r="X80" i="35" s="1"/>
  <c r="Y80" i="35" s="1"/>
  <c r="P92" i="35"/>
  <c r="Q92" i="35" s="1"/>
  <c r="R92" i="35" s="1"/>
  <c r="S92" i="35" s="1"/>
  <c r="T92" i="35" s="1"/>
  <c r="U92" i="35" s="1"/>
  <c r="V92" i="35" s="1"/>
  <c r="W92" i="35" s="1"/>
  <c r="X92" i="35" s="1"/>
  <c r="Y92" i="35" s="1"/>
  <c r="P82" i="35"/>
  <c r="Q82" i="35" s="1"/>
  <c r="R82" i="35" s="1"/>
  <c r="S82" i="35" s="1"/>
  <c r="T82" i="35" s="1"/>
  <c r="U82" i="35" s="1"/>
  <c r="V82" i="35" s="1"/>
  <c r="W82" i="35" s="1"/>
  <c r="X82" i="35" s="1"/>
  <c r="Y82" i="35" s="1"/>
  <c r="P96" i="35"/>
  <c r="Q96" i="35" s="1"/>
  <c r="R96" i="35" s="1"/>
  <c r="S96" i="35" s="1"/>
  <c r="T96" i="35" s="1"/>
  <c r="U96" i="35" s="1"/>
  <c r="V96" i="35" s="1"/>
  <c r="W96" i="35" s="1"/>
  <c r="X96" i="35" s="1"/>
  <c r="Y96" i="35" s="1"/>
  <c r="P90" i="35"/>
  <c r="Q90" i="35" s="1"/>
  <c r="R90" i="35" s="1"/>
  <c r="S90" i="35" s="1"/>
  <c r="T90" i="35" s="1"/>
  <c r="U90" i="35" s="1"/>
  <c r="V90" i="35" s="1"/>
  <c r="W90" i="35" s="1"/>
  <c r="X90" i="35" s="1"/>
  <c r="Y90" i="35" s="1"/>
  <c r="P69" i="35"/>
  <c r="Q69" i="35" s="1"/>
  <c r="R69" i="35" s="1"/>
  <c r="S69" i="35" s="1"/>
  <c r="T69" i="35" s="1"/>
  <c r="U69" i="35" s="1"/>
  <c r="V69" i="35" s="1"/>
  <c r="W69" i="35" s="1"/>
  <c r="X69" i="35" s="1"/>
  <c r="Y69" i="35" s="1"/>
  <c r="P60" i="35"/>
  <c r="Q60" i="35" s="1"/>
  <c r="R60" i="35" s="1"/>
  <c r="S60" i="35" s="1"/>
  <c r="T60" i="35" s="1"/>
  <c r="U60" i="35" s="1"/>
  <c r="V60" i="35" s="1"/>
  <c r="W60" i="35" s="1"/>
  <c r="X60" i="35" s="1"/>
  <c r="Y60" i="35" s="1"/>
  <c r="P93" i="35"/>
  <c r="Q93" i="35" s="1"/>
  <c r="R93" i="35" s="1"/>
  <c r="S93" i="35" s="1"/>
  <c r="T93" i="35" s="1"/>
  <c r="U93" i="35" s="1"/>
  <c r="V93" i="35" s="1"/>
  <c r="W93" i="35" s="1"/>
  <c r="X93" i="35" s="1"/>
  <c r="Y93" i="35" s="1"/>
  <c r="P87" i="35"/>
  <c r="Q87" i="35" s="1"/>
  <c r="R87" i="35" s="1"/>
  <c r="S87" i="35" s="1"/>
  <c r="T87" i="35" s="1"/>
  <c r="U87" i="35" s="1"/>
  <c r="V87" i="35" s="1"/>
  <c r="W87" i="35" s="1"/>
  <c r="X87" i="35" s="1"/>
  <c r="Y87" i="35" s="1"/>
  <c r="P94" i="35"/>
  <c r="Q94" i="35" s="1"/>
  <c r="R94" i="35" s="1"/>
  <c r="S94" i="35" s="1"/>
  <c r="T94" i="35" s="1"/>
  <c r="U94" i="35" s="1"/>
  <c r="V94" i="35" s="1"/>
  <c r="W94" i="35" s="1"/>
  <c r="X94" i="35" s="1"/>
  <c r="Y94" i="35" s="1"/>
  <c r="P85" i="35"/>
  <c r="Q85" i="35" s="1"/>
  <c r="R85" i="35" s="1"/>
  <c r="S85" i="35" s="1"/>
  <c r="T85" i="35" s="1"/>
  <c r="U85" i="35" s="1"/>
  <c r="V85" i="35" s="1"/>
  <c r="W85" i="35" s="1"/>
  <c r="X85" i="35" s="1"/>
  <c r="Y85" i="35" s="1"/>
  <c r="P77" i="35"/>
  <c r="Q77" i="35" s="1"/>
  <c r="R77" i="35" s="1"/>
  <c r="S77" i="35" s="1"/>
  <c r="T77" i="35" s="1"/>
  <c r="U77" i="35" s="1"/>
  <c r="V77" i="35" s="1"/>
  <c r="W77" i="35" s="1"/>
  <c r="X77" i="35" s="1"/>
  <c r="Y77" i="35" s="1"/>
  <c r="P76" i="35"/>
  <c r="Q76" i="35" s="1"/>
  <c r="R76" i="35" s="1"/>
  <c r="S76" i="35" s="1"/>
  <c r="T76" i="35" s="1"/>
  <c r="U76" i="35" s="1"/>
  <c r="V76" i="35" s="1"/>
  <c r="W76" i="35" s="1"/>
  <c r="X76" i="35" s="1"/>
  <c r="Y76" i="35" s="1"/>
  <c r="P72" i="35"/>
  <c r="Q72" i="35" s="1"/>
  <c r="R72" i="35" s="1"/>
  <c r="S72" i="35" s="1"/>
  <c r="T72" i="35" s="1"/>
  <c r="U72" i="35" s="1"/>
  <c r="V72" i="35" s="1"/>
  <c r="W72" i="35" s="1"/>
  <c r="X72" i="35" s="1"/>
  <c r="Y72" i="35" s="1"/>
  <c r="P81" i="35"/>
  <c r="Q81" i="35" s="1"/>
  <c r="R81" i="35" s="1"/>
  <c r="S81" i="35" s="1"/>
  <c r="T81" i="35" s="1"/>
  <c r="U81" i="35" s="1"/>
  <c r="V81" i="35" s="1"/>
  <c r="W81" i="35" s="1"/>
  <c r="X81" i="35" s="1"/>
  <c r="Y81" i="35" s="1"/>
  <c r="P91" i="35"/>
  <c r="Q91" i="35" s="1"/>
  <c r="R91" i="35" s="1"/>
  <c r="S91" i="35" s="1"/>
  <c r="T91" i="35" s="1"/>
  <c r="U91" i="35" s="1"/>
  <c r="V91" i="35" s="1"/>
  <c r="W91" i="35" s="1"/>
  <c r="X91" i="35" s="1"/>
  <c r="Y91" i="35" s="1"/>
  <c r="P62" i="35"/>
  <c r="Q62" i="35" s="1"/>
  <c r="R62" i="35" s="1"/>
  <c r="S62" i="35" s="1"/>
  <c r="T62" i="35" s="1"/>
  <c r="U62" i="35" s="1"/>
  <c r="V62" i="35" s="1"/>
  <c r="W62" i="35" s="1"/>
  <c r="X62" i="35" s="1"/>
  <c r="Y62" i="35" s="1"/>
  <c r="P19" i="31"/>
  <c r="S13" i="31"/>
  <c r="W4" i="35" l="1"/>
  <c r="U4" i="35"/>
  <c r="X4" i="35" s="1"/>
  <c r="Y4" i="35" s="1"/>
  <c r="U19" i="35"/>
  <c r="V19" i="35" s="1"/>
  <c r="X19" i="35" s="1"/>
  <c r="W19" i="35"/>
  <c r="W43" i="35"/>
  <c r="U43" i="35"/>
  <c r="V43" i="35" s="1"/>
  <c r="X43" i="35" s="1"/>
  <c r="Y43" i="35" s="1"/>
  <c r="W29" i="35"/>
  <c r="U29" i="35"/>
  <c r="V29" i="35" s="1"/>
  <c r="X29" i="35" s="1"/>
  <c r="U16" i="35"/>
  <c r="V16" i="35" s="1"/>
  <c r="X16" i="35" s="1"/>
  <c r="W16" i="35"/>
  <c r="U33" i="35"/>
  <c r="V33" i="35" s="1"/>
  <c r="X33" i="35" s="1"/>
  <c r="W33" i="35"/>
  <c r="W48" i="35"/>
  <c r="U48" i="35"/>
  <c r="V48" i="35" s="1"/>
  <c r="X48" i="35" s="1"/>
  <c r="Y48" i="35" s="1"/>
  <c r="W6" i="35"/>
  <c r="U6" i="35"/>
  <c r="V6" i="35" s="1"/>
  <c r="U12" i="35"/>
  <c r="V12" i="35" s="1"/>
  <c r="X12" i="35" s="1"/>
  <c r="W12" i="35"/>
  <c r="W45" i="35"/>
  <c r="U45" i="35"/>
  <c r="V45" i="35" s="1"/>
  <c r="X45" i="35" s="1"/>
  <c r="Y45" i="35" s="1"/>
  <c r="AH45" i="35" s="1"/>
  <c r="W8" i="35"/>
  <c r="U8" i="35"/>
  <c r="V8" i="35" s="1"/>
  <c r="X8" i="35" s="1"/>
  <c r="Y8" i="35" s="1"/>
  <c r="W49" i="35"/>
  <c r="U49" i="35"/>
  <c r="V49" i="35" s="1"/>
  <c r="W18" i="35"/>
  <c r="U18" i="35"/>
  <c r="V18" i="35" s="1"/>
  <c r="X18" i="35" s="1"/>
  <c r="Y18" i="35" s="1"/>
  <c r="W51" i="35"/>
  <c r="U51" i="35"/>
  <c r="W46" i="35"/>
  <c r="U46" i="35"/>
  <c r="V46" i="35" s="1"/>
  <c r="X46" i="35" s="1"/>
  <c r="Y46" i="35" s="1"/>
  <c r="W13" i="35"/>
  <c r="U13" i="35"/>
  <c r="V13" i="35" s="1"/>
  <c r="U47" i="35"/>
  <c r="V47" i="35" s="1"/>
  <c r="X47" i="35" s="1"/>
  <c r="W47" i="35"/>
  <c r="U10" i="35"/>
  <c r="V10" i="35" s="1"/>
  <c r="X10" i="35" s="1"/>
  <c r="W10" i="35"/>
  <c r="W50" i="35"/>
  <c r="U50" i="35"/>
  <c r="V50" i="35" s="1"/>
  <c r="X50" i="35" s="1"/>
  <c r="U9" i="35"/>
  <c r="V9" i="35" s="1"/>
  <c r="W9" i="35"/>
  <c r="U44" i="35"/>
  <c r="V44" i="35" s="1"/>
  <c r="X44" i="35" s="1"/>
  <c r="W44" i="35"/>
  <c r="Y44" i="35" s="1"/>
  <c r="Z94" i="35"/>
  <c r="AA94" i="35" s="1"/>
  <c r="AB94" i="35" s="1"/>
  <c r="AC94" i="35" s="1"/>
  <c r="AD94" i="35" s="1"/>
  <c r="AE94" i="35" s="1"/>
  <c r="AF94" i="35" s="1"/>
  <c r="AG94" i="35" s="1"/>
  <c r="AH94" i="35" s="1"/>
  <c r="AI94" i="35" s="1"/>
  <c r="AJ94" i="35" s="1"/>
  <c r="T39" i="35" s="1"/>
  <c r="Z92" i="35"/>
  <c r="AA92" i="35" s="1"/>
  <c r="AB92" i="35" s="1"/>
  <c r="AC92" i="35" s="1"/>
  <c r="AD92" i="35" s="1"/>
  <c r="AE92" i="35" s="1"/>
  <c r="AF92" i="35" s="1"/>
  <c r="AG92" i="35" s="1"/>
  <c r="AH92" i="35" s="1"/>
  <c r="AI92" i="35" s="1"/>
  <c r="AJ92" i="35" s="1"/>
  <c r="T37" i="35" s="1"/>
  <c r="Z97" i="35"/>
  <c r="AA97" i="35" s="1"/>
  <c r="AB97" i="35" s="1"/>
  <c r="AC97" i="35" s="1"/>
  <c r="AD97" i="35" s="1"/>
  <c r="AE97" i="35" s="1"/>
  <c r="AF97" i="35" s="1"/>
  <c r="AG97" i="35" s="1"/>
  <c r="AH97" i="35" s="1"/>
  <c r="AI97" i="35" s="1"/>
  <c r="AJ97" i="35" s="1"/>
  <c r="T42" i="35" s="1"/>
  <c r="Z62" i="35"/>
  <c r="AA62" i="35" s="1"/>
  <c r="AB62" i="35" s="1"/>
  <c r="AC62" i="35" s="1"/>
  <c r="AD62" i="35" s="1"/>
  <c r="AE62" i="35" s="1"/>
  <c r="AF62" i="35" s="1"/>
  <c r="AG62" i="35" s="1"/>
  <c r="AH62" i="35" s="1"/>
  <c r="AI62" i="35" s="1"/>
  <c r="AJ62" i="35" s="1"/>
  <c r="T7" i="35" s="1"/>
  <c r="Z87" i="35"/>
  <c r="AA87" i="35" s="1"/>
  <c r="AB87" i="35" s="1"/>
  <c r="AC87" i="35" s="1"/>
  <c r="AD87" i="35" s="1"/>
  <c r="AE87" i="35" s="1"/>
  <c r="AF87" i="35" s="1"/>
  <c r="AG87" i="35" s="1"/>
  <c r="AH87" i="35" s="1"/>
  <c r="AI87" i="35" s="1"/>
  <c r="AJ87" i="35" s="1"/>
  <c r="T32" i="35" s="1"/>
  <c r="Z80" i="35"/>
  <c r="AA80" i="35" s="1"/>
  <c r="AB80" i="35" s="1"/>
  <c r="AC80" i="35" s="1"/>
  <c r="AD80" i="35" s="1"/>
  <c r="AE80" i="35" s="1"/>
  <c r="AF80" i="35" s="1"/>
  <c r="AG80" i="35" s="1"/>
  <c r="AH80" i="35" s="1"/>
  <c r="AI80" i="35" s="1"/>
  <c r="AJ80" i="35" s="1"/>
  <c r="T25" i="35" s="1"/>
  <c r="Z75" i="35"/>
  <c r="AA75" i="35" s="1"/>
  <c r="AB75" i="35" s="1"/>
  <c r="AC75" i="35" s="1"/>
  <c r="AD75" i="35" s="1"/>
  <c r="AE75" i="35" s="1"/>
  <c r="AF75" i="35" s="1"/>
  <c r="AG75" i="35" s="1"/>
  <c r="AH75" i="35" s="1"/>
  <c r="AI75" i="35" s="1"/>
  <c r="AJ75" i="35" s="1"/>
  <c r="T20" i="35" s="1"/>
  <c r="Z91" i="35"/>
  <c r="AA91" i="35" s="1"/>
  <c r="AB91" i="35" s="1"/>
  <c r="AC91" i="35" s="1"/>
  <c r="AD91" i="35" s="1"/>
  <c r="AE91" i="35" s="1"/>
  <c r="AF91" i="35" s="1"/>
  <c r="AG91" i="35" s="1"/>
  <c r="AH91" i="35" s="1"/>
  <c r="AI91" i="35" s="1"/>
  <c r="AJ91" i="35" s="1"/>
  <c r="T36" i="35" s="1"/>
  <c r="Z93" i="35"/>
  <c r="AA93" i="35" s="1"/>
  <c r="AB93" i="35" s="1"/>
  <c r="AC93" i="35" s="1"/>
  <c r="AD93" i="35" s="1"/>
  <c r="AE93" i="35" s="1"/>
  <c r="AF93" i="35" s="1"/>
  <c r="AG93" i="35" s="1"/>
  <c r="AH93" i="35" s="1"/>
  <c r="AI93" i="35" s="1"/>
  <c r="AJ93" i="35" s="1"/>
  <c r="T38" i="35" s="1"/>
  <c r="Z83" i="35"/>
  <c r="AA83" i="35" s="1"/>
  <c r="AB83" i="35" s="1"/>
  <c r="AC83" i="35" s="1"/>
  <c r="AD83" i="35" s="1"/>
  <c r="AE83" i="35" s="1"/>
  <c r="AF83" i="35" s="1"/>
  <c r="AG83" i="35" s="1"/>
  <c r="AH83" i="35" s="1"/>
  <c r="AI83" i="35" s="1"/>
  <c r="AJ83" i="35" s="1"/>
  <c r="T28" i="35" s="1"/>
  <c r="Z95" i="35"/>
  <c r="AA95" i="35" s="1"/>
  <c r="AB95" i="35" s="1"/>
  <c r="AC95" i="35" s="1"/>
  <c r="AD95" i="35" s="1"/>
  <c r="AE95" i="35" s="1"/>
  <c r="AF95" i="35" s="1"/>
  <c r="AG95" i="35" s="1"/>
  <c r="AH95" i="35" s="1"/>
  <c r="AI95" i="35" s="1"/>
  <c r="AJ95" i="35" s="1"/>
  <c r="T40" i="35" s="1"/>
  <c r="Z72" i="35"/>
  <c r="AA72" i="35" s="1"/>
  <c r="AB72" i="35" s="1"/>
  <c r="AC72" i="35" s="1"/>
  <c r="AD72" i="35" s="1"/>
  <c r="AE72" i="35" s="1"/>
  <c r="AF72" i="35" s="1"/>
  <c r="AG72" i="35" s="1"/>
  <c r="AH72" i="35" s="1"/>
  <c r="AI72" i="35" s="1"/>
  <c r="AJ72" i="35" s="1"/>
  <c r="T17" i="35" s="1"/>
  <c r="Z69" i="35"/>
  <c r="AA69" i="35" s="1"/>
  <c r="AB69" i="35" s="1"/>
  <c r="AC69" i="35" s="1"/>
  <c r="AD69" i="35" s="1"/>
  <c r="AE69" i="35" s="1"/>
  <c r="AF69" i="35" s="1"/>
  <c r="AG69" i="35" s="1"/>
  <c r="AH69" i="35" s="1"/>
  <c r="AI69" i="35" s="1"/>
  <c r="AJ69" i="35" s="1"/>
  <c r="T14" i="35" s="1"/>
  <c r="Z70" i="35"/>
  <c r="AA70" i="35" s="1"/>
  <c r="AB70" i="35" s="1"/>
  <c r="AC70" i="35" s="1"/>
  <c r="AD70" i="35" s="1"/>
  <c r="AE70" i="35" s="1"/>
  <c r="AF70" i="35" s="1"/>
  <c r="AG70" i="35" s="1"/>
  <c r="AH70" i="35" s="1"/>
  <c r="AI70" i="35" s="1"/>
  <c r="AJ70" i="35" s="1"/>
  <c r="T15" i="35" s="1"/>
  <c r="U15" i="35" s="1"/>
  <c r="V15" i="35" s="1"/>
  <c r="X15" i="35" s="1"/>
  <c r="Z76" i="35"/>
  <c r="AA76" i="35" s="1"/>
  <c r="AB76" i="35" s="1"/>
  <c r="AC76" i="35" s="1"/>
  <c r="AD76" i="35" s="1"/>
  <c r="AE76" i="35" s="1"/>
  <c r="AF76" i="35" s="1"/>
  <c r="AG76" i="35" s="1"/>
  <c r="AH76" i="35" s="1"/>
  <c r="AI76" i="35" s="1"/>
  <c r="AJ76" i="35" s="1"/>
  <c r="T21" i="35" s="1"/>
  <c r="Z90" i="35"/>
  <c r="AA90" i="35" s="1"/>
  <c r="AB90" i="35" s="1"/>
  <c r="AC90" i="35" s="1"/>
  <c r="AD90" i="35" s="1"/>
  <c r="AE90" i="35" s="1"/>
  <c r="AF90" i="35" s="1"/>
  <c r="AG90" i="35" s="1"/>
  <c r="AH90" i="35" s="1"/>
  <c r="AI90" i="35" s="1"/>
  <c r="AJ90" i="35" s="1"/>
  <c r="T35" i="35" s="1"/>
  <c r="Z79" i="35"/>
  <c r="AA79" i="35" s="1"/>
  <c r="AB79" i="35" s="1"/>
  <c r="AC79" i="35" s="1"/>
  <c r="AD79" i="35" s="1"/>
  <c r="AE79" i="35" s="1"/>
  <c r="AF79" i="35" s="1"/>
  <c r="AG79" i="35" s="1"/>
  <c r="AH79" i="35" s="1"/>
  <c r="AI79" i="35" s="1"/>
  <c r="AJ79" i="35" s="1"/>
  <c r="T24" i="35" s="1"/>
  <c r="Z77" i="35"/>
  <c r="AA77" i="35" s="1"/>
  <c r="AB77" i="35" s="1"/>
  <c r="AC77" i="35" s="1"/>
  <c r="AD77" i="35" s="1"/>
  <c r="AE77" i="35" s="1"/>
  <c r="AF77" i="35" s="1"/>
  <c r="AG77" i="35" s="1"/>
  <c r="AH77" i="35" s="1"/>
  <c r="AI77" i="35" s="1"/>
  <c r="AJ77" i="35" s="1"/>
  <c r="T22" i="35" s="1"/>
  <c r="Z96" i="35"/>
  <c r="AA96" i="35" s="1"/>
  <c r="AB96" i="35" s="1"/>
  <c r="AC96" i="35" s="1"/>
  <c r="AD96" i="35" s="1"/>
  <c r="AE96" i="35" s="1"/>
  <c r="AF96" i="35" s="1"/>
  <c r="AG96" i="35" s="1"/>
  <c r="AH96" i="35" s="1"/>
  <c r="AI96" i="35" s="1"/>
  <c r="AJ96" i="35" s="1"/>
  <c r="T41" i="35" s="1"/>
  <c r="Z89" i="35"/>
  <c r="AA89" i="35" s="1"/>
  <c r="AB89" i="35" s="1"/>
  <c r="AC89" i="35" s="1"/>
  <c r="AD89" i="35" s="1"/>
  <c r="AE89" i="35" s="1"/>
  <c r="AF89" i="35" s="1"/>
  <c r="AG89" i="35" s="1"/>
  <c r="AH89" i="35" s="1"/>
  <c r="AI89" i="35" s="1"/>
  <c r="AJ89" i="35" s="1"/>
  <c r="T34" i="35" s="1"/>
  <c r="U34" i="35" s="1"/>
  <c r="V34" i="35" s="1"/>
  <c r="X34" i="35" s="1"/>
  <c r="Z81" i="35"/>
  <c r="AA81" i="35" s="1"/>
  <c r="AB81" i="35" s="1"/>
  <c r="AC81" i="35" s="1"/>
  <c r="AD81" i="35" s="1"/>
  <c r="AE81" i="35" s="1"/>
  <c r="AF81" i="35" s="1"/>
  <c r="AG81" i="35" s="1"/>
  <c r="AH81" i="35" s="1"/>
  <c r="AI81" i="35" s="1"/>
  <c r="AJ81" i="35" s="1"/>
  <c r="T26" i="35" s="1"/>
  <c r="Z85" i="35"/>
  <c r="AA85" i="35" s="1"/>
  <c r="AB85" i="35" s="1"/>
  <c r="AC85" i="35" s="1"/>
  <c r="AD85" i="35" s="1"/>
  <c r="AE85" i="35" s="1"/>
  <c r="AF85" i="35" s="1"/>
  <c r="AG85" i="35" s="1"/>
  <c r="AH85" i="35" s="1"/>
  <c r="AI85" i="35" s="1"/>
  <c r="AJ85" i="35" s="1"/>
  <c r="T30" i="35" s="1"/>
  <c r="Z60" i="35"/>
  <c r="AA60" i="35" s="1"/>
  <c r="AB60" i="35" s="1"/>
  <c r="AC60" i="35" s="1"/>
  <c r="AD60" i="35" s="1"/>
  <c r="AE60" i="35" s="1"/>
  <c r="AF60" i="35" s="1"/>
  <c r="AG60" i="35" s="1"/>
  <c r="AH60" i="35" s="1"/>
  <c r="AI60" i="35" s="1"/>
  <c r="AJ60" i="35" s="1"/>
  <c r="T5" i="35" s="1"/>
  <c r="AB82" i="35"/>
  <c r="AC82" i="35" s="1"/>
  <c r="AD82" i="35" s="1"/>
  <c r="AE82" i="35" s="1"/>
  <c r="AF82" i="35" s="1"/>
  <c r="AG82" i="35" s="1"/>
  <c r="AH82" i="35" s="1"/>
  <c r="AI82" i="35" s="1"/>
  <c r="AJ82" i="35" s="1"/>
  <c r="T27" i="35" s="1"/>
  <c r="U27" i="35" s="1"/>
  <c r="V27" i="35" s="1"/>
  <c r="X27" i="35" s="1"/>
  <c r="Z82" i="35"/>
  <c r="AA82" i="35" s="1"/>
  <c r="Z66" i="35"/>
  <c r="AA66" i="35" s="1"/>
  <c r="AB66" i="35" s="1"/>
  <c r="AC66" i="35" s="1"/>
  <c r="AD66" i="35" s="1"/>
  <c r="AE66" i="35" s="1"/>
  <c r="AF66" i="35" s="1"/>
  <c r="AG66" i="35" s="1"/>
  <c r="AH66" i="35" s="1"/>
  <c r="AI66" i="35" s="1"/>
  <c r="AJ66" i="35" s="1"/>
  <c r="T11" i="35" s="1"/>
  <c r="Z86" i="35"/>
  <c r="AA86" i="35" s="1"/>
  <c r="AB86" i="35" s="1"/>
  <c r="AC86" i="35" s="1"/>
  <c r="AD86" i="35" s="1"/>
  <c r="AE86" i="35" s="1"/>
  <c r="AF86" i="35" s="1"/>
  <c r="AG86" i="35" s="1"/>
  <c r="AH86" i="35" s="1"/>
  <c r="AI86" i="35" s="1"/>
  <c r="AJ86" i="35" s="1"/>
  <c r="T31" i="35" s="1"/>
  <c r="Z78" i="35"/>
  <c r="AA78" i="35" s="1"/>
  <c r="AB78" i="35" s="1"/>
  <c r="AC78" i="35" s="1"/>
  <c r="AD78" i="35" s="1"/>
  <c r="AE78" i="35" s="1"/>
  <c r="AF78" i="35" s="1"/>
  <c r="AG78" i="35" s="1"/>
  <c r="AH78" i="35" s="1"/>
  <c r="AI78" i="35" s="1"/>
  <c r="AJ78" i="35" s="1"/>
  <c r="T23" i="35" s="1"/>
  <c r="X9" i="35"/>
  <c r="X6" i="35"/>
  <c r="Y6" i="35" s="1"/>
  <c r="X13" i="35"/>
  <c r="Y13" i="35" s="1"/>
  <c r="X49" i="35"/>
  <c r="Y49" i="35" s="1"/>
  <c r="AI45" i="35"/>
  <c r="Y47" i="35"/>
  <c r="Y19" i="35"/>
  <c r="AF45" i="35"/>
  <c r="AG45" i="35" s="1"/>
  <c r="S25" i="31"/>
  <c r="S23" i="31"/>
  <c r="S21" i="31"/>
  <c r="S18" i="31"/>
  <c r="S16" i="31"/>
  <c r="S17" i="31" s="1"/>
  <c r="U28" i="35" l="1"/>
  <c r="V28" i="35" s="1"/>
  <c r="W28" i="35"/>
  <c r="W36" i="35"/>
  <c r="U36" i="35"/>
  <c r="V36" i="35" s="1"/>
  <c r="U37" i="35"/>
  <c r="V37" i="35" s="1"/>
  <c r="W37" i="35"/>
  <c r="W35" i="35"/>
  <c r="U35" i="35"/>
  <c r="V35" i="35" s="1"/>
  <c r="X35" i="35" s="1"/>
  <c r="Y35" i="35" s="1"/>
  <c r="W27" i="35"/>
  <c r="Y27" i="35" s="1"/>
  <c r="W30" i="35"/>
  <c r="U30" i="35"/>
  <c r="V30" i="35" s="1"/>
  <c r="W22" i="35"/>
  <c r="Y22" i="35" s="1"/>
  <c r="U22" i="35"/>
  <c r="V22" i="35" s="1"/>
  <c r="X22" i="35" s="1"/>
  <c r="W7" i="35"/>
  <c r="U7" i="35"/>
  <c r="V7" i="35" s="1"/>
  <c r="U31" i="35"/>
  <c r="V31" i="35" s="1"/>
  <c r="X31" i="35" s="1"/>
  <c r="W31" i="35"/>
  <c r="U17" i="35"/>
  <c r="V17" i="35" s="1"/>
  <c r="X17" i="35" s="1"/>
  <c r="W17" i="35"/>
  <c r="U25" i="35"/>
  <c r="V25" i="35" s="1"/>
  <c r="W25" i="35"/>
  <c r="Y29" i="35"/>
  <c r="W5" i="35"/>
  <c r="U5" i="35"/>
  <c r="V5" i="35" s="1"/>
  <c r="U21" i="35"/>
  <c r="V21" i="35" s="1"/>
  <c r="X21" i="35" s="1"/>
  <c r="Y21" i="35" s="1"/>
  <c r="W21" i="35"/>
  <c r="W20" i="35"/>
  <c r="U20" i="35"/>
  <c r="V20" i="35" s="1"/>
  <c r="W11" i="35"/>
  <c r="U11" i="35"/>
  <c r="V11" i="35" s="1"/>
  <c r="U24" i="35"/>
  <c r="V24" i="35" s="1"/>
  <c r="W24" i="35"/>
  <c r="U38" i="35"/>
  <c r="V38" i="35" s="1"/>
  <c r="X38" i="35" s="1"/>
  <c r="W38" i="35"/>
  <c r="U39" i="35"/>
  <c r="V39" i="35" s="1"/>
  <c r="X39" i="35" s="1"/>
  <c r="Y39" i="35" s="1"/>
  <c r="AH39" i="35" s="1"/>
  <c r="W39" i="35"/>
  <c r="U41" i="35"/>
  <c r="V41" i="35" s="1"/>
  <c r="X41" i="35" s="1"/>
  <c r="Y41" i="35" s="1"/>
  <c r="AH41" i="35" s="1"/>
  <c r="AI41" i="35" s="1"/>
  <c r="W41" i="35"/>
  <c r="Y15" i="35"/>
  <c r="W40" i="35"/>
  <c r="U40" i="35"/>
  <c r="V40" i="35" s="1"/>
  <c r="X40" i="35" s="1"/>
  <c r="W42" i="35"/>
  <c r="U42" i="35"/>
  <c r="V42" i="35" s="1"/>
  <c r="X42" i="35" s="1"/>
  <c r="U23" i="35"/>
  <c r="V23" i="35" s="1"/>
  <c r="X23" i="35" s="1"/>
  <c r="W23" i="35"/>
  <c r="W26" i="35"/>
  <c r="U26" i="35"/>
  <c r="V26" i="35" s="1"/>
  <c r="U14" i="35"/>
  <c r="V14" i="35" s="1"/>
  <c r="W14" i="35"/>
  <c r="U32" i="35"/>
  <c r="V32" i="35" s="1"/>
  <c r="X32" i="35" s="1"/>
  <c r="W32" i="35"/>
  <c r="W15" i="35"/>
  <c r="W34" i="35"/>
  <c r="Y9" i="35"/>
  <c r="Y10" i="35"/>
  <c r="Y51" i="35"/>
  <c r="Y33" i="35"/>
  <c r="Y50" i="35"/>
  <c r="Y12" i="35"/>
  <c r="Y16" i="35"/>
  <c r="AH49" i="35"/>
  <c r="AI49" i="35" s="1"/>
  <c r="AF49" i="35"/>
  <c r="AG49" i="35" s="1"/>
  <c r="AH6" i="35"/>
  <c r="AI6" i="35" s="1"/>
  <c r="AF6" i="35"/>
  <c r="AG6" i="35" s="1"/>
  <c r="AH43" i="35"/>
  <c r="AI43" i="35" s="1"/>
  <c r="AF43" i="35"/>
  <c r="AG43" i="35" s="1"/>
  <c r="AF9" i="35"/>
  <c r="AG9" i="35" s="1"/>
  <c r="AH9" i="35"/>
  <c r="AI9" i="35" s="1"/>
  <c r="AH13" i="35"/>
  <c r="AI13" i="35" s="1"/>
  <c r="AF13" i="35"/>
  <c r="AG13" i="35" s="1"/>
  <c r="AH18" i="35"/>
  <c r="AI18" i="35" s="1"/>
  <c r="AF18" i="35"/>
  <c r="AG18" i="35" s="1"/>
  <c r="AF46" i="35"/>
  <c r="AG46" i="35" s="1"/>
  <c r="AH46" i="35"/>
  <c r="AI46" i="35" s="1"/>
  <c r="AH48" i="35"/>
  <c r="AI48" i="35" s="1"/>
  <c r="AF48" i="35"/>
  <c r="AG48" i="35" s="1"/>
  <c r="AF8" i="35"/>
  <c r="AG8" i="35" s="1"/>
  <c r="AH8" i="35"/>
  <c r="AI8" i="35" s="1"/>
  <c r="X20" i="35"/>
  <c r="Y20" i="35" s="1"/>
  <c r="X25" i="35"/>
  <c r="Y25" i="35" s="1"/>
  <c r="X7" i="35"/>
  <c r="Y7" i="35" s="1"/>
  <c r="X37" i="35"/>
  <c r="Y37" i="35" s="1"/>
  <c r="X11" i="35"/>
  <c r="X5" i="35"/>
  <c r="Y5" i="35" s="1"/>
  <c r="X26" i="35"/>
  <c r="Y26" i="35" s="1"/>
  <c r="X24" i="35"/>
  <c r="Y24" i="35" s="1"/>
  <c r="X28" i="35"/>
  <c r="Y28" i="35" s="1"/>
  <c r="X36" i="35"/>
  <c r="Y36" i="35" s="1"/>
  <c r="Y42" i="35"/>
  <c r="AH42" i="35" s="1"/>
  <c r="AI42" i="35" s="1"/>
  <c r="X14" i="35"/>
  <c r="X30" i="35"/>
  <c r="AF44" i="35"/>
  <c r="AG44" i="35" s="1"/>
  <c r="AH44" i="35"/>
  <c r="AI44" i="35" s="1"/>
  <c r="AF47" i="35"/>
  <c r="AG47" i="35" s="1"/>
  <c r="AH47" i="35"/>
  <c r="AI47" i="35" s="1"/>
  <c r="AI39" i="35"/>
  <c r="AF19" i="35"/>
  <c r="AG19" i="35" s="1"/>
  <c r="AH19" i="35"/>
  <c r="AI19" i="35" s="1"/>
  <c r="AF15" i="35"/>
  <c r="AG15" i="35" s="1"/>
  <c r="AH15" i="35"/>
  <c r="AI15" i="35" s="1"/>
  <c r="AF4" i="35"/>
  <c r="AH4" i="35"/>
  <c r="AI4" i="35" s="1"/>
  <c r="Y31" i="35"/>
  <c r="Y40" i="35"/>
  <c r="AH40" i="35" s="1"/>
  <c r="AI40" i="35" s="1"/>
  <c r="AF42" i="35"/>
  <c r="AG42" i="35" s="1"/>
  <c r="AF39" i="35"/>
  <c r="AG39" i="35" s="1"/>
  <c r="V25" i="31"/>
  <c r="S24" i="31"/>
  <c r="P18" i="31"/>
  <c r="P17" i="31"/>
  <c r="V22" i="31"/>
  <c r="F63" i="31" s="1"/>
  <c r="I39" i="30"/>
  <c r="I37" i="30"/>
  <c r="J37" i="30" s="1"/>
  <c r="G9" i="30"/>
  <c r="AF22" i="35" l="1"/>
  <c r="AG22" i="35" s="1"/>
  <c r="AH22" i="35"/>
  <c r="AI22" i="35" s="1"/>
  <c r="Y17" i="35"/>
  <c r="AF17" i="35" s="1"/>
  <c r="AG17" i="35" s="1"/>
  <c r="I7" i="31"/>
  <c r="F56" i="31"/>
  <c r="F49" i="31"/>
  <c r="F53" i="31"/>
  <c r="F55" i="31"/>
  <c r="F58" i="31"/>
  <c r="F75" i="31"/>
  <c r="I32" i="31"/>
  <c r="I35" i="31"/>
  <c r="AH17" i="35"/>
  <c r="AI17" i="35" s="1"/>
  <c r="Y30" i="35"/>
  <c r="AF30" i="35" s="1"/>
  <c r="AG30" i="35" s="1"/>
  <c r="F52" i="31"/>
  <c r="F69" i="31"/>
  <c r="F74" i="31"/>
  <c r="F45" i="31"/>
  <c r="F51" i="31"/>
  <c r="F68" i="31"/>
  <c r="F54" i="31"/>
  <c r="F71" i="31"/>
  <c r="E67" i="31"/>
  <c r="E43" i="31"/>
  <c r="E55" i="31"/>
  <c r="E63" i="31"/>
  <c r="E75" i="31"/>
  <c r="E51" i="31"/>
  <c r="E71" i="31"/>
  <c r="E47" i="31"/>
  <c r="E60" i="31"/>
  <c r="E64" i="31"/>
  <c r="E70" i="31"/>
  <c r="E48" i="31"/>
  <c r="E58" i="31"/>
  <c r="E45" i="31"/>
  <c r="E65" i="31"/>
  <c r="E52" i="31"/>
  <c r="E54" i="31"/>
  <c r="E66" i="31"/>
  <c r="E68" i="31"/>
  <c r="E57" i="31"/>
  <c r="E59" i="31"/>
  <c r="E61" i="31"/>
  <c r="E44" i="31"/>
  <c r="E46" i="31"/>
  <c r="E62" i="31"/>
  <c r="E42" i="31"/>
  <c r="E53" i="31"/>
  <c r="E73" i="31"/>
  <c r="E72" i="31"/>
  <c r="E74" i="31"/>
  <c r="E56" i="31"/>
  <c r="E50" i="31"/>
  <c r="E49" i="31"/>
  <c r="E69" i="31"/>
  <c r="I26" i="31"/>
  <c r="AF41" i="35"/>
  <c r="AG41" i="35" s="1"/>
  <c r="Y14" i="35"/>
  <c r="Y11" i="35"/>
  <c r="F42" i="31"/>
  <c r="F48" i="31"/>
  <c r="F65" i="31"/>
  <c r="F66" i="31"/>
  <c r="F70" i="31"/>
  <c r="F47" i="31"/>
  <c r="F64" i="31"/>
  <c r="F50" i="31"/>
  <c r="F67" i="31"/>
  <c r="I10" i="31"/>
  <c r="F73" i="31"/>
  <c r="F72" i="31"/>
  <c r="I23" i="31"/>
  <c r="I15" i="31"/>
  <c r="I18" i="31"/>
  <c r="F60" i="31"/>
  <c r="F44" i="31"/>
  <c r="F57" i="31"/>
  <c r="F61" i="31"/>
  <c r="F59" i="31"/>
  <c r="F43" i="31"/>
  <c r="F62" i="31"/>
  <c r="F46" i="31"/>
  <c r="AH29" i="35"/>
  <c r="AI29" i="35" s="1"/>
  <c r="AF29" i="35"/>
  <c r="AG29" i="35" s="1"/>
  <c r="AF14" i="35"/>
  <c r="AG14" i="35" s="1"/>
  <c r="AH14" i="35"/>
  <c r="AI14" i="35" s="1"/>
  <c r="AH50" i="35"/>
  <c r="AI50" i="35" s="1"/>
  <c r="AF50" i="35"/>
  <c r="AG50" i="35" s="1"/>
  <c r="AF10" i="35"/>
  <c r="AG10" i="35" s="1"/>
  <c r="AH10" i="35"/>
  <c r="AI10" i="35" s="1"/>
  <c r="AF16" i="35"/>
  <c r="AG16" i="35" s="1"/>
  <c r="AH16" i="35"/>
  <c r="AI16" i="35" s="1"/>
  <c r="AF33" i="35"/>
  <c r="AG33" i="35" s="1"/>
  <c r="AH33" i="35"/>
  <c r="AI33" i="35" s="1"/>
  <c r="Y32" i="35"/>
  <c r="Y34" i="35"/>
  <c r="AH51" i="35"/>
  <c r="AF51" i="35"/>
  <c r="Y38" i="35"/>
  <c r="AH12" i="35"/>
  <c r="AI12" i="35" s="1"/>
  <c r="AF12" i="35"/>
  <c r="AG12" i="35" s="1"/>
  <c r="Y23" i="35"/>
  <c r="AH28" i="35"/>
  <c r="AI28" i="35" s="1"/>
  <c r="AF28" i="35"/>
  <c r="AG28" i="35" s="1"/>
  <c r="AF5" i="35"/>
  <c r="AH5" i="35"/>
  <c r="AH25" i="35"/>
  <c r="AI25" i="35" s="1"/>
  <c r="AF25" i="35"/>
  <c r="AG25" i="35" s="1"/>
  <c r="AF35" i="35"/>
  <c r="AG35" i="35" s="1"/>
  <c r="AH35" i="35"/>
  <c r="AI35" i="35" s="1"/>
  <c r="AF11" i="35"/>
  <c r="AG11" i="35" s="1"/>
  <c r="AH11" i="35"/>
  <c r="AI11" i="35" s="1"/>
  <c r="AH20" i="35"/>
  <c r="AI20" i="35" s="1"/>
  <c r="AF20" i="35"/>
  <c r="AG20" i="35" s="1"/>
  <c r="AF24" i="35"/>
  <c r="AG24" i="35" s="1"/>
  <c r="AH24" i="35"/>
  <c r="AI24" i="35" s="1"/>
  <c r="AH37" i="35"/>
  <c r="AI37" i="35" s="1"/>
  <c r="AF37" i="35"/>
  <c r="AG37" i="35" s="1"/>
  <c r="AH36" i="35"/>
  <c r="AI36" i="35" s="1"/>
  <c r="AF36" i="35"/>
  <c r="AG36" i="35" s="1"/>
  <c r="AH26" i="35"/>
  <c r="AI26" i="35" s="1"/>
  <c r="AF26" i="35"/>
  <c r="AG26" i="35" s="1"/>
  <c r="AH7" i="35"/>
  <c r="AI7" i="35" s="1"/>
  <c r="AF7" i="35"/>
  <c r="AG7" i="35" s="1"/>
  <c r="AH30" i="35"/>
  <c r="AI30" i="35" s="1"/>
  <c r="AF40" i="35"/>
  <c r="AG40" i="35" s="1"/>
  <c r="AF31" i="35"/>
  <c r="AG31" i="35" s="1"/>
  <c r="AH31" i="35"/>
  <c r="AI31" i="35" s="1"/>
  <c r="AF27" i="35"/>
  <c r="AG27" i="35" s="1"/>
  <c r="AH27" i="35"/>
  <c r="AI27" i="35" s="1"/>
  <c r="AF21" i="35"/>
  <c r="AG21" i="35" s="1"/>
  <c r="AH21" i="35"/>
  <c r="AI21" i="35" s="1"/>
  <c r="H6" i="31"/>
  <c r="H8" i="31"/>
  <c r="H10" i="31"/>
  <c r="H12" i="31"/>
  <c r="H14" i="31"/>
  <c r="H16" i="31"/>
  <c r="H18" i="31"/>
  <c r="H20" i="31"/>
  <c r="H22" i="31"/>
  <c r="H24" i="31"/>
  <c r="H26" i="31"/>
  <c r="H28" i="31"/>
  <c r="H30" i="31"/>
  <c r="H33" i="31"/>
  <c r="H35" i="31"/>
  <c r="H37" i="31"/>
  <c r="H31" i="31"/>
  <c r="H5" i="31"/>
  <c r="H7" i="31"/>
  <c r="H9" i="31"/>
  <c r="H11" i="31"/>
  <c r="H13" i="31"/>
  <c r="H15" i="31"/>
  <c r="H17" i="31"/>
  <c r="H19" i="31"/>
  <c r="H21" i="31"/>
  <c r="H23" i="31"/>
  <c r="H25" i="31"/>
  <c r="H27" i="31"/>
  <c r="H29" i="31"/>
  <c r="H32" i="31"/>
  <c r="H34" i="31"/>
  <c r="H36" i="31"/>
  <c r="I29" i="31"/>
  <c r="I21" i="31"/>
  <c r="I13" i="31"/>
  <c r="I5" i="31"/>
  <c r="I33" i="31"/>
  <c r="I24" i="31"/>
  <c r="I16" i="31"/>
  <c r="I8" i="31"/>
  <c r="I36" i="31"/>
  <c r="I27" i="31"/>
  <c r="I19" i="31"/>
  <c r="I11" i="31"/>
  <c r="I4" i="31"/>
  <c r="I30" i="31"/>
  <c r="I22" i="31"/>
  <c r="I14" i="31"/>
  <c r="I6" i="31"/>
  <c r="I34" i="31"/>
  <c r="I25" i="31"/>
  <c r="I17" i="31"/>
  <c r="I9" i="31"/>
  <c r="I37" i="31"/>
  <c r="I28" i="31"/>
  <c r="I20" i="31"/>
  <c r="I12" i="31"/>
  <c r="I31" i="31"/>
  <c r="E37" i="31"/>
  <c r="E7" i="31"/>
  <c r="E11" i="31"/>
  <c r="E15" i="31"/>
  <c r="E19" i="31"/>
  <c r="E23" i="31"/>
  <c r="E27" i="31"/>
  <c r="E31" i="31"/>
  <c r="E35" i="31"/>
  <c r="E9" i="31"/>
  <c r="E17" i="31"/>
  <c r="E25" i="31"/>
  <c r="E33" i="31"/>
  <c r="E10" i="31"/>
  <c r="E18" i="31"/>
  <c r="E26" i="31"/>
  <c r="E34" i="31"/>
  <c r="H4" i="31"/>
  <c r="E8" i="31"/>
  <c r="E12" i="31"/>
  <c r="E16" i="31"/>
  <c r="E20" i="31"/>
  <c r="E24" i="31"/>
  <c r="E28" i="31"/>
  <c r="E32" i="31"/>
  <c r="E36" i="31"/>
  <c r="E5" i="31"/>
  <c r="E13" i="31"/>
  <c r="E21" i="31"/>
  <c r="E29" i="31"/>
  <c r="E6" i="31"/>
  <c r="E14" i="31"/>
  <c r="E22" i="31"/>
  <c r="E30" i="31"/>
  <c r="E4" i="31"/>
  <c r="W22" i="31"/>
  <c r="W25" i="31"/>
  <c r="X7" i="31"/>
  <c r="X23" i="31"/>
  <c r="X24" i="31"/>
  <c r="X29" i="31"/>
  <c r="X30" i="31"/>
  <c r="X35" i="31"/>
  <c r="X17" i="31"/>
  <c r="X18" i="31"/>
  <c r="X33" i="31"/>
  <c r="X34" i="31"/>
  <c r="X36" i="31"/>
  <c r="X15" i="31"/>
  <c r="X16" i="31"/>
  <c r="X27" i="31"/>
  <c r="X28" i="31"/>
  <c r="X21" i="31"/>
  <c r="X22" i="31"/>
  <c r="X19" i="31"/>
  <c r="X20" i="31"/>
  <c r="X31" i="31"/>
  <c r="X32" i="31"/>
  <c r="X9" i="31"/>
  <c r="X25" i="31"/>
  <c r="X26" i="31"/>
  <c r="X8" i="31"/>
  <c r="X6" i="31"/>
  <c r="X10" i="31"/>
  <c r="X11" i="31"/>
  <c r="X12" i="31"/>
  <c r="X14" i="31"/>
  <c r="X13" i="31"/>
  <c r="X5" i="31"/>
  <c r="G30" i="30"/>
  <c r="AF34" i="35" l="1"/>
  <c r="AG34" i="35" s="1"/>
  <c r="AH34" i="35"/>
  <c r="AI34" i="35" s="1"/>
  <c r="AH38" i="35"/>
  <c r="AI38" i="35" s="1"/>
  <c r="AF38" i="35"/>
  <c r="AG38" i="35" s="1"/>
  <c r="AF32" i="35"/>
  <c r="AG32" i="35" s="1"/>
  <c r="AH32" i="35"/>
  <c r="AI32" i="35" s="1"/>
  <c r="AF23" i="35"/>
  <c r="AG23" i="35" s="1"/>
  <c r="AH23" i="35"/>
  <c r="AI23" i="35" s="1"/>
  <c r="F66" i="3"/>
  <c r="C52" i="3"/>
  <c r="C53" i="3"/>
  <c r="C54" i="3"/>
  <c r="K31" i="30" l="1"/>
  <c r="F30" i="30"/>
  <c r="H30" i="30" s="1"/>
  <c r="K30" i="30"/>
  <c r="K32" i="30" l="1"/>
  <c r="F22" i="30" l="1"/>
  <c r="J22" i="30"/>
  <c r="G8" i="30"/>
  <c r="K37" i="30" s="1"/>
  <c r="J8" i="30"/>
  <c r="G16" i="30" s="1"/>
  <c r="G17" i="30" s="1"/>
  <c r="G12" i="30" l="1"/>
  <c r="G18" i="30"/>
  <c r="G10" i="30"/>
  <c r="K22" i="30"/>
  <c r="J4" i="30"/>
  <c r="G13" i="30" l="1"/>
  <c r="G14" i="30"/>
  <c r="C4" i="23"/>
  <c r="C4" i="24"/>
  <c r="C4" i="25"/>
  <c r="C4" i="26"/>
  <c r="C3" i="26" l="1"/>
  <c r="C2" i="26"/>
  <c r="C2" i="24"/>
  <c r="C3" i="24"/>
  <c r="C3" i="23"/>
  <c r="C3" i="25"/>
  <c r="C2" i="25"/>
  <c r="H56" i="28" l="1"/>
  <c r="J56" i="28"/>
  <c r="L56" i="28"/>
  <c r="F56" i="28"/>
  <c r="K48" i="29"/>
  <c r="M48" i="29"/>
  <c r="O48" i="29"/>
  <c r="C9" i="30"/>
  <c r="C2" i="30"/>
  <c r="H9" i="27"/>
  <c r="G9" i="27" s="1"/>
  <c r="H10" i="27"/>
  <c r="J10" i="27" s="1"/>
  <c r="H11" i="27"/>
  <c r="G11" i="27" s="1"/>
  <c r="H8" i="27"/>
  <c r="G8" i="27" s="1"/>
  <c r="G10" i="27" l="1"/>
  <c r="C6" i="30"/>
  <c r="C5" i="30"/>
  <c r="X94" i="16"/>
  <c r="W94" i="16"/>
  <c r="V94" i="16"/>
  <c r="U94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H54" i="28"/>
  <c r="J54" i="28"/>
  <c r="L54" i="28"/>
  <c r="H55" i="28"/>
  <c r="J55" i="28"/>
  <c r="L55" i="28"/>
  <c r="H57" i="28"/>
  <c r="L57" i="28"/>
  <c r="L58" i="28" s="1"/>
  <c r="H59" i="28"/>
  <c r="L59" i="28"/>
  <c r="F57" i="28"/>
  <c r="F55" i="28"/>
  <c r="K46" i="29"/>
  <c r="M46" i="29"/>
  <c r="O46" i="29"/>
  <c r="K47" i="29"/>
  <c r="K51" i="29" s="1"/>
  <c r="M47" i="29"/>
  <c r="M51" i="29" s="1"/>
  <c r="O47" i="29"/>
  <c r="O51" i="29" s="1"/>
  <c r="K49" i="29"/>
  <c r="K50" i="29" s="1"/>
  <c r="O49" i="29"/>
  <c r="AB8" i="29"/>
  <c r="K3" i="29"/>
  <c r="K6" i="29" s="1"/>
  <c r="M3" i="29"/>
  <c r="M4" i="29" s="1"/>
  <c r="O3" i="29"/>
  <c r="O4" i="29" s="1"/>
  <c r="M6" i="29"/>
  <c r="K9" i="29"/>
  <c r="M9" i="29"/>
  <c r="O9" i="29"/>
  <c r="K30" i="29"/>
  <c r="M30" i="29"/>
  <c r="O30" i="29"/>
  <c r="Y16" i="29"/>
  <c r="AB6" i="29"/>
  <c r="H29" i="28"/>
  <c r="J29" i="28"/>
  <c r="L29" i="28"/>
  <c r="F29" i="28"/>
  <c r="C10" i="30" l="1"/>
  <c r="C7" i="30"/>
  <c r="C8" i="30" s="1"/>
  <c r="F4" i="30" s="1"/>
  <c r="G4" i="30" s="1"/>
  <c r="O6" i="29"/>
  <c r="O52" i="29"/>
  <c r="O53" i="29" s="1"/>
  <c r="O54" i="29" s="1"/>
  <c r="L60" i="28"/>
  <c r="L61" i="28" s="1"/>
  <c r="L62" i="28" s="1"/>
  <c r="J59" i="28"/>
  <c r="H58" i="28"/>
  <c r="H60" i="28"/>
  <c r="H61" i="28" s="1"/>
  <c r="H62" i="28" s="1"/>
  <c r="J57" i="28"/>
  <c r="K52" i="29"/>
  <c r="K53" i="29" s="1"/>
  <c r="K54" i="29" s="1"/>
  <c r="O50" i="29"/>
  <c r="M49" i="29"/>
  <c r="K4" i="29"/>
  <c r="I36" i="28"/>
  <c r="I34" i="28"/>
  <c r="I35" i="28" s="1"/>
  <c r="I37" i="28" l="1"/>
  <c r="C11" i="30"/>
  <c r="C14" i="30" s="1"/>
  <c r="J58" i="28"/>
  <c r="J60" i="28"/>
  <c r="J61" i="28" s="1"/>
  <c r="J62" i="28" s="1"/>
  <c r="M50" i="29"/>
  <c r="M52" i="29"/>
  <c r="M53" i="29" s="1"/>
  <c r="M54" i="29" s="1"/>
  <c r="I40" i="28"/>
  <c r="AB10" i="29"/>
  <c r="AB9" i="29"/>
  <c r="AB11" i="29"/>
  <c r="O44" i="29"/>
  <c r="O55" i="29" s="1"/>
  <c r="M44" i="29"/>
  <c r="M55" i="29" s="1"/>
  <c r="K44" i="29"/>
  <c r="K55" i="29" s="1"/>
  <c r="V10" i="29"/>
  <c r="V17" i="29" s="1"/>
  <c r="O39" i="29"/>
  <c r="M39" i="29"/>
  <c r="K39" i="29"/>
  <c r="V7" i="29"/>
  <c r="X96" i="16"/>
  <c r="W96" i="16"/>
  <c r="V96" i="16"/>
  <c r="U96" i="16"/>
  <c r="F6" i="16"/>
  <c r="G6" i="16"/>
  <c r="H6" i="16"/>
  <c r="F7" i="16"/>
  <c r="G7" i="16"/>
  <c r="H7" i="16"/>
  <c r="F8" i="16"/>
  <c r="G8" i="16"/>
  <c r="H8" i="16"/>
  <c r="F9" i="16"/>
  <c r="G9" i="16"/>
  <c r="H9" i="16"/>
  <c r="F10" i="16"/>
  <c r="G10" i="16"/>
  <c r="H10" i="16"/>
  <c r="F11" i="16"/>
  <c r="G11" i="16"/>
  <c r="H11" i="16"/>
  <c r="F12" i="16"/>
  <c r="G12" i="16"/>
  <c r="H12" i="16"/>
  <c r="F13" i="16"/>
  <c r="H13" i="16"/>
  <c r="V101" i="16" s="1"/>
  <c r="F14" i="16"/>
  <c r="H14" i="16"/>
  <c r="F15" i="16"/>
  <c r="H15" i="16"/>
  <c r="F16" i="16"/>
  <c r="H16" i="16"/>
  <c r="F17" i="16"/>
  <c r="H17" i="16"/>
  <c r="V100" i="16" s="1"/>
  <c r="F18" i="16"/>
  <c r="H18" i="16"/>
  <c r="F19" i="16"/>
  <c r="H19" i="16"/>
  <c r="F20" i="16"/>
  <c r="H20" i="16"/>
  <c r="F21" i="16"/>
  <c r="H21" i="16"/>
  <c r="F22" i="16"/>
  <c r="H22" i="16"/>
  <c r="F23" i="16"/>
  <c r="H23" i="16"/>
  <c r="F24" i="16"/>
  <c r="H24" i="16"/>
  <c r="F25" i="16"/>
  <c r="H25" i="16"/>
  <c r="F26" i="16"/>
  <c r="H26" i="16"/>
  <c r="F27" i="16"/>
  <c r="H27" i="16"/>
  <c r="F28" i="16"/>
  <c r="H28" i="16"/>
  <c r="F29" i="16"/>
  <c r="H29" i="16"/>
  <c r="F30" i="16"/>
  <c r="H30" i="16"/>
  <c r="F31" i="16"/>
  <c r="H31" i="16"/>
  <c r="F32" i="16"/>
  <c r="H32" i="16"/>
  <c r="F33" i="16"/>
  <c r="H33" i="16"/>
  <c r="F34" i="16"/>
  <c r="H34" i="16"/>
  <c r="F35" i="16"/>
  <c r="H35" i="16"/>
  <c r="F36" i="16"/>
  <c r="H36" i="16"/>
  <c r="F37" i="16"/>
  <c r="H37" i="16"/>
  <c r="F38" i="16"/>
  <c r="H38" i="16"/>
  <c r="F39" i="16"/>
  <c r="H39" i="16"/>
  <c r="F40" i="16"/>
  <c r="H40" i="16"/>
  <c r="F41" i="16"/>
  <c r="H41" i="16"/>
  <c r="F42" i="16"/>
  <c r="H42" i="16"/>
  <c r="F43" i="16"/>
  <c r="H43" i="16"/>
  <c r="F44" i="16"/>
  <c r="H44" i="16"/>
  <c r="F45" i="16"/>
  <c r="H45" i="16"/>
  <c r="F46" i="16"/>
  <c r="G46" i="16"/>
  <c r="H46" i="16"/>
  <c r="F47" i="16"/>
  <c r="G47" i="16"/>
  <c r="H47" i="16"/>
  <c r="F48" i="16"/>
  <c r="G48" i="16"/>
  <c r="H48" i="16"/>
  <c r="F49" i="16"/>
  <c r="G49" i="16"/>
  <c r="H49" i="16"/>
  <c r="F50" i="16"/>
  <c r="G50" i="16"/>
  <c r="H50" i="16"/>
  <c r="F51" i="16"/>
  <c r="G51" i="16"/>
  <c r="H51" i="16"/>
  <c r="F52" i="16"/>
  <c r="G52" i="16"/>
  <c r="H52" i="16"/>
  <c r="F53" i="16"/>
  <c r="G53" i="16"/>
  <c r="H53" i="16"/>
  <c r="V112" i="16"/>
  <c r="W112" i="16"/>
  <c r="X112" i="16"/>
  <c r="U112" i="16"/>
  <c r="V102" i="16"/>
  <c r="W102" i="16"/>
  <c r="X102" i="16"/>
  <c r="U102" i="16"/>
  <c r="W93" i="16"/>
  <c r="X93" i="16"/>
  <c r="W97" i="16"/>
  <c r="X97" i="16"/>
  <c r="W106" i="16"/>
  <c r="W104" i="16" s="1"/>
  <c r="X106" i="16"/>
  <c r="X104" i="16" s="1"/>
  <c r="W107" i="16"/>
  <c r="W105" i="16" s="1"/>
  <c r="X107" i="16"/>
  <c r="X105" i="16" s="1"/>
  <c r="W111" i="16"/>
  <c r="X111" i="16"/>
  <c r="V93" i="16"/>
  <c r="V97" i="16"/>
  <c r="V106" i="16"/>
  <c r="V104" i="16" s="1"/>
  <c r="V107" i="16"/>
  <c r="V105" i="16" s="1"/>
  <c r="V111" i="16"/>
  <c r="L52" i="28"/>
  <c r="L63" i="28" s="1"/>
  <c r="J52" i="28"/>
  <c r="J63" i="28" s="1"/>
  <c r="H52" i="28"/>
  <c r="H63" i="28" s="1"/>
  <c r="L4" i="28"/>
  <c r="L5" i="28" s="1"/>
  <c r="L10" i="28"/>
  <c r="L66" i="28" s="1"/>
  <c r="J4" i="28"/>
  <c r="J5" i="28" s="1"/>
  <c r="J10" i="28"/>
  <c r="J66" i="28" s="1"/>
  <c r="H4" i="28"/>
  <c r="H5" i="28" s="1"/>
  <c r="H10" i="28"/>
  <c r="H66" i="28" s="1"/>
  <c r="F59" i="28"/>
  <c r="F58" i="28"/>
  <c r="F54" i="28"/>
  <c r="F60" i="28" s="1"/>
  <c r="F52" i="28"/>
  <c r="F63" i="28" s="1"/>
  <c r="D11" i="28"/>
  <c r="F67" i="28" s="1"/>
  <c r="D5" i="28"/>
  <c r="D6" i="28" s="1"/>
  <c r="V14" i="29" l="1"/>
  <c r="X95" i="16"/>
  <c r="W95" i="16"/>
  <c r="V95" i="16"/>
  <c r="U95" i="16"/>
  <c r="K38" i="29"/>
  <c r="K36" i="29"/>
  <c r="V16" i="29"/>
  <c r="V13" i="29"/>
  <c r="V15" i="29"/>
  <c r="K35" i="29"/>
  <c r="K37" i="29"/>
  <c r="H7" i="28"/>
  <c r="J67" i="28"/>
  <c r="J24" i="28" s="1"/>
  <c r="J25" i="28" s="1"/>
  <c r="L7" i="28"/>
  <c r="K57" i="29"/>
  <c r="AB12" i="29"/>
  <c r="AB13" i="29" s="1"/>
  <c r="M57" i="29"/>
  <c r="O57" i="29"/>
  <c r="M35" i="29"/>
  <c r="M36" i="29"/>
  <c r="M37" i="29"/>
  <c r="M38" i="29"/>
  <c r="O35" i="29"/>
  <c r="O36" i="29"/>
  <c r="O37" i="29"/>
  <c r="O38" i="29"/>
  <c r="U101" i="16"/>
  <c r="U100" i="16"/>
  <c r="X100" i="16"/>
  <c r="X101" i="16"/>
  <c r="W98" i="16"/>
  <c r="W100" i="16"/>
  <c r="W101" i="16"/>
  <c r="X98" i="16"/>
  <c r="V98" i="16"/>
  <c r="J7" i="28"/>
  <c r="F61" i="28"/>
  <c r="F62" i="28" s="1"/>
  <c r="J45" i="28"/>
  <c r="J69" i="28"/>
  <c r="J27" i="28" s="1"/>
  <c r="L68" i="28"/>
  <c r="L67" i="28"/>
  <c r="L24" i="28" s="1"/>
  <c r="L25" i="28" s="1"/>
  <c r="L69" i="28"/>
  <c r="L70" i="28"/>
  <c r="J70" i="28"/>
  <c r="J68" i="28"/>
  <c r="H69" i="28"/>
  <c r="H68" i="28"/>
  <c r="H67" i="28"/>
  <c r="H23" i="28" s="1"/>
  <c r="H70" i="28"/>
  <c r="D8" i="28"/>
  <c r="F68" i="28"/>
  <c r="F69" i="28"/>
  <c r="F66" i="28"/>
  <c r="F70" i="28"/>
  <c r="H27" i="28" l="1"/>
  <c r="L23" i="28"/>
  <c r="Y5" i="29"/>
  <c r="Y6" i="29" s="1"/>
  <c r="Y14" i="29"/>
  <c r="L27" i="28"/>
  <c r="J123" i="16"/>
  <c r="Y11" i="29"/>
  <c r="Y12" i="29" s="1"/>
  <c r="Y10" i="29"/>
  <c r="J23" i="28"/>
  <c r="H24" i="28"/>
  <c r="H25" i="28" s="1"/>
  <c r="F23" i="28"/>
  <c r="F24" i="28"/>
  <c r="I38" i="28"/>
  <c r="I39" i="28" s="1"/>
  <c r="F27" i="28"/>
  <c r="X109" i="16"/>
  <c r="L45" i="28"/>
  <c r="AB16" i="29"/>
  <c r="M28" i="29"/>
  <c r="K28" i="29"/>
  <c r="O28" i="29"/>
  <c r="K24" i="29"/>
  <c r="K25" i="29"/>
  <c r="K26" i="29" s="1"/>
  <c r="O25" i="29"/>
  <c r="O26" i="29" s="1"/>
  <c r="O24" i="29"/>
  <c r="M25" i="29"/>
  <c r="M26" i="29" s="1"/>
  <c r="M24" i="29"/>
  <c r="H45" i="28"/>
  <c r="K19" i="29"/>
  <c r="J18" i="28"/>
  <c r="J19" i="28" s="1"/>
  <c r="J43" i="28" s="1"/>
  <c r="F45" i="28"/>
  <c r="O19" i="29"/>
  <c r="Y7" i="29"/>
  <c r="M19" i="29"/>
  <c r="I123" i="16"/>
  <c r="W103" i="16" s="1"/>
  <c r="J96" i="16" s="1"/>
  <c r="H123" i="16"/>
  <c r="J115" i="16"/>
  <c r="J109" i="16"/>
  <c r="J92" i="16"/>
  <c r="X103" i="16"/>
  <c r="H18" i="28"/>
  <c r="H19" i="28" s="1"/>
  <c r="H43" i="28" s="1"/>
  <c r="L18" i="28"/>
  <c r="F25" i="28"/>
  <c r="F18" i="28"/>
  <c r="J20" i="3"/>
  <c r="G20" i="3"/>
  <c r="K7" i="2"/>
  <c r="J108" i="16" l="1"/>
  <c r="Y15" i="29"/>
  <c r="Y18" i="29"/>
  <c r="AB17" i="29" s="1"/>
  <c r="AB18" i="29" s="1"/>
  <c r="J93" i="16"/>
  <c r="J20" i="28"/>
  <c r="J28" i="28" s="1"/>
  <c r="J111" i="16"/>
  <c r="J110" i="16"/>
  <c r="J105" i="16"/>
  <c r="J95" i="16"/>
  <c r="J102" i="16"/>
  <c r="J113" i="16"/>
  <c r="J99" i="16"/>
  <c r="J116" i="16"/>
  <c r="V103" i="16"/>
  <c r="V109" i="16"/>
  <c r="W109" i="16"/>
  <c r="K116" i="16" s="1"/>
  <c r="J98" i="16"/>
  <c r="K98" i="16" s="1"/>
  <c r="J103" i="16"/>
  <c r="J114" i="16"/>
  <c r="J106" i="16"/>
  <c r="K106" i="16" s="1"/>
  <c r="J94" i="16"/>
  <c r="K94" i="16" s="1"/>
  <c r="J97" i="16"/>
  <c r="J112" i="16"/>
  <c r="J104" i="16"/>
  <c r="K104" i="16" s="1"/>
  <c r="K21" i="29"/>
  <c r="K29" i="29" s="1"/>
  <c r="K20" i="29"/>
  <c r="H20" i="28"/>
  <c r="H28" i="28" s="1"/>
  <c r="M21" i="29"/>
  <c r="M29" i="29" s="1"/>
  <c r="M20" i="29"/>
  <c r="M32" i="29" s="1"/>
  <c r="O21" i="29"/>
  <c r="O29" i="29" s="1"/>
  <c r="O20" i="29"/>
  <c r="O32" i="29" s="1"/>
  <c r="J107" i="16"/>
  <c r="K107" i="16" s="1"/>
  <c r="J100" i="16"/>
  <c r="K100" i="16" s="1"/>
  <c r="J101" i="16"/>
  <c r="K101" i="16" s="1"/>
  <c r="L93" i="16"/>
  <c r="M93" i="16" s="1"/>
  <c r="L95" i="16"/>
  <c r="M95" i="16" s="1"/>
  <c r="L97" i="16"/>
  <c r="M97" i="16" s="1"/>
  <c r="L99" i="16"/>
  <c r="M99" i="16" s="1"/>
  <c r="L101" i="16"/>
  <c r="M101" i="16" s="1"/>
  <c r="L103" i="16"/>
  <c r="M103" i="16" s="1"/>
  <c r="L105" i="16"/>
  <c r="M105" i="16" s="1"/>
  <c r="L107" i="16"/>
  <c r="M107" i="16" s="1"/>
  <c r="L109" i="16"/>
  <c r="M109" i="16" s="1"/>
  <c r="L111" i="16"/>
  <c r="M111" i="16" s="1"/>
  <c r="L113" i="16"/>
  <c r="M113" i="16" s="1"/>
  <c r="L115" i="16"/>
  <c r="M115" i="16" s="1"/>
  <c r="L94" i="16"/>
  <c r="M94" i="16" s="1"/>
  <c r="L96" i="16"/>
  <c r="M96" i="16" s="1"/>
  <c r="L98" i="16"/>
  <c r="M98" i="16" s="1"/>
  <c r="L100" i="16"/>
  <c r="M100" i="16" s="1"/>
  <c r="L102" i="16"/>
  <c r="M102" i="16" s="1"/>
  <c r="L104" i="16"/>
  <c r="M104" i="16" s="1"/>
  <c r="L106" i="16"/>
  <c r="M106" i="16" s="1"/>
  <c r="L108" i="16"/>
  <c r="M108" i="16" s="1"/>
  <c r="L110" i="16"/>
  <c r="M110" i="16" s="1"/>
  <c r="L112" i="16"/>
  <c r="M112" i="16" s="1"/>
  <c r="L114" i="16"/>
  <c r="M114" i="16" s="1"/>
  <c r="L116" i="16"/>
  <c r="M116" i="16" s="1"/>
  <c r="H110" i="16"/>
  <c r="H114" i="16"/>
  <c r="H93" i="16"/>
  <c r="H95" i="16"/>
  <c r="H97" i="16"/>
  <c r="H99" i="16"/>
  <c r="H101" i="16"/>
  <c r="H103" i="16"/>
  <c r="H105" i="16"/>
  <c r="H107" i="16"/>
  <c r="H109" i="16"/>
  <c r="H111" i="16"/>
  <c r="H113" i="16"/>
  <c r="H115" i="16"/>
  <c r="H94" i="16"/>
  <c r="H100" i="16"/>
  <c r="H106" i="16"/>
  <c r="H108" i="16"/>
  <c r="H112" i="16"/>
  <c r="H96" i="16"/>
  <c r="H98" i="16"/>
  <c r="H102" i="16"/>
  <c r="H104" i="16"/>
  <c r="H116" i="16"/>
  <c r="H92" i="16"/>
  <c r="L92" i="16"/>
  <c r="M92" i="16" s="1"/>
  <c r="L20" i="28"/>
  <c r="L28" i="28" s="1"/>
  <c r="L19" i="28"/>
  <c r="L43" i="28" s="1"/>
  <c r="J46" i="28"/>
  <c r="J47" i="28" s="1"/>
  <c r="H46" i="28"/>
  <c r="H47" i="28" s="1"/>
  <c r="F20" i="28"/>
  <c r="F28" i="28" s="1"/>
  <c r="F19" i="28"/>
  <c r="F43" i="28" s="1"/>
  <c r="J21" i="3"/>
  <c r="J22" i="3"/>
  <c r="K21" i="3" s="1"/>
  <c r="N105" i="2"/>
  <c r="O105" i="2"/>
  <c r="P105" i="2"/>
  <c r="Q105" i="2"/>
  <c r="R105" i="2"/>
  <c r="S105" i="2"/>
  <c r="T105" i="2"/>
  <c r="M105" i="2"/>
  <c r="E55" i="2"/>
  <c r="I116" i="16" l="1"/>
  <c r="I96" i="16"/>
  <c r="I100" i="16"/>
  <c r="I111" i="16"/>
  <c r="I103" i="16"/>
  <c r="I95" i="16"/>
  <c r="K112" i="16"/>
  <c r="K114" i="16"/>
  <c r="K102" i="16"/>
  <c r="K99" i="16"/>
  <c r="K97" i="16"/>
  <c r="K108" i="16"/>
  <c r="K103" i="16"/>
  <c r="K95" i="16"/>
  <c r="K115" i="16"/>
  <c r="K110" i="16"/>
  <c r="K105" i="16"/>
  <c r="K113" i="16"/>
  <c r="I104" i="16"/>
  <c r="I112" i="16"/>
  <c r="I94" i="16"/>
  <c r="I109" i="16"/>
  <c r="I101" i="16"/>
  <c r="I93" i="16"/>
  <c r="K93" i="16"/>
  <c r="I108" i="16"/>
  <c r="I107" i="16"/>
  <c r="I114" i="16"/>
  <c r="K111" i="16"/>
  <c r="I102" i="16"/>
  <c r="I115" i="16"/>
  <c r="I99" i="16"/>
  <c r="I92" i="16"/>
  <c r="I98" i="16"/>
  <c r="I106" i="16"/>
  <c r="I113" i="16"/>
  <c r="I105" i="16"/>
  <c r="I97" i="16"/>
  <c r="I110" i="16"/>
  <c r="K92" i="16"/>
  <c r="K109" i="16"/>
  <c r="K96" i="16"/>
  <c r="K32" i="29"/>
  <c r="K58" i="29" s="1"/>
  <c r="K59" i="29" s="1"/>
  <c r="O58" i="29"/>
  <c r="O59" i="29" s="1"/>
  <c r="M58" i="29"/>
  <c r="M59" i="29" s="1"/>
  <c r="L46" i="28"/>
  <c r="L47" i="28" s="1"/>
  <c r="F46" i="28"/>
  <c r="F47" i="28" s="1"/>
  <c r="K20" i="3"/>
  <c r="C11" i="20"/>
  <c r="Y6" i="5" l="1"/>
  <c r="Y20" i="5"/>
  <c r="F20" i="27" l="1"/>
  <c r="B5" i="27"/>
  <c r="E7" i="27"/>
  <c r="D7" i="27"/>
  <c r="N22" i="26"/>
  <c r="N23" i="26" s="1"/>
  <c r="M22" i="26"/>
  <c r="M23" i="26" s="1"/>
  <c r="L22" i="26"/>
  <c r="K22" i="26"/>
  <c r="K23" i="26" s="1"/>
  <c r="C8" i="26" s="1"/>
  <c r="C5" i="26"/>
  <c r="P22" i="25"/>
  <c r="P23" i="25" s="1"/>
  <c r="O22" i="25"/>
  <c r="O23" i="25" s="1"/>
  <c r="N22" i="25"/>
  <c r="N23" i="25" s="1"/>
  <c r="K28" i="25"/>
  <c r="K29" i="25" s="1"/>
  <c r="K30" i="25" s="1"/>
  <c r="C5" i="25"/>
  <c r="K24" i="25" s="1"/>
  <c r="N22" i="24"/>
  <c r="N23" i="24" s="1"/>
  <c r="F8" i="24" s="1"/>
  <c r="M22" i="24"/>
  <c r="M23" i="24" s="1"/>
  <c r="E8" i="24" s="1"/>
  <c r="L22" i="24"/>
  <c r="L23" i="24" s="1"/>
  <c r="D8" i="24" s="1"/>
  <c r="K22" i="24"/>
  <c r="K23" i="24" s="1"/>
  <c r="C8" i="24" s="1"/>
  <c r="C5" i="24"/>
  <c r="L23" i="26" l="1"/>
  <c r="D8" i="26" s="1"/>
  <c r="F21" i="27"/>
  <c r="F19" i="27"/>
  <c r="F22" i="27"/>
  <c r="L9" i="27"/>
  <c r="E8" i="26"/>
  <c r="F8" i="26"/>
  <c r="E8" i="25"/>
  <c r="F8" i="25"/>
  <c r="D8" i="25"/>
  <c r="C15" i="24"/>
  <c r="C15" i="25"/>
  <c r="C13" i="26"/>
  <c r="C6" i="26"/>
  <c r="G18" i="26"/>
  <c r="C50" i="26" s="1"/>
  <c r="C15" i="26"/>
  <c r="C6" i="25"/>
  <c r="C13" i="25"/>
  <c r="D48" i="25" s="1"/>
  <c r="H18" i="25"/>
  <c r="C50" i="25" s="1"/>
  <c r="C6" i="24"/>
  <c r="C13" i="24"/>
  <c r="D48" i="24" s="1"/>
  <c r="H18" i="24"/>
  <c r="C50" i="24" s="1"/>
  <c r="C2" i="23"/>
  <c r="K22" i="23"/>
  <c r="K23" i="23" s="1"/>
  <c r="K24" i="23" s="1"/>
  <c r="O22" i="23"/>
  <c r="O23" i="23" s="1"/>
  <c r="O24" i="23" s="1"/>
  <c r="P22" i="23"/>
  <c r="Q22" i="23"/>
  <c r="C5" i="23"/>
  <c r="D15" i="24" l="1"/>
  <c r="D50" i="24" s="1"/>
  <c r="E20" i="27"/>
  <c r="D52" i="24"/>
  <c r="D71" i="24" s="1"/>
  <c r="D75" i="24" s="1"/>
  <c r="J20" i="27" s="1"/>
  <c r="I20" i="27"/>
  <c r="D15" i="26"/>
  <c r="D50" i="26" s="1"/>
  <c r="E22" i="27"/>
  <c r="P23" i="23"/>
  <c r="P24" i="23" s="1"/>
  <c r="Q23" i="23"/>
  <c r="Q24" i="23" s="1"/>
  <c r="D15" i="25"/>
  <c r="D50" i="25" s="1"/>
  <c r="E21" i="27"/>
  <c r="D52" i="25"/>
  <c r="D71" i="25" s="1"/>
  <c r="D75" i="25" s="1"/>
  <c r="J21" i="27" s="1"/>
  <c r="I21" i="27"/>
  <c r="H18" i="23"/>
  <c r="C50" i="23" s="1"/>
  <c r="E13" i="26"/>
  <c r="D48" i="26"/>
  <c r="C13" i="23"/>
  <c r="E13" i="23" s="1"/>
  <c r="E13" i="25"/>
  <c r="E13" i="24"/>
  <c r="C15" i="23"/>
  <c r="C6" i="23"/>
  <c r="D17" i="24" l="1"/>
  <c r="G20" i="27"/>
  <c r="H20" i="27" s="1"/>
  <c r="D52" i="26"/>
  <c r="D71" i="26" s="1"/>
  <c r="D75" i="26" s="1"/>
  <c r="J22" i="27" s="1"/>
  <c r="I22" i="27"/>
  <c r="D17" i="26"/>
  <c r="G22" i="27"/>
  <c r="H22" i="27" s="1"/>
  <c r="D17" i="25"/>
  <c r="G21" i="27"/>
  <c r="H21" i="27" s="1"/>
  <c r="D48" i="23"/>
  <c r="D52" i="23" s="1"/>
  <c r="D71" i="23" s="1"/>
  <c r="D75" i="23" s="1"/>
  <c r="J19" i="27" s="1"/>
  <c r="D17" i="23"/>
  <c r="G19" i="27"/>
  <c r="H19" i="27" s="1"/>
  <c r="D15" i="23"/>
  <c r="D50" i="23" s="1"/>
  <c r="E19" i="27"/>
  <c r="W40" i="20"/>
  <c r="C23" i="20"/>
  <c r="C25" i="20" s="1"/>
  <c r="U54" i="20"/>
  <c r="T54" i="20"/>
  <c r="S54" i="20"/>
  <c r="U53" i="20"/>
  <c r="T53" i="20"/>
  <c r="S53" i="20"/>
  <c r="U52" i="20"/>
  <c r="T52" i="20"/>
  <c r="S52" i="20"/>
  <c r="U51" i="20"/>
  <c r="T51" i="20"/>
  <c r="S51" i="20"/>
  <c r="U50" i="20"/>
  <c r="T50" i="20"/>
  <c r="S50" i="20"/>
  <c r="U49" i="20"/>
  <c r="T49" i="20"/>
  <c r="S49" i="20"/>
  <c r="U48" i="20"/>
  <c r="T48" i="20"/>
  <c r="S48" i="20"/>
  <c r="U47" i="20"/>
  <c r="T47" i="20"/>
  <c r="S47" i="20"/>
  <c r="U46" i="20"/>
  <c r="T46" i="20"/>
  <c r="S46" i="20"/>
  <c r="U45" i="20"/>
  <c r="T45" i="20"/>
  <c r="S45" i="20"/>
  <c r="U44" i="20"/>
  <c r="T44" i="20"/>
  <c r="S44" i="20"/>
  <c r="D44" i="20"/>
  <c r="U43" i="20"/>
  <c r="T43" i="20"/>
  <c r="S43" i="20"/>
  <c r="U42" i="20"/>
  <c r="T42" i="20"/>
  <c r="S42" i="20"/>
  <c r="U41" i="20"/>
  <c r="T41" i="20"/>
  <c r="S41" i="20"/>
  <c r="U40" i="20"/>
  <c r="T40" i="20"/>
  <c r="S40" i="20"/>
  <c r="U39" i="20"/>
  <c r="T39" i="20"/>
  <c r="S39" i="20"/>
  <c r="U38" i="20"/>
  <c r="T38" i="20"/>
  <c r="S38" i="20"/>
  <c r="U37" i="20"/>
  <c r="T37" i="20"/>
  <c r="S37" i="20"/>
  <c r="U36" i="20"/>
  <c r="T36" i="20"/>
  <c r="S36" i="20"/>
  <c r="U35" i="20"/>
  <c r="T35" i="20"/>
  <c r="S35" i="20"/>
  <c r="U34" i="20"/>
  <c r="T34" i="20"/>
  <c r="S34" i="20"/>
  <c r="U33" i="20"/>
  <c r="T33" i="20"/>
  <c r="S33" i="20"/>
  <c r="U32" i="20"/>
  <c r="T32" i="20"/>
  <c r="S32" i="20"/>
  <c r="U31" i="20"/>
  <c r="T31" i="20"/>
  <c r="S31" i="20"/>
  <c r="U30" i="20"/>
  <c r="T30" i="20"/>
  <c r="S30" i="20"/>
  <c r="U29" i="20"/>
  <c r="T29" i="20"/>
  <c r="S29" i="20"/>
  <c r="U28" i="20"/>
  <c r="T28" i="20"/>
  <c r="S28" i="20"/>
  <c r="U27" i="20"/>
  <c r="T27" i="20"/>
  <c r="S27" i="20"/>
  <c r="U26" i="20"/>
  <c r="T26" i="20"/>
  <c r="S26" i="20"/>
  <c r="U25" i="20"/>
  <c r="T25" i="20"/>
  <c r="S25" i="20"/>
  <c r="U24" i="20"/>
  <c r="T24" i="20"/>
  <c r="S24" i="20"/>
  <c r="U23" i="20"/>
  <c r="T23" i="20"/>
  <c r="S23" i="20"/>
  <c r="U22" i="20"/>
  <c r="T22" i="20"/>
  <c r="S22" i="20"/>
  <c r="U21" i="20"/>
  <c r="T21" i="20"/>
  <c r="S21" i="20"/>
  <c r="U20" i="20"/>
  <c r="T20" i="20"/>
  <c r="S20" i="20"/>
  <c r="U19" i="20"/>
  <c r="T19" i="20"/>
  <c r="S19" i="20"/>
  <c r="U18" i="20"/>
  <c r="C29" i="20" s="1"/>
  <c r="T18" i="20"/>
  <c r="S18" i="20"/>
  <c r="U17" i="20"/>
  <c r="T17" i="20"/>
  <c r="S17" i="20"/>
  <c r="U16" i="20"/>
  <c r="S16" i="20"/>
  <c r="C16" i="20"/>
  <c r="U15" i="20"/>
  <c r="T15" i="20"/>
  <c r="T16" i="20" s="1"/>
  <c r="S15" i="20"/>
  <c r="U14" i="20"/>
  <c r="C30" i="20" s="1"/>
  <c r="T14" i="20"/>
  <c r="S14" i="20"/>
  <c r="C14" i="20"/>
  <c r="C15" i="20" s="1"/>
  <c r="U13" i="20"/>
  <c r="T13" i="20"/>
  <c r="S13" i="20"/>
  <c r="U12" i="20"/>
  <c r="T12" i="20"/>
  <c r="S12" i="20"/>
  <c r="U11" i="20"/>
  <c r="T11" i="20"/>
  <c r="S11" i="20"/>
  <c r="U10" i="20"/>
  <c r="T10" i="20"/>
  <c r="S10" i="20"/>
  <c r="U9" i="20"/>
  <c r="T9" i="20"/>
  <c r="S9" i="20"/>
  <c r="U8" i="20"/>
  <c r="T8" i="20"/>
  <c r="S8" i="20"/>
  <c r="U7" i="20"/>
  <c r="T7" i="20"/>
  <c r="S7" i="20"/>
  <c r="I19" i="27" l="1"/>
  <c r="C26" i="20"/>
  <c r="C27" i="20" s="1"/>
  <c r="C35" i="20"/>
  <c r="C33" i="20" s="1"/>
  <c r="C17" i="20"/>
  <c r="W17" i="20"/>
  <c r="C36" i="20"/>
  <c r="C34" i="20" s="1"/>
  <c r="C13" i="20"/>
  <c r="W20" i="20"/>
  <c r="C28" i="20" l="1"/>
  <c r="E6" i="27" s="1"/>
  <c r="D41" i="20"/>
  <c r="C52" i="20"/>
  <c r="E8" i="27"/>
  <c r="C32" i="20"/>
  <c r="Y41" i="20" l="1"/>
  <c r="Z41" i="20" s="1"/>
  <c r="Y35" i="20"/>
  <c r="Z35" i="20" s="1"/>
  <c r="Y22" i="20"/>
  <c r="Z22" i="20" s="1"/>
  <c r="Y38" i="20"/>
  <c r="Z38" i="20" s="1"/>
  <c r="Y31" i="20"/>
  <c r="Z31" i="20" s="1"/>
  <c r="Y29" i="20"/>
  <c r="Z29" i="20" s="1"/>
  <c r="Y27" i="20"/>
  <c r="Z27" i="20" s="1"/>
  <c r="Y25" i="20"/>
  <c r="Z25" i="20" s="1"/>
  <c r="Y20" i="20"/>
  <c r="Z20" i="20" s="1"/>
  <c r="Y17" i="20"/>
  <c r="Z17" i="20" s="1"/>
  <c r="Y15" i="20"/>
  <c r="Y33" i="20"/>
  <c r="Z33" i="20" s="1"/>
  <c r="Y19" i="20"/>
  <c r="Z19" i="20" s="1"/>
  <c r="Y42" i="20"/>
  <c r="Z42" i="20" s="1"/>
  <c r="Y32" i="20"/>
  <c r="Z32" i="20" s="1"/>
  <c r="Y40" i="20"/>
  <c r="Z40" i="20" s="1"/>
  <c r="Y14" i="20"/>
  <c r="Z14" i="20" s="1"/>
  <c r="Y24" i="20"/>
  <c r="Z24" i="20" s="1"/>
  <c r="Y37" i="20"/>
  <c r="Z37" i="20" s="1"/>
  <c r="Y36" i="20"/>
  <c r="Z36" i="20" s="1"/>
  <c r="Y44" i="20"/>
  <c r="Z44" i="20" s="1"/>
  <c r="Y34" i="20"/>
  <c r="Z34" i="20" s="1"/>
  <c r="Y43" i="20"/>
  <c r="Z43" i="20" s="1"/>
  <c r="Y16" i="20"/>
  <c r="Z16" i="20" s="1"/>
  <c r="Y26" i="20"/>
  <c r="Z26" i="20" s="1"/>
  <c r="Y23" i="20"/>
  <c r="Z23" i="20" s="1"/>
  <c r="Y21" i="20"/>
  <c r="Z21" i="20" s="1"/>
  <c r="Y18" i="20"/>
  <c r="Z18" i="20" s="1"/>
  <c r="Y28" i="20"/>
  <c r="Z28" i="20" s="1"/>
  <c r="Y39" i="20"/>
  <c r="Z39" i="20" s="1"/>
  <c r="Y30" i="20"/>
  <c r="Z30" i="20" s="1"/>
  <c r="Z15" i="20" l="1"/>
  <c r="Z51" i="20" s="1"/>
  <c r="F53" i="20" s="1"/>
  <c r="K53" i="20" s="1"/>
  <c r="C55" i="3"/>
  <c r="F54" i="3"/>
  <c r="F55" i="3" s="1"/>
  <c r="D8" i="27" l="1"/>
  <c r="Z52" i="20"/>
  <c r="F52" i="20" l="1"/>
  <c r="D6" i="27"/>
  <c r="J11" i="27"/>
  <c r="AB53" i="20"/>
  <c r="Z53" i="20"/>
  <c r="U93" i="16"/>
  <c r="U111" i="16" l="1"/>
  <c r="U97" i="16" l="1"/>
  <c r="U98" i="16" s="1"/>
  <c r="G123" i="16" s="1"/>
  <c r="U109" i="16" s="1"/>
  <c r="U106" i="16"/>
  <c r="U104" i="16" s="1"/>
  <c r="U107" i="16"/>
  <c r="E5" i="27" l="1"/>
  <c r="U103" i="16"/>
  <c r="Z109" i="16"/>
  <c r="U105" i="16"/>
  <c r="F93" i="16" l="1"/>
  <c r="G93" i="16" s="1"/>
  <c r="F95" i="16"/>
  <c r="G95" i="16" s="1"/>
  <c r="F97" i="16"/>
  <c r="G97" i="16" s="1"/>
  <c r="F99" i="16"/>
  <c r="G99" i="16" s="1"/>
  <c r="F101" i="16"/>
  <c r="G101" i="16" s="1"/>
  <c r="F103" i="16"/>
  <c r="G103" i="16" s="1"/>
  <c r="F105" i="16"/>
  <c r="G105" i="16" s="1"/>
  <c r="F107" i="16"/>
  <c r="G107" i="16" s="1"/>
  <c r="F109" i="16"/>
  <c r="G109" i="16" s="1"/>
  <c r="F111" i="16"/>
  <c r="G111" i="16" s="1"/>
  <c r="F113" i="16"/>
  <c r="G113" i="16" s="1"/>
  <c r="F115" i="16"/>
  <c r="G115" i="16" s="1"/>
  <c r="F94" i="16"/>
  <c r="G94" i="16" s="1"/>
  <c r="F96" i="16"/>
  <c r="G96" i="16" s="1"/>
  <c r="F98" i="16"/>
  <c r="G98" i="16" s="1"/>
  <c r="F100" i="16"/>
  <c r="G100" i="16" s="1"/>
  <c r="F102" i="16"/>
  <c r="G102" i="16" s="1"/>
  <c r="F104" i="16"/>
  <c r="G104" i="16" s="1"/>
  <c r="F106" i="16"/>
  <c r="G106" i="16" s="1"/>
  <c r="F108" i="16"/>
  <c r="G108" i="16" s="1"/>
  <c r="F110" i="16"/>
  <c r="G110" i="16" s="1"/>
  <c r="F112" i="16"/>
  <c r="G112" i="16" s="1"/>
  <c r="F114" i="16"/>
  <c r="G114" i="16" s="1"/>
  <c r="F116" i="16"/>
  <c r="G116" i="16" s="1"/>
  <c r="F92" i="16"/>
  <c r="G92" i="16" s="1"/>
  <c r="G75" i="1"/>
  <c r="G77" i="1"/>
  <c r="G81" i="1"/>
  <c r="G82" i="1"/>
  <c r="G76" i="1"/>
  <c r="G80" i="1"/>
  <c r="G69" i="1"/>
  <c r="G72" i="1" s="1"/>
  <c r="G70" i="1"/>
  <c r="G51" i="1"/>
  <c r="G52" i="1"/>
  <c r="G53" i="1"/>
  <c r="G54" i="1"/>
  <c r="G55" i="1"/>
  <c r="G45" i="1"/>
  <c r="G46" i="1"/>
  <c r="AA111" i="5"/>
  <c r="AA112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7" i="5"/>
  <c r="AA8" i="5"/>
  <c r="AA9" i="5"/>
  <c r="AA10" i="5"/>
  <c r="AA12" i="5"/>
  <c r="AA13" i="5"/>
  <c r="AA14" i="5"/>
  <c r="AA15" i="5"/>
  <c r="AA16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6" i="5"/>
  <c r="AB6" i="5" s="1"/>
  <c r="Y77" i="5"/>
  <c r="Y63" i="5"/>
  <c r="K7" i="1"/>
  <c r="E17" i="3" s="1"/>
  <c r="K17" i="3" s="1"/>
  <c r="G25" i="1"/>
  <c r="G26" i="1"/>
  <c r="G27" i="1"/>
  <c r="G24" i="1"/>
  <c r="K13" i="1"/>
  <c r="E18" i="3" s="1"/>
  <c r="K18" i="3" s="1"/>
  <c r="K19" i="1"/>
  <c r="E19" i="3" s="1"/>
  <c r="K19" i="3" s="1"/>
  <c r="F11" i="3"/>
  <c r="G48" i="3"/>
  <c r="C34" i="3"/>
  <c r="C44" i="3" s="1"/>
  <c r="C48" i="3"/>
  <c r="G10" i="3"/>
  <c r="J11" i="3" s="1"/>
  <c r="J57" i="1"/>
  <c r="D15" i="2"/>
  <c r="D26" i="2" s="1"/>
  <c r="D33" i="2" s="1"/>
  <c r="E60" i="2"/>
  <c r="E57" i="2"/>
  <c r="D24" i="2"/>
  <c r="C22" i="1"/>
  <c r="C23" i="1"/>
  <c r="C21" i="1"/>
  <c r="AB77" i="5" l="1"/>
  <c r="AB20" i="5"/>
  <c r="G48" i="1"/>
  <c r="AB63" i="5"/>
  <c r="G57" i="1"/>
  <c r="G30" i="1"/>
  <c r="G31" i="1" s="1"/>
  <c r="G32" i="1" s="1"/>
  <c r="G84" i="1"/>
  <c r="C24" i="1"/>
  <c r="C25" i="1" s="1"/>
  <c r="D88" i="2"/>
  <c r="D95" i="2" s="1"/>
  <c r="D87" i="2"/>
  <c r="D94" i="2" s="1"/>
  <c r="E72" i="2"/>
  <c r="E78" i="2" s="1"/>
  <c r="E71" i="2"/>
  <c r="E77" i="2" s="1"/>
  <c r="E70" i="2"/>
  <c r="E76" i="2" s="1"/>
  <c r="D86" i="2"/>
  <c r="D93" i="2" s="1"/>
  <c r="D72" i="2"/>
  <c r="D78" i="2" s="1"/>
  <c r="D71" i="2"/>
  <c r="D77" i="2" s="1"/>
  <c r="D70" i="2"/>
  <c r="D76" i="2" s="1"/>
  <c r="E9" i="3"/>
  <c r="K9" i="3" s="1"/>
  <c r="F10" i="3"/>
  <c r="E8" i="3"/>
  <c r="K8" i="3" s="1"/>
  <c r="E7" i="3"/>
  <c r="K7" i="3" s="1"/>
  <c r="J12" i="3"/>
  <c r="K11" i="3" s="1"/>
  <c r="E12" i="3" l="1"/>
  <c r="K12" i="3" s="1"/>
  <c r="E22" i="3"/>
  <c r="K22" i="3" s="1"/>
  <c r="K23" i="3" s="1"/>
  <c r="G117" i="16"/>
  <c r="K10" i="3"/>
  <c r="K13" i="3" s="1"/>
  <c r="C62" i="3" s="1"/>
  <c r="C63" i="3" l="1"/>
  <c r="F61" i="3"/>
  <c r="F118" i="16"/>
  <c r="G122" i="16"/>
  <c r="G124" i="16" s="1"/>
  <c r="G125" i="16" s="1"/>
  <c r="I117" i="16"/>
  <c r="F60" i="3"/>
  <c r="D5" i="27"/>
  <c r="C64" i="3"/>
  <c r="H118" i="16" l="1"/>
  <c r="H122" i="16"/>
  <c r="H124" i="16" s="1"/>
  <c r="H125" i="16" s="1"/>
  <c r="L8" i="27"/>
  <c r="K117" i="16"/>
  <c r="M117" i="16"/>
  <c r="F62" i="3"/>
  <c r="C56" i="3"/>
  <c r="F56" i="3"/>
  <c r="F64" i="3" s="1"/>
  <c r="C66" i="3" l="1"/>
  <c r="C65" i="3"/>
  <c r="L118" i="16"/>
  <c r="J122" i="16"/>
  <c r="J124" i="16" s="1"/>
  <c r="J125" i="16" s="1"/>
  <c r="J118" i="16"/>
  <c r="I122" i="16"/>
  <c r="I124" i="16" s="1"/>
  <c r="I125" i="16" s="1"/>
  <c r="F63" i="3"/>
</calcChain>
</file>

<file path=xl/sharedStrings.xml><?xml version="1.0" encoding="utf-8"?>
<sst xmlns="http://schemas.openxmlformats.org/spreadsheetml/2006/main" count="2691" uniqueCount="630">
  <si>
    <t>Peso tramezzi interni</t>
  </si>
  <si>
    <r>
      <t>KN/m</t>
    </r>
    <r>
      <rPr>
        <vertAlign val="superscript"/>
        <sz val="11"/>
        <color rgb="FF000000"/>
        <rFont val="Liberation Sans"/>
      </rPr>
      <t>3</t>
    </r>
  </si>
  <si>
    <t>m</t>
  </si>
  <si>
    <t>Altezza tramezzi</t>
  </si>
  <si>
    <r>
      <t>KN/m</t>
    </r>
    <r>
      <rPr>
        <b/>
        <vertAlign val="superscript"/>
        <sz val="11"/>
        <color rgb="FF000000"/>
        <rFont val="Liberation Sans"/>
      </rPr>
      <t>2</t>
    </r>
  </si>
  <si>
    <t>G2</t>
  </si>
  <si>
    <t>KN/m</t>
  </si>
  <si>
    <t>Tamponature esterne</t>
  </si>
  <si>
    <t>Pilastri</t>
  </si>
  <si>
    <t xml:space="preserve">a </t>
  </si>
  <si>
    <t>b</t>
  </si>
  <si>
    <t>kN/m3</t>
  </si>
  <si>
    <t>G1</t>
  </si>
  <si>
    <t xml:space="preserve">kN/m </t>
  </si>
  <si>
    <t>Altezza Interpiano</t>
  </si>
  <si>
    <t>Trave Principale (Ricalata)</t>
  </si>
  <si>
    <t>a</t>
  </si>
  <si>
    <t>kN/m</t>
  </si>
  <si>
    <t>Trave Secondaria (A Spessore)</t>
  </si>
  <si>
    <t>𝛾c.a</t>
  </si>
  <si>
    <t>h [m]</t>
  </si>
  <si>
    <t>L [m]</t>
  </si>
  <si>
    <t>𝛾 [kN/m3]</t>
  </si>
  <si>
    <t>Pignatta</t>
  </si>
  <si>
    <t>Travetto</t>
  </si>
  <si>
    <t>Soletta</t>
  </si>
  <si>
    <t>Intonaco Interno</t>
  </si>
  <si>
    <t>Massetto</t>
  </si>
  <si>
    <t>Malta di Allettamento</t>
  </si>
  <si>
    <t>Pavimentazione</t>
  </si>
  <si>
    <t>G1 [KN/m]</t>
  </si>
  <si>
    <t>Altezza Solaio H [m]</t>
  </si>
  <si>
    <t>Altezza Soletta s [m]</t>
  </si>
  <si>
    <t>Altezza Pignatta h [m]</t>
  </si>
  <si>
    <t>Interasse Travetto i [m]</t>
  </si>
  <si>
    <t xml:space="preserve">Solaio  latero cemento H=22 cm   (Carichi riferiti ad una striscia di 1 m)
</t>
  </si>
  <si>
    <t>CALCOLO AZIONE DEL VENTO</t>
  </si>
  <si>
    <t>Velocità base di riferimento</t>
  </si>
  <si>
    <r>
      <t>v</t>
    </r>
    <r>
      <rPr>
        <vertAlign val="subscript"/>
        <sz val="11"/>
        <color rgb="FF000000"/>
        <rFont val="Liberation Sans"/>
      </rPr>
      <t>b</t>
    </r>
    <r>
      <rPr>
        <sz val="13"/>
        <color rgb="FF000000"/>
        <rFont val="Liberation Sans"/>
      </rPr>
      <t>=v</t>
    </r>
    <r>
      <rPr>
        <vertAlign val="subscript"/>
        <sz val="11"/>
        <color rgb="FF000000"/>
        <rFont val="Liberation Sans"/>
      </rPr>
      <t>b,0</t>
    </r>
    <r>
      <rPr>
        <sz val="13"/>
        <color rgb="FF000000"/>
        <rFont val="Liberation Sans"/>
      </rPr>
      <t>*c</t>
    </r>
    <r>
      <rPr>
        <vertAlign val="subscript"/>
        <sz val="11"/>
        <color rgb="FF000000"/>
        <rFont val="Liberation Sans"/>
      </rPr>
      <t>a</t>
    </r>
  </si>
  <si>
    <r>
      <t>a</t>
    </r>
    <r>
      <rPr>
        <vertAlign val="subscript"/>
        <sz val="11"/>
        <color rgb="FF000000"/>
        <rFont val="Liberation Sans"/>
      </rPr>
      <t>0</t>
    </r>
    <r>
      <rPr>
        <sz val="13"/>
        <color rgb="FF000000"/>
        <rFont val="Liberation Sans"/>
      </rPr>
      <t xml:space="preserve"> [m]=</t>
    </r>
  </si>
  <si>
    <t>Zona 3</t>
  </si>
  <si>
    <r>
      <t>K</t>
    </r>
    <r>
      <rPr>
        <vertAlign val="subscript"/>
        <sz val="11"/>
        <color rgb="FF000000"/>
        <rFont val="Liberation Sans"/>
      </rPr>
      <t xml:space="preserve">a </t>
    </r>
    <r>
      <rPr>
        <sz val="11"/>
        <color theme="1"/>
        <rFont val="Calibri"/>
        <family val="2"/>
        <scheme val="minor"/>
      </rPr>
      <t>=</t>
    </r>
  </si>
  <si>
    <r>
      <t>V</t>
    </r>
    <r>
      <rPr>
        <vertAlign val="subscript"/>
        <sz val="11"/>
        <color rgb="FF000000"/>
        <rFont val="Liberation Sans"/>
      </rPr>
      <t>b,0</t>
    </r>
    <r>
      <rPr>
        <sz val="13"/>
        <color rgb="FF000000"/>
        <rFont val="Liberation Sans"/>
      </rPr>
      <t xml:space="preserve"> [m/s] =</t>
    </r>
  </si>
  <si>
    <t>Per Lucca</t>
  </si>
  <si>
    <r>
      <t>a</t>
    </r>
    <r>
      <rPr>
        <vertAlign val="subscript"/>
        <sz val="11"/>
        <color rgb="FF000000"/>
        <rFont val="Liberation Sans"/>
      </rPr>
      <t>s</t>
    </r>
    <r>
      <rPr>
        <sz val="13"/>
        <color rgb="FF000000"/>
        <rFont val="Liberation Sans"/>
      </rPr>
      <t xml:space="preserve"> [m] =</t>
    </r>
  </si>
  <si>
    <r>
      <t>poiché a</t>
    </r>
    <r>
      <rPr>
        <vertAlign val="subscript"/>
        <sz val="11"/>
        <color rgb="FF000000"/>
        <rFont val="Liberation Sans"/>
      </rPr>
      <t>s</t>
    </r>
    <r>
      <rPr>
        <sz val="13"/>
        <color rgb="FF000000"/>
        <rFont val="Liberation Sans"/>
      </rPr>
      <t xml:space="preserve"> &lt;a</t>
    </r>
    <r>
      <rPr>
        <vertAlign val="subscript"/>
        <sz val="11"/>
        <color rgb="FF000000"/>
        <rFont val="Liberation Sans"/>
      </rPr>
      <t>0</t>
    </r>
  </si>
  <si>
    <r>
      <t>c</t>
    </r>
    <r>
      <rPr>
        <vertAlign val="subscript"/>
        <sz val="11"/>
        <color rgb="FF000000"/>
        <rFont val="Liberation Sans"/>
      </rPr>
      <t>a</t>
    </r>
    <r>
      <rPr>
        <sz val="11"/>
        <color theme="1"/>
        <rFont val="Calibri"/>
        <family val="2"/>
        <scheme val="minor"/>
      </rPr>
      <t>=</t>
    </r>
  </si>
  <si>
    <r>
      <t>v</t>
    </r>
    <r>
      <rPr>
        <vertAlign val="subscript"/>
        <sz val="11"/>
        <color rgb="FF000000"/>
        <rFont val="Liberation Sans"/>
      </rPr>
      <t>b</t>
    </r>
    <r>
      <rPr>
        <sz val="13"/>
        <color rgb="FF000000"/>
        <rFont val="Liberation Sans"/>
      </rPr>
      <t>=</t>
    </r>
  </si>
  <si>
    <t>m/s</t>
  </si>
  <si>
    <t>Velocità  di riferimento</t>
  </si>
  <si>
    <t>vr=vb*cr</t>
  </si>
  <si>
    <t>Tr=</t>
  </si>
  <si>
    <t>anni</t>
  </si>
  <si>
    <t>per 5&lt;=Tr=&gt;50</t>
  </si>
  <si>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rgb="FF000000"/>
        <rFont val="Liberation Sans"/>
      </rPr>
      <t>r</t>
    </r>
    <r>
      <rPr>
        <sz val="11"/>
        <color theme="1"/>
        <rFont val="Calibri"/>
        <family val="2"/>
        <scheme val="minor"/>
      </rPr>
      <t>=</t>
    </r>
  </si>
  <si>
    <t>per Tr&gt;50</t>
  </si>
  <si>
    <r>
      <t>v</t>
    </r>
    <r>
      <rPr>
        <vertAlign val="subscript"/>
        <sz val="11"/>
        <color rgb="FF000000"/>
        <rFont val="Liberation Sans"/>
      </rPr>
      <t>r</t>
    </r>
    <r>
      <rPr>
        <sz val="13"/>
        <color rgb="FF000000"/>
        <rFont val="Liberation Sans"/>
      </rPr>
      <t>=</t>
    </r>
  </si>
  <si>
    <t>Pressione cinetica di riferimento</t>
  </si>
  <si>
    <r>
      <t>q</t>
    </r>
    <r>
      <rPr>
        <vertAlign val="subscript"/>
        <sz val="11"/>
        <color rgb="FF000000"/>
        <rFont val="Liberation Sans"/>
      </rPr>
      <t>r</t>
    </r>
    <r>
      <rPr>
        <sz val="13"/>
        <color rgb="FF000000"/>
        <rFont val="Liberation Sans"/>
      </rPr>
      <t>=(1/2)*ρ*(v</t>
    </r>
    <r>
      <rPr>
        <vertAlign val="subscript"/>
        <sz val="11"/>
        <color rgb="FF000000"/>
        <rFont val="Liberation Sans"/>
      </rPr>
      <t>r</t>
    </r>
    <r>
      <rPr>
        <sz val="13"/>
        <color rgb="FF000000"/>
        <rFont val="Liberation Sans"/>
      </rPr>
      <t>)^2</t>
    </r>
  </si>
  <si>
    <t>ρ=</t>
  </si>
  <si>
    <t>Kg/m^3</t>
  </si>
  <si>
    <r>
      <t>q</t>
    </r>
    <r>
      <rPr>
        <vertAlign val="subscript"/>
        <sz val="11"/>
        <color rgb="FF000000"/>
        <rFont val="Liberation Sans"/>
      </rPr>
      <t>r</t>
    </r>
    <r>
      <rPr>
        <sz val="13"/>
        <color rgb="FF000000"/>
        <rFont val="Liberation Sans"/>
      </rPr>
      <t>=</t>
    </r>
  </si>
  <si>
    <t>N/m^2</t>
  </si>
  <si>
    <r>
      <t>Coefficiente di pressione [c</t>
    </r>
    <r>
      <rPr>
        <vertAlign val="subscript"/>
        <sz val="11"/>
        <color rgb="FF000000"/>
        <rFont val="Liberation Sans"/>
      </rPr>
      <t>p</t>
    </r>
    <r>
      <rPr>
        <sz val="13"/>
        <color rgb="FF000000"/>
        <rFont val="Liberation Sans"/>
      </rPr>
      <t>]</t>
    </r>
  </si>
  <si>
    <r>
      <rPr>
        <sz val="13"/>
        <color rgb="FF000000"/>
        <rFont val="Liberation Sans"/>
      </rPr>
      <t>Coefficiente di topografia [c</t>
    </r>
    <r>
      <rPr>
        <vertAlign val="subscript"/>
        <sz val="13"/>
        <color rgb="FF000000"/>
        <rFont val="Liberation Sans"/>
      </rPr>
      <t>t</t>
    </r>
    <r>
      <rPr>
        <sz val="13"/>
        <color rgb="FF000000"/>
        <rFont val="Liberation Sans"/>
      </rPr>
      <t>]</t>
    </r>
  </si>
  <si>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rgb="FF000000"/>
        <rFont val="Liberation Sans"/>
      </rPr>
      <t>pe</t>
    </r>
    <r>
      <rPr>
        <sz val="11"/>
        <color theme="1"/>
        <rFont val="Calibri"/>
        <family val="2"/>
        <scheme val="minor"/>
      </rPr>
      <t>=</t>
    </r>
  </si>
  <si>
    <r>
      <t>Coefficiente di esposizione [c</t>
    </r>
    <r>
      <rPr>
        <vertAlign val="subscript"/>
        <sz val="11"/>
        <color rgb="FF000000"/>
        <rFont val="Liberation Sans"/>
      </rPr>
      <t>e</t>
    </r>
    <r>
      <rPr>
        <sz val="13"/>
        <color rgb="FF000000"/>
        <rFont val="Liberation Sans"/>
      </rPr>
      <t>]</t>
    </r>
  </si>
  <si>
    <t>distanza Lucca- mare 25 Km</t>
  </si>
  <si>
    <t>classe di rugosità D</t>
  </si>
  <si>
    <t>Categoria di esposizione del sito II</t>
  </si>
  <si>
    <r>
      <t>K</t>
    </r>
    <r>
      <rPr>
        <vertAlign val="subscript"/>
        <sz val="11"/>
        <color rgb="FF000000"/>
        <rFont val="Liberation Sans"/>
      </rPr>
      <t>r</t>
    </r>
  </si>
  <si>
    <r>
      <t>z</t>
    </r>
    <r>
      <rPr>
        <vertAlign val="subscript"/>
        <sz val="11"/>
        <color rgb="FF000000"/>
        <rFont val="Liberation Sans"/>
      </rPr>
      <t>0</t>
    </r>
    <r>
      <rPr>
        <sz val="13"/>
        <color rgb="FF000000"/>
        <rFont val="Liberation Sans"/>
      </rPr>
      <t xml:space="preserve"> [m]</t>
    </r>
  </si>
  <si>
    <r>
      <t>z</t>
    </r>
    <r>
      <rPr>
        <vertAlign val="subscript"/>
        <sz val="11"/>
        <color rgb="FF000000"/>
        <rFont val="Liberation Sans"/>
      </rPr>
      <t>min</t>
    </r>
    <r>
      <rPr>
        <sz val="13"/>
        <color rgb="FF000000"/>
        <rFont val="Liberation Sans"/>
      </rPr>
      <t xml:space="preserve"> [m]</t>
    </r>
  </si>
  <si>
    <r>
      <t>fino a 4 m [c</t>
    </r>
    <r>
      <rPr>
        <vertAlign val="subscript"/>
        <sz val="11"/>
        <color rgb="FF000000"/>
        <rFont val="Liberation Sans"/>
      </rPr>
      <t>e</t>
    </r>
    <r>
      <rPr>
        <sz val="10"/>
        <color rgb="FF000000"/>
        <rFont val="Liberation Sans"/>
      </rPr>
      <t>] sarà :</t>
    </r>
  </si>
  <si>
    <r>
      <t>c</t>
    </r>
    <r>
      <rPr>
        <vertAlign val="subscript"/>
        <sz val="11"/>
        <color rgb="FF000000"/>
        <rFont val="Liberation Sans"/>
      </rPr>
      <t>e</t>
    </r>
    <r>
      <rPr>
        <sz val="11"/>
        <color theme="1"/>
        <rFont val="Calibri"/>
        <family val="2"/>
        <scheme val="minor"/>
      </rPr>
      <t>(&lt;=4)=</t>
    </r>
  </si>
  <si>
    <r>
      <t>Z [m]&gt; z</t>
    </r>
    <r>
      <rPr>
        <vertAlign val="subscript"/>
        <sz val="11"/>
        <color rgb="FF000000"/>
        <rFont val="Liberation Sans"/>
      </rPr>
      <t>min</t>
    </r>
    <r>
      <rPr>
        <sz val="10"/>
        <color rgb="FF000000"/>
        <rFont val="Liberation Sans"/>
      </rPr>
      <t xml:space="preserve"> [m]</t>
    </r>
  </si>
  <si>
    <r>
      <t>c</t>
    </r>
    <r>
      <rPr>
        <vertAlign val="subscript"/>
        <sz val="11"/>
        <color rgb="FF000000"/>
        <rFont val="Liberation Sans"/>
      </rPr>
      <t>e</t>
    </r>
    <r>
      <rPr>
        <sz val="11"/>
        <color theme="1"/>
        <rFont val="Calibri"/>
        <family val="2"/>
        <scheme val="minor"/>
      </rPr>
      <t>(7)=</t>
    </r>
  </si>
  <si>
    <r>
      <t>Coefficiente dinamico [c</t>
    </r>
    <r>
      <rPr>
        <vertAlign val="subscript"/>
        <sz val="13"/>
        <color rgb="FF000000"/>
        <rFont val="Liberation Sans"/>
      </rPr>
      <t>d</t>
    </r>
    <r>
      <rPr>
        <sz val="13"/>
        <color rgb="FF000000"/>
        <rFont val="Liberation Sans"/>
      </rPr>
      <t>]</t>
    </r>
  </si>
  <si>
    <t>Pressione del vento</t>
  </si>
  <si>
    <r>
      <t>p=q</t>
    </r>
    <r>
      <rPr>
        <vertAlign val="subscript"/>
        <sz val="11"/>
        <color rgb="FF000000"/>
        <rFont val="Liberation Sans"/>
      </rPr>
      <t>r</t>
    </r>
    <r>
      <rPr>
        <sz val="13"/>
        <color rgb="FF000000"/>
        <rFont val="Liberation Sans"/>
      </rPr>
      <t>*c</t>
    </r>
    <r>
      <rPr>
        <vertAlign val="subscript"/>
        <sz val="11"/>
        <color rgb="FF000000"/>
        <rFont val="Liberation Sans"/>
      </rPr>
      <t>e</t>
    </r>
    <r>
      <rPr>
        <sz val="13"/>
        <color rgb="FF000000"/>
        <rFont val="Liberation Sans"/>
      </rPr>
      <t>*c</t>
    </r>
    <r>
      <rPr>
        <vertAlign val="subscript"/>
        <sz val="11"/>
        <color rgb="FF000000"/>
        <rFont val="Liberation Sans"/>
      </rPr>
      <t>p</t>
    </r>
    <r>
      <rPr>
        <sz val="13"/>
        <color rgb="FF000000"/>
        <rFont val="Liberation Sans"/>
      </rPr>
      <t>*c</t>
    </r>
    <r>
      <rPr>
        <vertAlign val="subscript"/>
        <sz val="11"/>
        <color rgb="FF000000"/>
        <rFont val="Liberation Sans"/>
      </rPr>
      <t>d</t>
    </r>
  </si>
  <si>
    <t>Quota</t>
  </si>
  <si>
    <t>p sopravento [N/m^2]</t>
  </si>
  <si>
    <t>p sottovento [N/m^2]</t>
  </si>
  <si>
    <t>Conversione in KN/m^2</t>
  </si>
  <si>
    <t>p sopravento [KN/m^2]</t>
  </si>
  <si>
    <t>p sottovento [KN/m^2]</t>
  </si>
  <si>
    <t>Pressione tangenziale del vento</t>
  </si>
  <si>
    <r>
      <t>p=q</t>
    </r>
    <r>
      <rPr>
        <vertAlign val="subscript"/>
        <sz val="11"/>
        <color rgb="FF000000"/>
        <rFont val="Liberation Sans"/>
      </rPr>
      <t>r</t>
    </r>
    <r>
      <rPr>
        <sz val="13"/>
        <color rgb="FF000000"/>
        <rFont val="Liberation Sans"/>
      </rPr>
      <t>*c</t>
    </r>
    <r>
      <rPr>
        <vertAlign val="subscript"/>
        <sz val="11"/>
        <color rgb="FF000000"/>
        <rFont val="Liberation Sans"/>
      </rPr>
      <t>e</t>
    </r>
    <r>
      <rPr>
        <sz val="13"/>
        <color rgb="FF000000"/>
        <rFont val="Liberation Sans"/>
      </rPr>
      <t>*c</t>
    </r>
    <r>
      <rPr>
        <vertAlign val="subscript"/>
        <sz val="11"/>
        <color rgb="FF000000"/>
        <rFont val="Liberation Sans"/>
      </rPr>
      <t>f</t>
    </r>
  </si>
  <si>
    <t>per superficie liscia</t>
  </si>
  <si>
    <r>
      <t>c</t>
    </r>
    <r>
      <rPr>
        <vertAlign val="subscript"/>
        <sz val="11"/>
        <color rgb="FF000000"/>
        <rFont val="Liberation Sans"/>
      </rPr>
      <t>f</t>
    </r>
    <r>
      <rPr>
        <sz val="11"/>
        <color theme="1"/>
        <rFont val="Calibri"/>
        <family val="2"/>
        <scheme val="minor"/>
      </rPr>
      <t>=</t>
    </r>
  </si>
  <si>
    <t>pf [N/m^2]</t>
  </si>
  <si>
    <t>pf [KN/m^2]</t>
  </si>
  <si>
    <t>CALCOLO AZIONE DELLA NEVE</t>
  </si>
  <si>
    <t>Carico d'Esercizio</t>
  </si>
  <si>
    <t>Ambienti</t>
  </si>
  <si>
    <t>Copertura</t>
  </si>
  <si>
    <t>Praticabile</t>
  </si>
  <si>
    <t>Uffici</t>
  </si>
  <si>
    <r>
      <t>q</t>
    </r>
    <r>
      <rPr>
        <vertAlign val="subscript"/>
        <sz val="11"/>
        <color rgb="FF000000"/>
        <rFont val="Liberation Sans"/>
      </rPr>
      <t>sk (</t>
    </r>
    <r>
      <rPr>
        <sz val="11"/>
        <color theme="1"/>
        <rFont val="Calibri"/>
        <family val="2"/>
        <scheme val="minor"/>
      </rPr>
      <t>Lucca)</t>
    </r>
  </si>
  <si>
    <r>
      <t>KN/m</t>
    </r>
    <r>
      <rPr>
        <vertAlign val="superscript"/>
        <sz val="11"/>
        <color rgb="FF000000"/>
        <rFont val="Liberation Sans"/>
      </rPr>
      <t>2</t>
    </r>
  </si>
  <si>
    <r>
      <t>μ</t>
    </r>
    <r>
      <rPr>
        <vertAlign val="subscript"/>
        <sz val="11"/>
        <color rgb="FF000000"/>
        <rFont val="Liberation Sans"/>
      </rPr>
      <t>i</t>
    </r>
  </si>
  <si>
    <r>
      <t>C</t>
    </r>
    <r>
      <rPr>
        <vertAlign val="subscript"/>
        <sz val="11"/>
        <color rgb="FF000000"/>
        <rFont val="Liberation Sans"/>
      </rPr>
      <t>E</t>
    </r>
  </si>
  <si>
    <r>
      <t>C</t>
    </r>
    <r>
      <rPr>
        <vertAlign val="subscript"/>
        <sz val="11"/>
        <color rgb="FF000000"/>
        <rFont val="Liberation Sans"/>
      </rPr>
      <t>t</t>
    </r>
  </si>
  <si>
    <r>
      <t>q</t>
    </r>
    <r>
      <rPr>
        <vertAlign val="subscript"/>
        <sz val="11"/>
        <color rgb="FF000000"/>
        <rFont val="Liberation Sans"/>
      </rPr>
      <t xml:space="preserve">s </t>
    </r>
    <r>
      <rPr>
        <sz val="11"/>
        <color theme="1"/>
        <rFont val="Calibri"/>
        <family val="2"/>
        <scheme val="minor"/>
      </rPr>
      <t>(Carico Neve)</t>
    </r>
  </si>
  <si>
    <t>travi principali</t>
  </si>
  <si>
    <t>travi secondarie</t>
  </si>
  <si>
    <t>solaio</t>
  </si>
  <si>
    <t>tramezzi interni</t>
  </si>
  <si>
    <t>tramezzi esterni</t>
  </si>
  <si>
    <t>-</t>
  </si>
  <si>
    <t>X1 [m]</t>
  </si>
  <si>
    <t>X2 [m]</t>
  </si>
  <si>
    <t>Y1 [m]</t>
  </si>
  <si>
    <t>Peso al  m [KN/m]</t>
  </si>
  <si>
    <t>Peso al  m^2 [KN/m^2]</t>
  </si>
  <si>
    <t>G1 + G2 + Ψ2iQk</t>
  </si>
  <si>
    <t>COMB:</t>
  </si>
  <si>
    <t>Ψ2i=0,3</t>
  </si>
  <si>
    <t>PESO [KN]</t>
  </si>
  <si>
    <t>CALCOLO MASSE DI PIANO</t>
  </si>
  <si>
    <t>ANALISI STATICA LINEARE NTC 08</t>
  </si>
  <si>
    <t>C1=</t>
  </si>
  <si>
    <t>H=</t>
  </si>
  <si>
    <t>T1=</t>
  </si>
  <si>
    <t>λ=</t>
  </si>
  <si>
    <t>Calcolo q [fattore di struttura]</t>
  </si>
  <si>
    <r>
      <t>q</t>
    </r>
    <r>
      <rPr>
        <vertAlign val="subscript"/>
        <sz val="10"/>
        <color rgb="FF000000"/>
        <rFont val="Times New Roman"/>
        <family val="1"/>
      </rPr>
      <t>o</t>
    </r>
    <r>
      <rPr>
        <sz val="10"/>
        <color rgb="FF000000"/>
        <rFont val="Times New Roman"/>
        <family val="1"/>
      </rPr>
      <t>=</t>
    </r>
  </si>
  <si>
    <t>valore base del fattore di comportamento per strutture a telaio in calcestruzzo in CD''B''</t>
  </si>
  <si>
    <r>
      <rPr>
        <sz val="10"/>
        <color rgb="FF000000"/>
        <rFont val="Calibri"/>
        <family val="2"/>
      </rPr>
      <t>α</t>
    </r>
    <r>
      <rPr>
        <sz val="10"/>
        <color rgb="FF000000"/>
        <rFont val="Times New Roman"/>
        <family val="1"/>
      </rPr>
      <t>u/α1=</t>
    </r>
  </si>
  <si>
    <t>coefficiente amplificativo del fattore di comportamento per strutture a più piani e più campate</t>
  </si>
  <si>
    <t>q=</t>
  </si>
  <si>
    <t>fattore di comportamento</t>
  </si>
  <si>
    <t>TB</t>
  </si>
  <si>
    <t>TC</t>
  </si>
  <si>
    <t>TD</t>
  </si>
  <si>
    <t>STATO LIMITE</t>
  </si>
  <si>
    <t>SLV</t>
  </si>
  <si>
    <t>g</t>
  </si>
  <si>
    <t>s</t>
  </si>
  <si>
    <t>ag</t>
  </si>
  <si>
    <t>Fo</t>
  </si>
  <si>
    <t>Tc</t>
  </si>
  <si>
    <t>Ss</t>
  </si>
  <si>
    <t>Cc</t>
  </si>
  <si>
    <t>ST</t>
  </si>
  <si>
    <t>q</t>
  </si>
  <si>
    <t>Parametri dipendenti</t>
  </si>
  <si>
    <t>Parametri indipendenti</t>
  </si>
  <si>
    <t>S</t>
  </si>
  <si>
    <t>η</t>
  </si>
  <si>
    <t>mi trovo tra TB e TC</t>
  </si>
  <si>
    <t>Sd(T1)=</t>
  </si>
  <si>
    <t>z1 [m]=</t>
  </si>
  <si>
    <t>z2 [m]=</t>
  </si>
  <si>
    <t>∑zj*Wj  [KN*m]</t>
  </si>
  <si>
    <t>W1 [KN]=</t>
  </si>
  <si>
    <t>NATURA COESIVA</t>
  </si>
  <si>
    <t>NATURA GRANULARE</t>
  </si>
  <si>
    <t>Prof.      Rp    Rp/Rl</t>
  </si>
  <si>
    <t>Natura    Y'       p'vo      Cu         OCR</t>
  </si>
  <si>
    <t>Eu50    Eu25</t>
  </si>
  <si>
    <t>Mo</t>
  </si>
  <si>
    <t>Dr</t>
  </si>
  <si>
    <t>ø1s</t>
  </si>
  <si>
    <t>ø2s</t>
  </si>
  <si>
    <t>ø3s</t>
  </si>
  <si>
    <t>ø4s</t>
  </si>
  <si>
    <t>ødm</t>
  </si>
  <si>
    <t>ømy</t>
  </si>
  <si>
    <t>Amax/g</t>
  </si>
  <si>
    <t>E'50    E'25   Mo</t>
  </si>
  <si>
    <t>m      kg/cm²    (-)</t>
  </si>
  <si>
    <t>Litol.      t/m³   kg/cm²   kg/cm²      (-)</t>
  </si>
  <si>
    <t>kg/cm²</t>
  </si>
  <si>
    <t>%</t>
  </si>
  <si>
    <t>(°)</t>
  </si>
  <si>
    <t>(-)</t>
  </si>
  <si>
    <t>kg/cm²   kg/cm²</t>
  </si>
  <si>
    <t>--</t>
  </si>
  <si>
    <t>4/:/:</t>
  </si>
  <si>
    <t>3::::</t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</si>
  <si>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1,00</t>
    </r>
  </si>
  <si>
    <r>
      <rPr>
        <sz val="14"/>
        <rFont val="Arial"/>
        <family val="2"/>
      </rPr>
      <t xml:space="preserve">51 </t>
    </r>
    <r>
      <rPr>
        <sz val="14"/>
        <rFont val="Times New Roman"/>
        <family val="1"/>
      </rPr>
      <t>       </t>
    </r>
  </si>
  <si>
    <t>2////</t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</si>
  <si>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2,00</t>
    </r>
  </si>
  <si>
    <r>
      <rPr>
        <sz val="14"/>
        <rFont val="Arial"/>
        <family val="2"/>
      </rPr>
      <t xml:space="preserve">228 </t>
    </r>
    <r>
      <rPr>
        <sz val="14"/>
        <rFont val="Times New Roman"/>
        <family val="1"/>
      </rPr>
      <t>       </t>
    </r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</si>
  <si>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3,00</t>
    </r>
  </si>
  <si>
    <r>
      <rPr>
        <sz val="14"/>
        <rFont val="Arial"/>
        <family val="2"/>
      </rPr>
      <t xml:space="preserve">108 </t>
    </r>
    <r>
      <rPr>
        <sz val="14"/>
        <rFont val="Times New Roman"/>
        <family val="1"/>
      </rPr>
      <t>       </t>
    </r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</si>
  <si>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4,00</t>
    </r>
  </si>
  <si>
    <r>
      <rPr>
        <sz val="14"/>
        <rFont val="Arial"/>
        <family val="2"/>
      </rPr>
      <t xml:space="preserve">111 </t>
    </r>
    <r>
      <rPr>
        <sz val="14"/>
        <rFont val="Times New Roman"/>
        <family val="1"/>
      </rPr>
      <t>       </t>
    </r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</si>
  <si>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5,00</t>
    </r>
  </si>
  <si>
    <r>
      <rPr>
        <sz val="14"/>
        <rFont val="Arial"/>
        <family val="2"/>
      </rPr>
      <t xml:space="preserve">78 </t>
    </r>
    <r>
      <rPr>
        <sz val="14"/>
        <rFont val="Times New Roman"/>
        <family val="1"/>
      </rPr>
      <t>       </t>
    </r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</si>
  <si>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6,00</t>
    </r>
  </si>
  <si>
    <r>
      <rPr>
        <sz val="14"/>
        <rFont val="Arial"/>
        <family val="2"/>
      </rPr>
      <t xml:space="preserve">96 </t>
    </r>
    <r>
      <rPr>
        <sz val="14"/>
        <rFont val="Times New Roman"/>
        <family val="1"/>
      </rPr>
      <t>       </t>
    </r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</si>
  <si>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7,00</t>
    </r>
  </si>
  <si>
    <r>
      <rPr>
        <sz val="14"/>
        <rFont val="Arial"/>
        <family val="2"/>
      </rPr>
      <t xml:space="preserve">60 </t>
    </r>
    <r>
      <rPr>
        <sz val="14"/>
        <rFont val="Times New Roman"/>
        <family val="1"/>
      </rPr>
      <t>       </t>
    </r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</si>
  <si>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8,00</t>
    </r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</si>
  <si>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9,00</t>
    </r>
  </si>
  <si>
    <r>
      <rPr>
        <sz val="14"/>
        <rFont val="Arial"/>
        <family val="2"/>
      </rPr>
      <t xml:space="preserve">150 </t>
    </r>
    <r>
      <rPr>
        <sz val="14"/>
        <rFont val="Times New Roman"/>
        <family val="1"/>
      </rPr>
      <t>       </t>
    </r>
  </si>
  <si>
    <t>CPT 1</t>
  </si>
  <si>
    <t>2////       1,85     0,04     0,35      99,9</t>
  </si>
  <si>
    <t>59        89</t>
  </si>
  <si>
    <t>--          --       --</t>
  </si>
  <si>
    <r>
      <rPr>
        <sz val="12"/>
        <rFont val="Arial"/>
        <family val="2"/>
      </rPr>
      <t xml:space="preserve">120 </t>
    </r>
    <r>
      <rPr>
        <u/>
        <sz val="12"/>
        <rFont val="Times New Roman"/>
        <family val="1"/>
      </rPr>
      <t>       </t>
    </r>
  </si>
  <si>
    <r>
      <rPr>
        <sz val="12"/>
        <rFont val="Arial"/>
        <family val="2"/>
      </rPr>
      <t xml:space="preserve">84 </t>
    </r>
    <r>
      <rPr>
        <u/>
        <sz val="12"/>
        <rFont val="Times New Roman"/>
        <family val="1"/>
      </rPr>
      <t>       </t>
    </r>
  </si>
  <si>
    <r>
      <rPr>
        <sz val="12"/>
        <rFont val="Arial"/>
        <family val="2"/>
      </rPr>
      <t xml:space="preserve">240 </t>
    </r>
    <r>
      <rPr>
        <u/>
        <sz val="12"/>
        <rFont val="Times New Roman"/>
        <family val="1"/>
      </rPr>
      <t>       </t>
    </r>
  </si>
  <si>
    <r>
      <rPr>
        <sz val="12"/>
        <rFont val="Arial"/>
        <family val="2"/>
      </rPr>
      <t xml:space="preserve">87 </t>
    </r>
    <r>
      <rPr>
        <u/>
        <sz val="12"/>
        <rFont val="Times New Roman"/>
        <family val="1"/>
      </rPr>
      <t>       </t>
    </r>
  </si>
  <si>
    <r>
      <rPr>
        <sz val="12"/>
        <rFont val="Arial"/>
        <family val="2"/>
      </rPr>
      <t xml:space="preserve">144 </t>
    </r>
    <r>
      <rPr>
        <u/>
        <sz val="12"/>
        <rFont val="Times New Roman"/>
        <family val="1"/>
      </rPr>
      <t>       </t>
    </r>
  </si>
  <si>
    <r>
      <rPr>
        <sz val="12"/>
        <rFont val="Arial"/>
        <family val="2"/>
      </rPr>
      <t xml:space="preserve">147 </t>
    </r>
    <r>
      <rPr>
        <u/>
        <sz val="12"/>
        <rFont val="Times New Roman"/>
        <family val="1"/>
      </rPr>
      <t>       </t>
    </r>
  </si>
  <si>
    <r>
      <rPr>
        <sz val="12"/>
        <rFont val="Arial"/>
        <family val="2"/>
      </rPr>
      <t xml:space="preserve">123 </t>
    </r>
    <r>
      <rPr>
        <u/>
        <sz val="12"/>
        <rFont val="Times New Roman"/>
        <family val="1"/>
      </rPr>
      <t>       </t>
    </r>
  </si>
  <si>
    <r>
      <rPr>
        <sz val="12"/>
        <rFont val="Arial"/>
        <family val="2"/>
      </rPr>
      <t xml:space="preserve">141 </t>
    </r>
    <r>
      <rPr>
        <u/>
        <sz val="12"/>
        <rFont val="Times New Roman"/>
        <family val="1"/>
      </rPr>
      <t>       </t>
    </r>
  </si>
  <si>
    <r>
      <rPr>
        <sz val="12"/>
        <rFont val="Arial"/>
        <family val="2"/>
      </rPr>
      <t xml:space="preserve">168 </t>
    </r>
    <r>
      <rPr>
        <u/>
        <sz val="12"/>
        <rFont val="Times New Roman"/>
        <family val="1"/>
      </rPr>
      <t>       </t>
    </r>
  </si>
  <si>
    <r>
      <rPr>
        <sz val="12"/>
        <rFont val="Arial"/>
        <family val="2"/>
      </rPr>
      <t xml:space="preserve">180 </t>
    </r>
    <r>
      <rPr>
        <u/>
        <sz val="12"/>
        <rFont val="Times New Roman"/>
        <family val="1"/>
      </rPr>
      <t>       </t>
    </r>
  </si>
  <si>
    <t>CPT 2</t>
  </si>
  <si>
    <t>media</t>
  </si>
  <si>
    <t>B [m] =</t>
  </si>
  <si>
    <t>Y'  [KN/m^3]=</t>
  </si>
  <si>
    <t>NY=</t>
  </si>
  <si>
    <t>Y  [KN/m^3]=</t>
  </si>
  <si>
    <t>c' =</t>
  </si>
  <si>
    <t>Nq=</t>
  </si>
  <si>
    <t>φ' [°]=</t>
  </si>
  <si>
    <t>φ' [rad]=</t>
  </si>
  <si>
    <t>1+sen(φ' )=</t>
  </si>
  <si>
    <t>1-sen(φ' )=</t>
  </si>
  <si>
    <r>
      <t>e</t>
    </r>
    <r>
      <rPr>
        <vertAlign val="superscript"/>
        <sz val="11"/>
        <color theme="1"/>
        <rFont val="Calibri"/>
        <family val="2"/>
        <scheme val="minor"/>
      </rPr>
      <t>(pi)*tang(φ ')</t>
    </r>
    <r>
      <rPr>
        <sz val="11"/>
        <color theme="1"/>
        <rFont val="Calibri"/>
        <family val="2"/>
        <scheme val="minor"/>
      </rPr>
      <t>=</t>
    </r>
  </si>
  <si>
    <t>tang(φ' )=</t>
  </si>
  <si>
    <t>DATI</t>
  </si>
  <si>
    <t>cotang(φ' )=</t>
  </si>
  <si>
    <t>Fattori di capacità portante</t>
  </si>
  <si>
    <t>Fattori correttivi</t>
  </si>
  <si>
    <t>Fattori di forma</t>
  </si>
  <si>
    <t>Nc=</t>
  </si>
  <si>
    <t>L [m]=</t>
  </si>
  <si>
    <t>sc=</t>
  </si>
  <si>
    <t>sq=</t>
  </si>
  <si>
    <t>sY=</t>
  </si>
  <si>
    <t>Fattori di approfondimento</t>
  </si>
  <si>
    <t>dc=</t>
  </si>
  <si>
    <t>dY=</t>
  </si>
  <si>
    <t>D [m]=</t>
  </si>
  <si>
    <t>q' [KN/m^2]=</t>
  </si>
  <si>
    <t>dq (D&gt;B)=</t>
  </si>
  <si>
    <t>qlim [KN/m^2]=</t>
  </si>
  <si>
    <t>Qlim</t>
  </si>
  <si>
    <t>B [m]=</t>
  </si>
  <si>
    <t>q [KN/m^2]=</t>
  </si>
  <si>
    <t xml:space="preserve">m     </t>
  </si>
  <si>
    <t xml:space="preserve">Prof.      </t>
  </si>
  <si>
    <t xml:space="preserve"> Y' </t>
  </si>
  <si>
    <t xml:space="preserve">p'vo </t>
  </si>
  <si>
    <t xml:space="preserve"> t/m³ </t>
  </si>
  <si>
    <t>KN/m²</t>
  </si>
  <si>
    <t>Iz0=</t>
  </si>
  <si>
    <t>Izmax=</t>
  </si>
  <si>
    <t>z [m]</t>
  </si>
  <si>
    <t>Iz</t>
  </si>
  <si>
    <t>z1/B=</t>
  </si>
  <si>
    <t>z2/B=</t>
  </si>
  <si>
    <t>σ'v,o [KN/m^2]=</t>
  </si>
  <si>
    <t>σ'v,p max [KN/m^2]=</t>
  </si>
  <si>
    <t>coefficiente correttivo che tiene conto della profondità del piano di posa</t>
  </si>
  <si>
    <t>&gt;=</t>
  </si>
  <si>
    <t>coefficiente correttivo che tiene conto delle delle deformazioni differite nel tempo per effetto secondario</t>
  </si>
  <si>
    <t>t [anni]=</t>
  </si>
  <si>
    <t>∆zi [m]=</t>
  </si>
  <si>
    <t>qc</t>
  </si>
  <si>
    <t>KN/m^2</t>
  </si>
  <si>
    <t>C2=</t>
  </si>
  <si>
    <t>Wtot [m]</t>
  </si>
  <si>
    <t>p [KN/m^2]=</t>
  </si>
  <si>
    <t>sigma,Ed</t>
  </si>
  <si>
    <t>qED [KN/m^2]</t>
  </si>
  <si>
    <t>qRD [KN/m^2]=</t>
  </si>
  <si>
    <t>Wtot [cm]</t>
  </si>
  <si>
    <t>øs</t>
  </si>
  <si>
    <t>calcolata da me con la curva 1 di shmertaman</t>
  </si>
  <si>
    <t>øsmedia</t>
  </si>
  <si>
    <t>K [Kg/cm^3]=</t>
  </si>
  <si>
    <t>p [KN/m^2]</t>
  </si>
  <si>
    <t>Isolante termico</t>
  </si>
  <si>
    <t>Massetto delle pendenze</t>
  </si>
  <si>
    <t>impermiabilizzante</t>
  </si>
  <si>
    <t xml:space="preserve">Solaio di copertura piana  latero cemento H=22 cm   (Carichi riferiti ad una striscia di 1 m)
</t>
  </si>
  <si>
    <t>W2 [KN]=</t>
  </si>
  <si>
    <t>Fhx [KN]=</t>
  </si>
  <si>
    <r>
      <t>Sd(T1x)</t>
    </r>
    <r>
      <rPr>
        <vertAlign val="superscript"/>
        <sz val="11"/>
        <color theme="1"/>
        <rFont val="Calibri"/>
        <family val="2"/>
        <scheme val="minor"/>
      </rPr>
      <t>SLV</t>
    </r>
    <r>
      <rPr>
        <sz val="11"/>
        <color theme="1"/>
        <rFont val="Calibri"/>
        <family val="2"/>
        <scheme val="minor"/>
      </rPr>
      <t>=</t>
    </r>
  </si>
  <si>
    <r>
      <t>Sd(T1y)</t>
    </r>
    <r>
      <rPr>
        <vertAlign val="superscript"/>
        <sz val="11"/>
        <color theme="1"/>
        <rFont val="Calibri"/>
        <family val="2"/>
        <scheme val="minor"/>
      </rPr>
      <t>SLV</t>
    </r>
    <r>
      <rPr>
        <sz val="11"/>
        <color theme="1"/>
        <rFont val="Calibri"/>
        <family val="2"/>
        <scheme val="minor"/>
      </rPr>
      <t>=</t>
    </r>
  </si>
  <si>
    <t>b [m]=</t>
  </si>
  <si>
    <t>cls C25/30</t>
  </si>
  <si>
    <t>F1y [KN]=</t>
  </si>
  <si>
    <t>F2y [KN]=</t>
  </si>
  <si>
    <t>ẞ=</t>
  </si>
  <si>
    <t>ϑ [°]</t>
  </si>
  <si>
    <t>Fattori sismici (Paolucci &amp; Pecker)</t>
  </si>
  <si>
    <t>zc=</t>
  </si>
  <si>
    <t>zq=</t>
  </si>
  <si>
    <t>Ss=</t>
  </si>
  <si>
    <r>
      <t>S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</t>
    </r>
  </si>
  <si>
    <r>
      <t>a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[g]=</t>
    </r>
  </si>
  <si>
    <t>Kh=</t>
  </si>
  <si>
    <t>qED/qRD &lt;1</t>
  </si>
  <si>
    <t>Area [m^2]=</t>
  </si>
  <si>
    <r>
      <t>      </t>
    </r>
    <r>
      <rPr>
        <sz val="11"/>
        <rFont val="Arial"/>
        <family val="2"/>
      </rPr>
      <t>1,0</t>
    </r>
  </si>
  <si>
    <r>
      <rPr>
        <sz val="11"/>
        <rFont val="Times New Roman"/>
        <family val="1"/>
      </rPr>
      <t>      </t>
    </r>
    <r>
      <rPr>
        <sz val="11"/>
        <rFont val="Arial"/>
        <family val="2"/>
      </rPr>
      <t>2,00</t>
    </r>
  </si>
  <si>
    <r>
      <rPr>
        <sz val="11"/>
        <rFont val="Times New Roman"/>
        <family val="1"/>
      </rPr>
      <t>      </t>
    </r>
    <r>
      <rPr>
        <sz val="11"/>
        <rFont val="Arial"/>
        <family val="2"/>
      </rPr>
      <t>3,00</t>
    </r>
  </si>
  <si>
    <t>CONVERSIONE UNITA'</t>
  </si>
  <si>
    <t xml:space="preserve">C3=
</t>
  </si>
  <si>
    <t>coefficiente correttivo che tiene conto della forma della fondazione</t>
  </si>
  <si>
    <t>q [Kg/cm^2]=</t>
  </si>
  <si>
    <t>Winkler</t>
  </si>
  <si>
    <r>
      <rPr>
        <sz val="11"/>
        <rFont val="Times New Roman"/>
        <family val="1"/>
      </rPr>
      <t>      </t>
    </r>
    <r>
      <rPr>
        <sz val="11"/>
        <rFont val="Arial"/>
        <family val="2"/>
      </rPr>
      <t>4,00</t>
    </r>
  </si>
  <si>
    <r>
      <rPr>
        <sz val="11"/>
        <rFont val="Times New Roman"/>
        <family val="1"/>
      </rPr>
      <t>      </t>
    </r>
    <r>
      <rPr>
        <sz val="11"/>
        <rFont val="Arial"/>
        <family val="2"/>
      </rPr>
      <t>5,00</t>
    </r>
  </si>
  <si>
    <r>
      <rPr>
        <sz val="11"/>
        <rFont val="Times New Roman"/>
        <family val="1"/>
      </rPr>
      <t>      </t>
    </r>
    <r>
      <rPr>
        <sz val="11"/>
        <rFont val="Arial"/>
        <family val="2"/>
      </rPr>
      <t>6,00</t>
    </r>
  </si>
  <si>
    <r>
      <rPr>
        <sz val="11"/>
        <rFont val="Times New Roman"/>
        <family val="1"/>
      </rPr>
      <t>      </t>
    </r>
    <r>
      <rPr>
        <sz val="11"/>
        <rFont val="Arial"/>
        <family val="2"/>
      </rPr>
      <t>7,00</t>
    </r>
  </si>
  <si>
    <r>
      <rPr>
        <sz val="11"/>
        <rFont val="Times New Roman"/>
        <family val="1"/>
      </rPr>
      <t>      </t>
    </r>
    <r>
      <rPr>
        <sz val="11"/>
        <rFont val="Arial"/>
        <family val="2"/>
      </rPr>
      <t>8,00</t>
    </r>
  </si>
  <si>
    <r>
      <rPr>
        <sz val="11"/>
        <rFont val="Times New Roman"/>
        <family val="1"/>
      </rPr>
      <t>      </t>
    </r>
    <r>
      <rPr>
        <sz val="11"/>
        <rFont val="Arial"/>
        <family val="2"/>
      </rPr>
      <t>9,00</t>
    </r>
  </si>
  <si>
    <t>wi [m]</t>
  </si>
  <si>
    <t>B/2=</t>
  </si>
  <si>
    <t>B=</t>
  </si>
  <si>
    <t>4B=</t>
  </si>
  <si>
    <t>N1 [KN]=</t>
  </si>
  <si>
    <t>N2 [KN]=</t>
  </si>
  <si>
    <t>NT [KN]=</t>
  </si>
  <si>
    <t>posso divederli per due poiché ho il terreno sovraconsolidato</t>
  </si>
  <si>
    <t>h1 [m]=</t>
  </si>
  <si>
    <t>h2 [m]=</t>
  </si>
  <si>
    <t>H [m]=</t>
  </si>
  <si>
    <t>A1 [m^2]=</t>
  </si>
  <si>
    <t>A2 [m^2]=</t>
  </si>
  <si>
    <t>Atot [m^2]=</t>
  </si>
  <si>
    <t>poiché L/B&gt;10</t>
  </si>
  <si>
    <t>L/B =</t>
  </si>
  <si>
    <r>
      <t>Sd(T1x)</t>
    </r>
    <r>
      <rPr>
        <sz val="11"/>
        <color theme="1"/>
        <rFont val="Calibri"/>
        <family val="2"/>
        <scheme val="minor"/>
      </rPr>
      <t>=</t>
    </r>
  </si>
  <si>
    <r>
      <t>Sd(T1y)</t>
    </r>
    <r>
      <rPr>
        <sz val="11"/>
        <color theme="1"/>
        <rFont val="Calibri"/>
        <family val="2"/>
        <scheme val="minor"/>
      </rPr>
      <t>=</t>
    </r>
  </si>
  <si>
    <t>se divido per 2</t>
  </si>
  <si>
    <t xml:space="preserve">Metodo di Schmertmann Nastriforme </t>
  </si>
  <si>
    <t>Peso F. [KN/m^2]</t>
  </si>
  <si>
    <t>TRAVE 9-11-13-15</t>
  </si>
  <si>
    <t>K [KN/m^3]=</t>
  </si>
  <si>
    <t>carico netto</t>
  </si>
  <si>
    <t>K [KN/m]=</t>
  </si>
  <si>
    <t>T1 [s] da SAP=</t>
  </si>
  <si>
    <t>Hz</t>
  </si>
  <si>
    <t>frequenza circolare adimensionalizzata</t>
  </si>
  <si>
    <t>semilarghezza della fondazione</t>
  </si>
  <si>
    <t>B/2 [m]=</t>
  </si>
  <si>
    <t>w [frequenza]=</t>
  </si>
  <si>
    <t>STRATO</t>
  </si>
  <si>
    <t>I</t>
  </si>
  <si>
    <t>II</t>
  </si>
  <si>
    <t>III</t>
  </si>
  <si>
    <t>IV</t>
  </si>
  <si>
    <t>ν</t>
  </si>
  <si>
    <t>Vs [m/s]</t>
  </si>
  <si>
    <t>γ [KN/m^3]</t>
  </si>
  <si>
    <t>ρ [Kg/m^3]</t>
  </si>
  <si>
    <t>Kz2=</t>
  </si>
  <si>
    <r>
      <rPr>
        <vertAlign val="superscript"/>
        <sz val="13.65"/>
        <color theme="1"/>
        <rFont val="Calibri"/>
        <family val="2"/>
      </rPr>
      <t>ao</t>
    </r>
    <r>
      <rPr>
        <vertAlign val="subscript"/>
        <sz val="13.65"/>
        <color theme="1"/>
        <rFont val="Calibri"/>
        <family val="2"/>
      </rPr>
      <t xml:space="preserve"> </t>
    </r>
    <r>
      <rPr>
        <vertAlign val="superscript"/>
        <sz val="13.65"/>
        <color theme="1"/>
        <rFont val="Calibri"/>
        <family val="2"/>
      </rPr>
      <t>=</t>
    </r>
  </si>
  <si>
    <t>(L/B)*ν</t>
  </si>
  <si>
    <t xml:space="preserve">ao </t>
  </si>
  <si>
    <t>devo guardare le tabelle</t>
  </si>
  <si>
    <t>L/B=</t>
  </si>
  <si>
    <t>ꭓ=</t>
  </si>
  <si>
    <t>L/2[m]=</t>
  </si>
  <si>
    <t>semilarghezza larghezza fondazione</t>
  </si>
  <si>
    <t>RIGIDEZZA VERTICALE</t>
  </si>
  <si>
    <t>RIGIDEZZA IN DIREZIONE Y</t>
  </si>
  <si>
    <t>(L/B)</t>
  </si>
  <si>
    <t>Kz2</t>
  </si>
  <si>
    <t>RIGIDEZZA IN DIREZIONE X</t>
  </si>
  <si>
    <t>Go [Kpa=KN/m^2]</t>
  </si>
  <si>
    <t>G [Kpa=KN/m^2]</t>
  </si>
  <si>
    <t>Kz1 [KN/m]=</t>
  </si>
  <si>
    <t>Kz  [KN/m]=</t>
  </si>
  <si>
    <t>TRAVE</t>
  </si>
  <si>
    <t>1-3-5-7</t>
  </si>
  <si>
    <t>9-11-13-15</t>
  </si>
  <si>
    <t>1-9-17</t>
  </si>
  <si>
    <t>3-11-19</t>
  </si>
  <si>
    <t>w [cm]</t>
  </si>
  <si>
    <t>q [KN/m^2]</t>
  </si>
  <si>
    <t>Kw [KN/m^3]</t>
  </si>
  <si>
    <t>B [m]</t>
  </si>
  <si>
    <t>Kw*B [KN/m^2]</t>
  </si>
  <si>
    <t>dx (interasse)[m]</t>
  </si>
  <si>
    <t>Kw*B*dx [KN/m]</t>
  </si>
  <si>
    <t xml:space="preserve">rigidezza verticale </t>
  </si>
  <si>
    <t>da inserire sul SAP</t>
  </si>
  <si>
    <t xml:space="preserve">rigidezza orizzontale </t>
  </si>
  <si>
    <t>dy (interasse)[m]</t>
  </si>
  <si>
    <t>WINKLER</t>
  </si>
  <si>
    <t>GAZETAS</t>
  </si>
  <si>
    <t>ao [KN/m^2]</t>
  </si>
  <si>
    <t>Kz [KN/m]</t>
  </si>
  <si>
    <r>
      <rPr>
        <u/>
        <sz val="11"/>
        <rFont val="Calibri"/>
        <family val="2"/>
        <scheme val="minor"/>
      </rPr>
      <t>Kz</t>
    </r>
    <r>
      <rPr>
        <sz val="11"/>
        <rFont val="Calibri"/>
        <family val="2"/>
        <scheme val="minor"/>
      </rPr>
      <t>/B [KN/m^2]</t>
    </r>
  </si>
  <si>
    <t>Ky [KN/m]</t>
  </si>
  <si>
    <t>L/B [-]</t>
  </si>
  <si>
    <r>
      <rPr>
        <u/>
        <sz val="11"/>
        <rFont val="Calibri"/>
        <family val="2"/>
        <scheme val="minor"/>
      </rPr>
      <t>Kx</t>
    </r>
    <r>
      <rPr>
        <sz val="11"/>
        <rFont val="Calibri"/>
        <family val="2"/>
        <scheme val="minor"/>
      </rPr>
      <t xml:space="preserve"> [KN/m]</t>
    </r>
  </si>
  <si>
    <t>Ky1 [KN/m]=</t>
  </si>
  <si>
    <t>Ky  [KN/m]=</t>
  </si>
  <si>
    <t>Kx1 [KN/m]=</t>
  </si>
  <si>
    <t>Kx2=</t>
  </si>
  <si>
    <t>Kx  [KN/m]=</t>
  </si>
  <si>
    <t>Kx  [kN/m]=</t>
  </si>
  <si>
    <t xml:space="preserve"> KN/m³ </t>
  </si>
  <si>
    <r>
      <t>      </t>
    </r>
    <r>
      <rPr>
        <sz val="11"/>
        <rFont val="Arial"/>
        <family val="2"/>
      </rPr>
      <t>1,00</t>
    </r>
  </si>
  <si>
    <r>
      <rPr>
        <vertAlign val="superscript"/>
        <sz val="13.65"/>
        <color theme="1"/>
        <rFont val="Calibri"/>
        <family val="2"/>
      </rPr>
      <t>a</t>
    </r>
    <r>
      <rPr>
        <vertAlign val="subscript"/>
        <sz val="13.65"/>
        <color theme="1"/>
        <rFont val="Calibri"/>
        <family val="2"/>
      </rPr>
      <t>o</t>
    </r>
    <r>
      <rPr>
        <vertAlign val="superscript"/>
        <sz val="13.65"/>
        <color theme="1"/>
        <rFont val="Calibri"/>
        <family val="2"/>
      </rPr>
      <t xml:space="preserve"> [Hz]</t>
    </r>
    <r>
      <rPr>
        <vertAlign val="subscript"/>
        <sz val="13.65"/>
        <color theme="1"/>
        <rFont val="Calibri"/>
        <family val="2"/>
      </rPr>
      <t xml:space="preserve"> </t>
    </r>
    <r>
      <rPr>
        <vertAlign val="superscript"/>
        <sz val="13.65"/>
        <color theme="1"/>
        <rFont val="Calibri"/>
        <family val="2"/>
      </rPr>
      <t>=</t>
    </r>
  </si>
  <si>
    <r>
      <t>a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[Hz] =</t>
    </r>
  </si>
  <si>
    <t>w [Hz]=</t>
  </si>
  <si>
    <t>T1 [s] =</t>
  </si>
  <si>
    <t>(Altezza Solaio) H [m]</t>
  </si>
  <si>
    <t>(Altezza Soletta) s [m]</t>
  </si>
  <si>
    <t>(Altezza Pignatta) h [m]</t>
  </si>
  <si>
    <t>(Interasse Travetto) i [m]</t>
  </si>
  <si>
    <t>𝛾 [kN/m]</t>
  </si>
  <si>
    <t>G1 [KN/m]=</t>
  </si>
  <si>
    <t>G2 [KN/m]=</t>
  </si>
  <si>
    <t>0.05</t>
  </si>
  <si>
    <t>0.1</t>
  </si>
  <si>
    <r>
      <rPr>
        <sz val="14"/>
        <color rgb="FF000000"/>
        <rFont val="Calibri1"/>
      </rPr>
      <t>ү</t>
    </r>
    <r>
      <rPr>
        <vertAlign val="subscript"/>
        <sz val="14"/>
        <color rgb="FF000000"/>
        <rFont val="Liberation Sans"/>
      </rPr>
      <t>laterizio</t>
    </r>
  </si>
  <si>
    <r>
      <rPr>
        <sz val="14"/>
        <color theme="1"/>
        <rFont val="Calibri"/>
        <family val="2"/>
        <scheme val="minor"/>
      </rPr>
      <t>s</t>
    </r>
    <r>
      <rPr>
        <vertAlign val="subscript"/>
        <sz val="14"/>
        <color rgb="FF000000"/>
        <rFont val="Liberation Sans"/>
      </rPr>
      <t>laterizio</t>
    </r>
  </si>
  <si>
    <r>
      <rPr>
        <sz val="14"/>
        <color rgb="FF000000"/>
        <rFont val="Calibri1"/>
      </rPr>
      <t>ү</t>
    </r>
    <r>
      <rPr>
        <vertAlign val="subscript"/>
        <sz val="14"/>
        <color rgb="FF000000"/>
        <rFont val="Liberation Sans"/>
      </rPr>
      <t>malta</t>
    </r>
  </si>
  <si>
    <r>
      <t>s</t>
    </r>
    <r>
      <rPr>
        <vertAlign val="subscript"/>
        <sz val="14"/>
        <color rgb="FF000000"/>
        <rFont val="Liberation Sans"/>
      </rPr>
      <t>intonaco</t>
    </r>
  </si>
  <si>
    <r>
      <t>P.P</t>
    </r>
    <r>
      <rPr>
        <b/>
        <vertAlign val="subscript"/>
        <sz val="14"/>
        <color rgb="FF000000"/>
        <rFont val="Liberation Sans"/>
      </rPr>
      <t>laterizio</t>
    </r>
  </si>
  <si>
    <r>
      <t>P.P</t>
    </r>
    <r>
      <rPr>
        <b/>
        <vertAlign val="subscript"/>
        <sz val="14"/>
        <color rgb="FF000000"/>
        <rFont val="Liberation Sans"/>
      </rPr>
      <t>intonaco</t>
    </r>
  </si>
  <si>
    <r>
      <t>P</t>
    </r>
    <r>
      <rPr>
        <b/>
        <vertAlign val="subscript"/>
        <sz val="14"/>
        <color rgb="FF000000"/>
        <rFont val="Liberation Sans"/>
      </rPr>
      <t>tot</t>
    </r>
  </si>
  <si>
    <r>
      <t>g</t>
    </r>
    <r>
      <rPr>
        <b/>
        <vertAlign val="subscript"/>
        <sz val="14"/>
        <color rgb="FF000000"/>
        <rFont val="Liberation Sans"/>
      </rPr>
      <t>2</t>
    </r>
  </si>
  <si>
    <r>
      <t>ү</t>
    </r>
    <r>
      <rPr>
        <vertAlign val="subscript"/>
        <sz val="14"/>
        <color rgb="FF000000"/>
        <rFont val="Liberation Sans"/>
      </rPr>
      <t>laterizio</t>
    </r>
  </si>
  <si>
    <r>
      <t>s</t>
    </r>
    <r>
      <rPr>
        <vertAlign val="subscript"/>
        <sz val="14"/>
        <color rgb="FF000000"/>
        <rFont val="Liberation Sans"/>
      </rPr>
      <t>laterizio</t>
    </r>
  </si>
  <si>
    <r>
      <t>s</t>
    </r>
    <r>
      <rPr>
        <vertAlign val="subscript"/>
        <sz val="14"/>
        <color rgb="FF000000"/>
        <rFont val="Liberation Sans"/>
      </rPr>
      <t>parete in laterizio</t>
    </r>
  </si>
  <si>
    <r>
      <t>ү</t>
    </r>
    <r>
      <rPr>
        <vertAlign val="subscript"/>
        <sz val="14"/>
        <color rgb="FF000000"/>
        <rFont val="Liberation Sans"/>
      </rPr>
      <t>malta</t>
    </r>
  </si>
  <si>
    <r>
      <t>ү</t>
    </r>
    <r>
      <rPr>
        <vertAlign val="subscript"/>
        <sz val="14"/>
        <color rgb="FF000000"/>
        <rFont val="Liberation Sans"/>
      </rPr>
      <t>malta-cementizia</t>
    </r>
  </si>
  <si>
    <r>
      <t>s</t>
    </r>
    <r>
      <rPr>
        <vertAlign val="subscript"/>
        <sz val="14"/>
        <color rgb="FF000000"/>
        <rFont val="Liberation Sans"/>
      </rPr>
      <t>intonaco esterno</t>
    </r>
  </si>
  <si>
    <r>
      <t>P.P</t>
    </r>
    <r>
      <rPr>
        <b/>
        <vertAlign val="subscript"/>
        <sz val="14"/>
        <color rgb="FF000000"/>
        <rFont val="Liberation Sans"/>
      </rPr>
      <t>laterizi forati</t>
    </r>
  </si>
  <si>
    <r>
      <t>P.P</t>
    </r>
    <r>
      <rPr>
        <b/>
        <vertAlign val="subscript"/>
        <sz val="14"/>
        <color rgb="FF000000"/>
        <rFont val="Liberation Sans"/>
      </rPr>
      <t>intonaco interno</t>
    </r>
  </si>
  <si>
    <r>
      <t>P.P</t>
    </r>
    <r>
      <rPr>
        <b/>
        <vertAlign val="subscript"/>
        <sz val="14"/>
        <color rgb="FF000000"/>
        <rFont val="Liberation Sans"/>
      </rPr>
      <t>intonaco esterno</t>
    </r>
  </si>
  <si>
    <r>
      <t>P.P</t>
    </r>
    <r>
      <rPr>
        <b/>
        <vertAlign val="subscript"/>
        <sz val="14"/>
        <color rgb="FF000000"/>
        <rFont val="Liberation Sans"/>
      </rPr>
      <t>isolante termico</t>
    </r>
  </si>
  <si>
    <r>
      <t>P.P</t>
    </r>
    <r>
      <rPr>
        <b/>
        <vertAlign val="subscript"/>
        <sz val="14"/>
        <color rgb="FF000000"/>
        <rFont val="Liberation Sans"/>
      </rPr>
      <t>cortina di laterizio</t>
    </r>
  </si>
  <si>
    <r>
      <t>P</t>
    </r>
    <r>
      <rPr>
        <b/>
        <vertAlign val="subscript"/>
        <sz val="14"/>
        <color rgb="FF000000"/>
        <rFont val="Liberation Sans"/>
      </rPr>
      <t>tot al m</t>
    </r>
  </si>
  <si>
    <t>Qk [KN]</t>
  </si>
  <si>
    <t>Hk [KN/m]</t>
  </si>
  <si>
    <r>
      <t>qk [KN/m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]</t>
    </r>
  </si>
  <si>
    <t>Toscana              Zona 3</t>
  </si>
  <si>
    <t>A</t>
  </si>
  <si>
    <t>B,B*</t>
  </si>
  <si>
    <t>C</t>
  </si>
  <si>
    <t>D</t>
  </si>
  <si>
    <t>E</t>
  </si>
  <si>
    <t>ZONA</t>
  </si>
  <si>
    <r>
      <t>p [KN/m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</si>
  <si>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C</t>
    </r>
    <r>
      <rPr>
        <vertAlign val="subscript"/>
        <sz val="12"/>
        <color theme="1"/>
        <rFont val="Calibri"/>
        <family val="2"/>
        <scheme val="minor"/>
      </rPr>
      <t>pe,10</t>
    </r>
  </si>
  <si>
    <r>
      <t>C</t>
    </r>
    <r>
      <rPr>
        <vertAlign val="subscript"/>
        <sz val="12"/>
        <color theme="1"/>
        <rFont val="Calibri"/>
        <family val="2"/>
        <scheme val="minor"/>
      </rPr>
      <t>pe,1</t>
    </r>
  </si>
  <si>
    <r>
      <t>C</t>
    </r>
    <r>
      <rPr>
        <vertAlign val="subscript"/>
        <sz val="12"/>
        <color theme="1"/>
        <rFont val="Calibri"/>
        <family val="2"/>
        <scheme val="minor"/>
      </rPr>
      <t xml:space="preserve">pe,10 </t>
    </r>
    <r>
      <rPr>
        <sz val="12"/>
        <color theme="1"/>
        <rFont val="Calibri"/>
        <family val="2"/>
        <scheme val="minor"/>
      </rPr>
      <t>/C</t>
    </r>
    <r>
      <rPr>
        <vertAlign val="subscript"/>
        <sz val="12"/>
        <color theme="1"/>
        <rFont val="Calibri"/>
        <family val="2"/>
        <scheme val="minor"/>
      </rPr>
      <t>pe,1</t>
    </r>
  </si>
  <si>
    <t>W1 (peso totale) [KN]</t>
  </si>
  <si>
    <t xml:space="preserve"> Perimetro  [m]</t>
  </si>
  <si>
    <t>Area [m^2]</t>
  </si>
  <si>
    <t>del</t>
  </si>
  <si>
    <t>fabbricato</t>
  </si>
  <si>
    <t>Caratteristiche</t>
  </si>
  <si>
    <t>W2 (peso totale) [KN]</t>
  </si>
  <si>
    <t>Trave 1-3-5-7</t>
  </si>
  <si>
    <t>Calcolo del peso della fondazione</t>
  </si>
  <si>
    <t>Forza normale (Comb.Fondamentale)</t>
  </si>
  <si>
    <t>Trave 9-11-13-15</t>
  </si>
  <si>
    <t>Trave 1-9-17</t>
  </si>
  <si>
    <t>Trave 3-11-19</t>
  </si>
  <si>
    <t>N tot [KN]=</t>
  </si>
  <si>
    <t xml:space="preserve">Verifica </t>
  </si>
  <si>
    <t>Proprietà Fondazione/Terreno</t>
  </si>
  <si>
    <t>qc [KN/m^2]</t>
  </si>
  <si>
    <t>C1&gt;=0.5</t>
  </si>
  <si>
    <t xml:space="preserve">C3 (poiché  L/B&gt;10)
</t>
  </si>
  <si>
    <t>NT [KN] in quasi perm.=</t>
  </si>
  <si>
    <t>wi [mm]</t>
  </si>
  <si>
    <r>
      <t>a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 [g]=</t>
    </r>
  </si>
  <si>
    <r>
      <rPr>
        <sz val="11"/>
        <color theme="1"/>
        <rFont val="Calibri"/>
        <family val="2"/>
      </rPr>
      <t>zY</t>
    </r>
    <r>
      <rPr>
        <sz val="11"/>
        <color theme="1"/>
        <rFont val="Calibri"/>
        <family val="2"/>
        <scheme val="minor"/>
      </rPr>
      <t>=</t>
    </r>
  </si>
  <si>
    <r>
      <t>Qlim</t>
    </r>
    <r>
      <rPr>
        <vertAlign val="subscript"/>
        <sz val="11"/>
        <color theme="1"/>
        <rFont val="Calibri"/>
        <family val="2"/>
        <scheme val="minor"/>
      </rPr>
      <t>dinamico</t>
    </r>
  </si>
  <si>
    <r>
      <t>qlim</t>
    </r>
    <r>
      <rPr>
        <vertAlign val="subscript"/>
        <sz val="11"/>
        <color theme="1"/>
        <rFont val="Calibri"/>
        <family val="2"/>
        <scheme val="minor"/>
      </rPr>
      <t xml:space="preserve">dinamico </t>
    </r>
    <r>
      <rPr>
        <sz val="11"/>
        <color theme="1"/>
        <rFont val="Calibri"/>
        <family val="2"/>
        <scheme val="minor"/>
      </rPr>
      <t>[KN/m^2]=</t>
    </r>
  </si>
  <si>
    <t>Wtot [mm]</t>
  </si>
  <si>
    <t>K [KN/m^2]=</t>
  </si>
  <si>
    <t>Wtot [m]=</t>
  </si>
  <si>
    <t>B</t>
  </si>
  <si>
    <t>h1</t>
  </si>
  <si>
    <t>h2</t>
  </si>
  <si>
    <t>A1</t>
  </si>
  <si>
    <t>A2</t>
  </si>
  <si>
    <t>Atot</t>
  </si>
  <si>
    <t>yg1</t>
  </si>
  <si>
    <t>yg2</t>
  </si>
  <si>
    <t>Yg</t>
  </si>
  <si>
    <t>m^2</t>
  </si>
  <si>
    <r>
      <t>Acls [mm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</si>
  <si>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As,min [mm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</si>
  <si>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As [mm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</si>
  <si>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n (numero barre)</t>
  </si>
  <si>
    <t>φ [mm]</t>
  </si>
  <si>
    <t>Armatura a taglio</t>
  </si>
  <si>
    <t>b [mm]</t>
  </si>
  <si>
    <t>H [mm]</t>
  </si>
  <si>
    <t>fyd [N/mm^2]</t>
  </si>
  <si>
    <r>
      <rPr>
        <sz val="11"/>
        <color theme="1"/>
        <rFont val="Calibri"/>
        <family val="2"/>
      </rPr>
      <t>ν</t>
    </r>
    <r>
      <rPr>
        <sz val="11"/>
        <color theme="1"/>
        <rFont val="Calibri"/>
        <family val="2"/>
        <scheme val="minor"/>
      </rPr>
      <t>fcd [N/mm^2]</t>
    </r>
  </si>
  <si>
    <t>s [mm]</t>
  </si>
  <si>
    <t>ϑ [rad]</t>
  </si>
  <si>
    <t>cotϑ</t>
  </si>
  <si>
    <t>d [mm]</t>
  </si>
  <si>
    <r>
      <t>V</t>
    </r>
    <r>
      <rPr>
        <vertAlign val="subscript"/>
        <sz val="11"/>
        <color theme="1"/>
        <rFont val="Calibri"/>
        <family val="2"/>
        <scheme val="minor"/>
      </rPr>
      <t>Rcd</t>
    </r>
    <r>
      <rPr>
        <sz val="11"/>
        <color theme="1"/>
        <rFont val="Calibri"/>
        <family val="2"/>
        <scheme val="minor"/>
      </rPr>
      <t xml:space="preserve"> [KN]</t>
    </r>
  </si>
  <si>
    <r>
      <t>V</t>
    </r>
    <r>
      <rPr>
        <vertAlign val="subscript"/>
        <sz val="11"/>
        <color theme="1"/>
        <rFont val="Calibri"/>
        <family val="2"/>
        <scheme val="minor"/>
      </rPr>
      <t xml:space="preserve">Rsd </t>
    </r>
    <r>
      <rPr>
        <sz val="11"/>
        <color theme="1"/>
        <rFont val="Calibri"/>
        <family val="2"/>
        <scheme val="minor"/>
      </rPr>
      <t>[KN]</t>
    </r>
  </si>
  <si>
    <t>Resistenza  a taglio</t>
  </si>
  <si>
    <t>n (numero bracci)</t>
  </si>
  <si>
    <t>s (passo) [mm]</t>
  </si>
  <si>
    <t xml:space="preserve">Ast [mm2/m] </t>
  </si>
  <si>
    <t>Ast,min [mm^2/mm]</t>
  </si>
  <si>
    <t>cotϑ da NTC18</t>
  </si>
  <si>
    <t>Armatura longitudinale trave rovescia</t>
  </si>
  <si>
    <t>Armatura longitudinale pilastro</t>
  </si>
  <si>
    <t>F1 [KN]=</t>
  </si>
  <si>
    <t>F2 [KN]=</t>
  </si>
  <si>
    <t xml:space="preserve"> q=</t>
  </si>
  <si>
    <t>ρ</t>
  </si>
  <si>
    <t>Armatura a taglio del pilastro</t>
  </si>
  <si>
    <t>(volume staffe*fyd)/(volume cls*fcd)</t>
  </si>
  <si>
    <t>perimetro staffe</t>
  </si>
  <si>
    <t xml:space="preserve">1 metro*As/s [mm2/m] </t>
  </si>
  <si>
    <t>&gt;0,08</t>
  </si>
  <si>
    <t>c [mm]</t>
  </si>
  <si>
    <r>
      <t>Es [N/mm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</si>
  <si>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f</t>
    </r>
    <r>
      <rPr>
        <vertAlign val="subscript"/>
        <sz val="11"/>
        <color theme="1"/>
        <rFont val="Calibri"/>
        <family val="2"/>
        <scheme val="minor"/>
      </rPr>
      <t>cm</t>
    </r>
    <r>
      <rPr>
        <sz val="11"/>
        <color theme="1"/>
        <rFont val="Calibri"/>
        <family val="2"/>
        <scheme val="minor"/>
      </rPr>
      <t xml:space="preserve"> [N/mm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</si>
  <si>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f</t>
    </r>
    <r>
      <rPr>
        <vertAlign val="subscript"/>
        <sz val="11"/>
        <color theme="1"/>
        <rFont val="Calibri"/>
        <family val="2"/>
        <scheme val="minor"/>
      </rPr>
      <t>ck</t>
    </r>
    <r>
      <rPr>
        <sz val="11"/>
        <color theme="1"/>
        <rFont val="Calibri"/>
        <family val="2"/>
        <scheme val="minor"/>
      </rPr>
      <t xml:space="preserve"> [N/mm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</si>
  <si>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n</t>
  </si>
  <si>
    <t>Acciaio B450C</t>
  </si>
  <si>
    <t>Propietà sezione</t>
  </si>
  <si>
    <r>
      <t>As=As' [mm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</si>
  <si>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Frame</t>
  </si>
  <si>
    <t>Station</t>
  </si>
  <si>
    <t>Combinazione</t>
  </si>
  <si>
    <t>M</t>
  </si>
  <si>
    <t>Text</t>
  </si>
  <si>
    <t>N-mm</t>
  </si>
  <si>
    <t>59</t>
  </si>
  <si>
    <t>RARA</t>
  </si>
  <si>
    <t>60</t>
  </si>
  <si>
    <t>61</t>
  </si>
  <si>
    <t>62</t>
  </si>
  <si>
    <t>63</t>
  </si>
  <si>
    <t>64</t>
  </si>
  <si>
    <t>65</t>
  </si>
  <si>
    <t>66</t>
  </si>
  <si>
    <t>84</t>
  </si>
  <si>
    <t>85</t>
  </si>
  <si>
    <t>86</t>
  </si>
  <si>
    <t>89</t>
  </si>
  <si>
    <t>90</t>
  </si>
  <si>
    <t>91</t>
  </si>
  <si>
    <t>94</t>
  </si>
  <si>
    <t>95</t>
  </si>
  <si>
    <t>96</t>
  </si>
  <si>
    <t>QUASI_PERMANENTE</t>
  </si>
  <si>
    <t>x [mm]</t>
  </si>
  <si>
    <r>
      <t>Jc</t>
    </r>
    <r>
      <rPr>
        <vertAlign val="superscript"/>
        <sz val="11"/>
        <color theme="1"/>
        <rFont val="Calibri"/>
        <family val="2"/>
        <scheme val="minor"/>
      </rPr>
      <t>(i)</t>
    </r>
    <r>
      <rPr>
        <sz val="11"/>
        <color theme="1"/>
        <rFont val="Calibri"/>
        <family val="2"/>
        <scheme val="minor"/>
      </rPr>
      <t>[mm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]</t>
    </r>
  </si>
  <si>
    <r>
      <t>σ</t>
    </r>
    <r>
      <rPr>
        <b/>
        <vertAlign val="subscript"/>
        <sz val="11"/>
        <color theme="1"/>
        <rFont val="Calibri"/>
        <family val="2"/>
      </rPr>
      <t>c</t>
    </r>
  </si>
  <si>
    <r>
      <t>N-mm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</si>
  <si>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σ</t>
    </r>
    <r>
      <rPr>
        <b/>
        <vertAlign val="subscript"/>
        <sz val="11"/>
        <color theme="1"/>
        <rFont val="Calibri"/>
        <family val="2"/>
      </rPr>
      <t>s</t>
    </r>
  </si>
  <si>
    <r>
      <t>σ</t>
    </r>
    <r>
      <rPr>
        <b/>
        <vertAlign val="subscript"/>
        <sz val="11"/>
        <color theme="1"/>
        <rFont val="Calibri"/>
        <family val="2"/>
      </rPr>
      <t>s,max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[N/mm2]</t>
    </r>
  </si>
  <si>
    <r>
      <t>σ</t>
    </r>
    <r>
      <rPr>
        <b/>
        <vertAlign val="subscript"/>
        <sz val="11"/>
        <color theme="1"/>
        <rFont val="Calibri"/>
        <family val="2"/>
      </rPr>
      <t>c,max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[N/mm2]</t>
    </r>
  </si>
  <si>
    <t>QUASI PERMANENTE</t>
  </si>
  <si>
    <t>fyk [N/mm2]</t>
  </si>
  <si>
    <t>Tensioni limite ammesse da NT18</t>
  </si>
  <si>
    <t xml:space="preserve">asse neutro taglia l'anima   </t>
  </si>
  <si>
    <t xml:space="preserve">asse neutro taglia la piattabanda   </t>
  </si>
  <si>
    <t>KN-m</t>
  </si>
  <si>
    <t>B [mm]</t>
  </si>
  <si>
    <t>Stato limite di limitazione delle tensioni (sezioniin mezzeria)</t>
  </si>
  <si>
    <t>Stato limite di limitazione delle tensioni (sezioniin agli estremi - l'asse neutro taglia l'anima della sezione)</t>
  </si>
  <si>
    <t xml:space="preserve">qc </t>
  </si>
  <si>
    <t>[Kg/cm^2]</t>
  </si>
  <si>
    <t xml:space="preserve"> [m]</t>
  </si>
  <si>
    <t>z</t>
  </si>
  <si>
    <r>
      <t>q</t>
    </r>
    <r>
      <rPr>
        <sz val="12"/>
        <rFont val="Arial"/>
        <family val="2"/>
      </rPr>
      <t>c</t>
    </r>
    <r>
      <rPr>
        <sz val="14"/>
        <rFont val="Arial"/>
        <family val="2"/>
      </rPr>
      <t xml:space="preserve"> </t>
    </r>
  </si>
  <si>
    <t>γ'</t>
  </si>
  <si>
    <r>
      <rPr>
        <sz val="14"/>
        <rFont val="Calibri"/>
        <family val="2"/>
      </rPr>
      <t>σ</t>
    </r>
    <r>
      <rPr>
        <sz val="11.75"/>
        <rFont val="Arial"/>
        <family val="2"/>
      </rPr>
      <t>'</t>
    </r>
    <r>
      <rPr>
        <sz val="10"/>
        <rFont val="Arial"/>
        <family val="2"/>
      </rPr>
      <t xml:space="preserve">vo </t>
    </r>
  </si>
  <si>
    <r>
      <t>D</t>
    </r>
    <r>
      <rPr>
        <sz val="12"/>
        <rFont val="Arial"/>
        <family val="2"/>
      </rPr>
      <t>r</t>
    </r>
  </si>
  <si>
    <r>
      <rPr>
        <sz val="14"/>
        <rFont val="Calibri"/>
        <family val="2"/>
      </rPr>
      <t>φ</t>
    </r>
    <r>
      <rPr>
        <sz val="11.75"/>
        <rFont val="Arial"/>
        <family val="2"/>
      </rPr>
      <t>'s</t>
    </r>
  </si>
  <si>
    <r>
      <rPr>
        <sz val="12"/>
        <rFont val="Arial"/>
        <family val="2"/>
      </rPr>
      <t>a</t>
    </r>
    <r>
      <rPr>
        <sz val="11"/>
        <rFont val="Arial"/>
        <family val="2"/>
      </rPr>
      <t>max</t>
    </r>
    <r>
      <rPr>
        <sz val="14"/>
        <rFont val="Arial"/>
        <family val="2"/>
      </rPr>
      <t>/g</t>
    </r>
  </si>
  <si>
    <r>
      <rPr>
        <sz val="12"/>
        <rFont val="Calibri"/>
        <family val="2"/>
      </rPr>
      <t>σ</t>
    </r>
    <r>
      <rPr>
        <sz val="12"/>
        <rFont val="Arial"/>
        <family val="2"/>
      </rPr>
      <t xml:space="preserve">'vo </t>
    </r>
  </si>
  <si>
    <t>amax/g</t>
  </si>
  <si>
    <t>[KPa]</t>
  </si>
  <si>
    <t>[t/m^3]</t>
  </si>
  <si>
    <t>[KN/m^3]</t>
  </si>
  <si>
    <r>
      <rPr>
        <sz val="12"/>
        <rFont val="Calibri"/>
        <family val="2"/>
      </rPr>
      <t>σ</t>
    </r>
    <r>
      <rPr>
        <sz val="12"/>
        <rFont val="Arial"/>
        <family val="2"/>
      </rPr>
      <t xml:space="preserve">vo </t>
    </r>
  </si>
  <si>
    <t>γ</t>
  </si>
  <si>
    <r>
      <rPr>
        <sz val="12"/>
        <rFont val="Arial"/>
        <family val="2"/>
      </rPr>
      <t>qc/fs</t>
    </r>
    <r>
      <rPr>
        <sz val="14"/>
        <rFont val="Arial"/>
        <family val="2"/>
      </rPr>
      <t xml:space="preserve"> </t>
    </r>
  </si>
  <si>
    <t>F</t>
  </si>
  <si>
    <t>Pa</t>
  </si>
  <si>
    <t>Q (n=1)</t>
  </si>
  <si>
    <t>kc</t>
  </si>
  <si>
    <t>FS</t>
  </si>
  <si>
    <t xml:space="preserve">fs </t>
  </si>
  <si>
    <t>Ic</t>
  </si>
  <si>
    <t xml:space="preserve">Q </t>
  </si>
  <si>
    <t>ITERAZIONE 1</t>
  </si>
  <si>
    <t>ITERAZIONE 2</t>
  </si>
  <si>
    <t>ITERAZIONE 3</t>
  </si>
  <si>
    <t>ITERAZIONE 4</t>
  </si>
  <si>
    <t>ITERAZIONE 5</t>
  </si>
  <si>
    <t>ITERAZIONE 6</t>
  </si>
  <si>
    <t>ITERAZIONE 7</t>
  </si>
  <si>
    <t>ITERAZIONE 8</t>
  </si>
  <si>
    <r>
      <t>q</t>
    </r>
    <r>
      <rPr>
        <sz val="11"/>
        <color theme="1"/>
        <rFont val="Calibri"/>
        <family val="2"/>
        <scheme val="minor"/>
      </rPr>
      <t>c1N</t>
    </r>
  </si>
  <si>
    <r>
      <t>(q</t>
    </r>
    <r>
      <rPr>
        <sz val="11"/>
        <color theme="1"/>
        <rFont val="Calibri"/>
        <family val="2"/>
        <scheme val="minor"/>
      </rPr>
      <t>c1N)</t>
    </r>
    <r>
      <rPr>
        <sz val="10"/>
        <color theme="1"/>
        <rFont val="Calibri"/>
        <family val="2"/>
        <scheme val="minor"/>
      </rPr>
      <t>cs</t>
    </r>
  </si>
  <si>
    <r>
      <t>MFS(</t>
    </r>
    <r>
      <rPr>
        <sz val="10"/>
        <color theme="1"/>
        <rFont val="Calibri"/>
        <family val="2"/>
        <scheme val="minor"/>
      </rPr>
      <t>Idriss)</t>
    </r>
  </si>
  <si>
    <r>
      <t>MFS(</t>
    </r>
    <r>
      <rPr>
        <sz val="10"/>
        <color theme="1"/>
        <rFont val="Calibri"/>
        <family val="2"/>
        <scheme val="minor"/>
      </rPr>
      <t>A&amp;S)</t>
    </r>
  </si>
  <si>
    <t>MFS</t>
  </si>
  <si>
    <r>
      <t>k</t>
    </r>
    <r>
      <rPr>
        <sz val="14"/>
        <color theme="1"/>
        <rFont val="Calibri"/>
        <family val="2"/>
      </rPr>
      <t>σ</t>
    </r>
  </si>
  <si>
    <t>f</t>
  </si>
  <si>
    <r>
      <t>CSR</t>
    </r>
    <r>
      <rPr>
        <sz val="8"/>
        <color theme="1"/>
        <rFont val="Calibri"/>
        <family val="2"/>
        <scheme val="minor"/>
      </rPr>
      <t>7,5</t>
    </r>
  </si>
  <si>
    <r>
      <t>r</t>
    </r>
    <r>
      <rPr>
        <sz val="11"/>
        <color theme="1"/>
        <rFont val="Calibri"/>
        <family val="2"/>
        <scheme val="minor"/>
      </rPr>
      <t>d</t>
    </r>
  </si>
  <si>
    <t>CAPACITA'</t>
  </si>
  <si>
    <r>
      <t>CSR</t>
    </r>
    <r>
      <rPr>
        <sz val="8"/>
        <color theme="1"/>
        <rFont val="Calibri"/>
        <family val="2"/>
        <scheme val="minor"/>
      </rPr>
      <t>M</t>
    </r>
  </si>
  <si>
    <t xml:space="preserve">DOMANDA </t>
  </si>
  <si>
    <r>
      <t>CRR</t>
    </r>
    <r>
      <rPr>
        <sz val="8"/>
        <color theme="1"/>
        <rFont val="Calibri"/>
        <family val="2"/>
        <scheme val="minor"/>
      </rPr>
      <t xml:space="preserve">7,5 </t>
    </r>
    <r>
      <rPr>
        <sz val="16"/>
        <color theme="1"/>
        <rFont val="Calibri"/>
        <family val="2"/>
        <scheme val="minor"/>
      </rPr>
      <t>(I-B)</t>
    </r>
  </si>
  <si>
    <r>
      <t>CRR</t>
    </r>
    <r>
      <rPr>
        <sz val="8"/>
        <color theme="1"/>
        <rFont val="Calibri"/>
        <family val="2"/>
        <scheme val="minor"/>
      </rPr>
      <t xml:space="preserve">7,5 </t>
    </r>
    <r>
      <rPr>
        <sz val="12"/>
        <color theme="1"/>
        <rFont val="Calibri"/>
        <family val="2"/>
        <scheme val="minor"/>
      </rPr>
      <t>(Y-R)</t>
    </r>
  </si>
  <si>
    <t>sabbia ghiaiosa</t>
  </si>
  <si>
    <t>sabbie da pulite a limose</t>
  </si>
  <si>
    <t>miscele di sabbie (da sabbia limosa a limo sabbioso)</t>
  </si>
  <si>
    <t xml:space="preserve">Mscele di limo (da limo argilloso a argilla limosa </t>
  </si>
  <si>
    <t>Argilla (da argilla limosa a argilla)</t>
  </si>
  <si>
    <t>Terreni organici (torbe)</t>
  </si>
  <si>
    <t>qc [Kpa]</t>
  </si>
  <si>
    <t>fs [Kpa]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</si>
</sst>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0.000"/>
    <numFmt numFmtId="165" formatCode="0.0000"/>
    <numFmt numFmtId="166" formatCode="0.0"/>
    <numFmt numFmtId="167" formatCode="0.00000"/>
    <numFmt numFmtId="168" formatCode="_-* #,##0.0000\ _€_-;\-* #,##0.0000\ _€_-;_-* &quot;-&quot;??\ _€_-;_-@_-"/>
  </numFmts>
  <fonts count="7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Liberation Sans"/>
    </font>
    <font>
      <vertAlign val="subscript"/>
      <sz val="11"/>
      <color rgb="FF000000"/>
      <name val="Liberation Sans"/>
    </font>
    <font>
      <vertAlign val="superscript"/>
      <sz val="11"/>
      <color rgb="FF000000"/>
      <name val="Liberation Sans"/>
    </font>
    <font>
      <b/>
      <vertAlign val="superscript"/>
      <sz val="11"/>
      <color rgb="FF000000"/>
      <name val="Liberation Sans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Liberation Sans"/>
    </font>
    <font>
      <sz val="14"/>
      <color rgb="FF000000"/>
      <name val="Liberation Sans"/>
    </font>
    <font>
      <sz val="13"/>
      <color rgb="FF000000"/>
      <name val="Liberation Sans"/>
    </font>
    <font>
      <b/>
      <sz val="13"/>
      <color rgb="FF000000"/>
      <name val="Liberation Sans"/>
    </font>
    <font>
      <sz val="10"/>
      <color rgb="FF000000"/>
      <name val="Liberation Sans"/>
    </font>
    <font>
      <vertAlign val="subscript"/>
      <sz val="13"/>
      <color rgb="FF000000"/>
      <name val="Liberation Sans"/>
    </font>
    <font>
      <sz val="11"/>
      <color rgb="FF000000"/>
      <name val="Calibri"/>
      <family val="2"/>
    </font>
    <font>
      <sz val="11"/>
      <color rgb="FF000000"/>
      <name val="Liberation Sans1"/>
    </font>
    <font>
      <sz val="10"/>
      <color rgb="FF000000"/>
      <name val="Times New Roman"/>
      <family val="1"/>
    </font>
    <font>
      <vertAlign val="subscript"/>
      <sz val="10"/>
      <color rgb="FF000000"/>
      <name val="Times New Roman"/>
      <family val="1"/>
    </font>
    <font>
      <sz val="10"/>
      <color rgb="FF000000"/>
      <name val="Times New Roman"/>
      <family val="2"/>
      <charset val="204"/>
    </font>
    <font>
      <sz val="10"/>
      <color rgb="FF000000"/>
      <name val="Calibri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  <font>
      <sz val="14"/>
      <color rgb="FF000000"/>
      <name val="Times New Roman"/>
      <family val="1"/>
    </font>
    <font>
      <sz val="14"/>
      <name val="Times New Roman"/>
      <family val="1"/>
    </font>
    <font>
      <sz val="22"/>
      <color theme="1"/>
      <name val="Calibri"/>
      <family val="2"/>
      <scheme val="minor"/>
    </font>
    <font>
      <b/>
      <sz val="12"/>
      <name val="Arial"/>
      <family val="2"/>
    </font>
    <font>
      <sz val="12"/>
      <color rgb="FF000000"/>
      <name val="Times New Roman"/>
      <family val="1"/>
    </font>
    <font>
      <sz val="12"/>
      <name val="Arial"/>
      <family val="2"/>
    </font>
    <font>
      <sz val="12"/>
      <color rgb="FF000000"/>
      <name val="Arial"/>
      <family val="2"/>
    </font>
    <font>
      <u/>
      <sz val="12"/>
      <name val="Times New Roman"/>
      <family val="1"/>
    </font>
    <font>
      <vertAlign val="superscript"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3.65"/>
      <color theme="1"/>
      <name val="Calibri"/>
      <family val="2"/>
    </font>
    <font>
      <vertAlign val="subscript"/>
      <sz val="13.65"/>
      <color theme="1"/>
      <name val="Calibri"/>
      <family val="2"/>
    </font>
    <font>
      <vertAlign val="superscript"/>
      <sz val="13.65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4"/>
      <color rgb="FF000000"/>
      <name val="Calibri1"/>
    </font>
    <font>
      <vertAlign val="subscript"/>
      <sz val="14"/>
      <color rgb="FF000000"/>
      <name val="Liberation Sans"/>
    </font>
    <font>
      <sz val="14"/>
      <color theme="1"/>
      <name val="Calibri"/>
      <family val="2"/>
      <scheme val="minor"/>
    </font>
    <font>
      <b/>
      <sz val="14"/>
      <color rgb="FF000000"/>
      <name val="Liberation Sans"/>
    </font>
    <font>
      <b/>
      <vertAlign val="subscript"/>
      <sz val="14"/>
      <color rgb="FF000000"/>
      <name val="Liberation Sans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</font>
    <font>
      <sz val="14"/>
      <name val="Calibri"/>
      <family val="2"/>
    </font>
    <font>
      <sz val="11.75"/>
      <name val="Arial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3333"/>
        <bgColor rgb="FFFF3333"/>
      </patternFill>
    </fill>
    <fill>
      <patternFill patternType="solid">
        <fgColor rgb="FFFFFF99"/>
        <bgColor rgb="FFFFFF99"/>
      </patternFill>
    </fill>
    <fill>
      <patternFill patternType="solid">
        <fgColor rgb="FF66FF99"/>
        <bgColor rgb="FF66FF99"/>
      </patternFill>
    </fill>
    <fill>
      <patternFill patternType="solid">
        <fgColor rgb="FFCCFFCC"/>
        <bgColor rgb="FFCCFFCC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FF00"/>
        <bgColor indexed="64"/>
      </patternFill>
    </fill>
  </fills>
  <borders count="9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indexed="64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56" fillId="0" borderId="0" applyFont="0" applyFill="0" applyBorder="0" applyAlignment="0" applyProtection="0"/>
  </cellStyleXfs>
  <cellXfs count="73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Fill="1" applyBorder="1" applyAlignment="1"/>
    <xf numFmtId="0" fontId="0" fillId="5" borderId="4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7" fillId="0" borderId="0" xfId="0" applyFont="1" applyAlignment="1"/>
    <xf numFmtId="0" fontId="0" fillId="5" borderId="0" xfId="0" applyFill="1" applyBorder="1" applyAlignment="1"/>
    <xf numFmtId="0" fontId="2" fillId="0" borderId="0" xfId="0" applyFont="1" applyFill="1" applyBorder="1" applyAlignment="1"/>
    <xf numFmtId="0" fontId="0" fillId="5" borderId="0" xfId="0" applyFill="1" applyBorder="1" applyAlignment="1">
      <alignment horizontal="center"/>
    </xf>
    <xf numFmtId="0" fontId="0" fillId="5" borderId="0" xfId="0" applyFill="1"/>
    <xf numFmtId="0" fontId="0" fillId="0" borderId="4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10" fillId="0" borderId="0" xfId="0" applyFont="1"/>
    <xf numFmtId="0" fontId="11" fillId="7" borderId="31" xfId="0" applyFont="1" applyFill="1" applyBorder="1"/>
    <xf numFmtId="0" fontId="10" fillId="0" borderId="2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1" fillId="7" borderId="3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30" xfId="0" applyFont="1" applyBorder="1" applyAlignment="1">
      <alignment horizontal="center"/>
    </xf>
    <xf numFmtId="0" fontId="11" fillId="7" borderId="33" xfId="0" applyFont="1" applyFill="1" applyBorder="1"/>
    <xf numFmtId="0" fontId="10" fillId="0" borderId="34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7" borderId="29" xfId="0" applyFont="1" applyFill="1" applyBorder="1"/>
    <xf numFmtId="0" fontId="10" fillId="0" borderId="36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38" xfId="0" applyFont="1" applyBorder="1"/>
    <xf numFmtId="0" fontId="10" fillId="4" borderId="38" xfId="0" applyFont="1" applyFill="1" applyBorder="1" applyAlignment="1">
      <alignment horizontal="right"/>
    </xf>
    <xf numFmtId="0" fontId="10" fillId="4" borderId="36" xfId="0" applyFont="1" applyFill="1" applyBorder="1" applyAlignment="1">
      <alignment horizontal="center"/>
    </xf>
    <xf numFmtId="0" fontId="10" fillId="4" borderId="37" xfId="0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10" fillId="0" borderId="39" xfId="0" applyFont="1" applyBorder="1" applyAlignment="1">
      <alignment horizontal="right"/>
    </xf>
    <xf numFmtId="2" fontId="10" fillId="0" borderId="34" xfId="0" applyNumberFormat="1" applyFont="1" applyBorder="1" applyAlignment="1">
      <alignment horizontal="center"/>
    </xf>
    <xf numFmtId="0" fontId="10" fillId="0" borderId="35" xfId="0" applyFont="1" applyBorder="1" applyAlignment="1">
      <alignment horizontal="left"/>
    </xf>
    <xf numFmtId="164" fontId="10" fillId="0" borderId="34" xfId="0" applyNumberFormat="1" applyFont="1" applyBorder="1" applyAlignment="1">
      <alignment horizontal="center"/>
    </xf>
    <xf numFmtId="2" fontId="10" fillId="4" borderId="36" xfId="0" applyNumberFormat="1" applyFont="1" applyFill="1" applyBorder="1" applyAlignment="1">
      <alignment horizontal="center"/>
    </xf>
    <xf numFmtId="0" fontId="10" fillId="0" borderId="38" xfId="0" applyFont="1" applyBorder="1" applyAlignment="1">
      <alignment horizontal="right"/>
    </xf>
    <xf numFmtId="0" fontId="10" fillId="0" borderId="37" xfId="0" applyFont="1" applyBorder="1" applyAlignment="1">
      <alignment horizontal="left"/>
    </xf>
    <xf numFmtId="0" fontId="0" fillId="0" borderId="39" xfId="0" applyBorder="1"/>
    <xf numFmtId="0" fontId="0" fillId="0" borderId="34" xfId="0" applyBorder="1"/>
    <xf numFmtId="0" fontId="0" fillId="0" borderId="35" xfId="0" applyBorder="1"/>
    <xf numFmtId="0" fontId="0" fillId="0" borderId="37" xfId="0" applyBorder="1"/>
    <xf numFmtId="0" fontId="10" fillId="0" borderId="34" xfId="0" applyFont="1" applyBorder="1"/>
    <xf numFmtId="0" fontId="12" fillId="0" borderId="0" xfId="0" applyFont="1" applyAlignment="1">
      <alignment horizontal="center"/>
    </xf>
    <xf numFmtId="0" fontId="10" fillId="0" borderId="29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0" xfId="0" applyFont="1"/>
    <xf numFmtId="0" fontId="0" fillId="0" borderId="0" xfId="0" applyAlignment="1">
      <alignment horizontal="right"/>
    </xf>
    <xf numFmtId="164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6" borderId="29" xfId="0" applyFill="1" applyBorder="1" applyAlignment="1">
      <alignment horizontal="center"/>
    </xf>
    <xf numFmtId="0" fontId="12" fillId="6" borderId="29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0" fontId="12" fillId="0" borderId="0" xfId="0" applyFont="1" applyFill="1" applyAlignment="1">
      <alignment horizontal="center"/>
    </xf>
    <xf numFmtId="165" fontId="0" fillId="0" borderId="29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12" fillId="6" borderId="31" xfId="0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0" fontId="0" fillId="0" borderId="41" xfId="0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0" fontId="0" fillId="0" borderId="0" xfId="0" applyBorder="1" applyAlignment="1">
      <alignment horizontal="right"/>
    </xf>
    <xf numFmtId="165" fontId="0" fillId="0" borderId="0" xfId="0" applyNumberFormat="1" applyBorder="1" applyAlignment="1">
      <alignment horizontal="center"/>
    </xf>
    <xf numFmtId="165" fontId="0" fillId="0" borderId="41" xfId="0" applyNumberForma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0" fontId="10" fillId="0" borderId="38" xfId="0" applyFont="1" applyFill="1" applyBorder="1" applyAlignment="1">
      <alignment horizontal="center" vertical="center"/>
    </xf>
    <xf numFmtId="0" fontId="10" fillId="0" borderId="36" xfId="0" applyFont="1" applyFill="1" applyBorder="1" applyAlignment="1">
      <alignment horizontal="center" vertical="center"/>
    </xf>
    <xf numFmtId="0" fontId="10" fillId="0" borderId="37" xfId="0" applyFont="1" applyFill="1" applyBorder="1" applyAlignment="1">
      <alignment horizontal="center" vertical="center"/>
    </xf>
    <xf numFmtId="0" fontId="0" fillId="3" borderId="22" xfId="0" applyFill="1" applyBorder="1"/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left" vertical="center"/>
    </xf>
    <xf numFmtId="0" fontId="0" fillId="0" borderId="48" xfId="0" applyBorder="1"/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left" vertical="center"/>
    </xf>
    <xf numFmtId="0" fontId="14" fillId="0" borderId="51" xfId="0" applyFont="1" applyBorder="1"/>
    <xf numFmtId="0" fontId="0" fillId="0" borderId="52" xfId="0" applyBorder="1"/>
    <xf numFmtId="0" fontId="0" fillId="0" borderId="51" xfId="0" applyBorder="1"/>
    <xf numFmtId="0" fontId="0" fillId="0" borderId="53" xfId="0" applyBorder="1"/>
    <xf numFmtId="0" fontId="0" fillId="0" borderId="44" xfId="0" applyBorder="1" applyAlignment="1">
      <alignment horizontal="center"/>
    </xf>
    <xf numFmtId="0" fontId="0" fillId="0" borderId="54" xfId="0" applyBorder="1"/>
    <xf numFmtId="0" fontId="0" fillId="0" borderId="0" xfId="0" applyAlignment="1">
      <alignment horizontal="left"/>
    </xf>
    <xf numFmtId="166" fontId="0" fillId="0" borderId="0" xfId="0" applyNumberFormat="1" applyBorder="1" applyAlignment="1">
      <alignment horizontal="center"/>
    </xf>
    <xf numFmtId="0" fontId="0" fillId="5" borderId="0" xfId="0" applyFill="1" applyAlignment="1">
      <alignment horizontal="center"/>
    </xf>
    <xf numFmtId="0" fontId="15" fillId="0" borderId="0" xfId="0" applyFont="1" applyAlignment="1">
      <alignment horizontal="right"/>
    </xf>
    <xf numFmtId="0" fontId="0" fillId="7" borderId="16" xfId="0" applyFill="1" applyBorder="1" applyAlignment="1">
      <alignment horizontal="right"/>
    </xf>
    <xf numFmtId="2" fontId="0" fillId="7" borderId="15" xfId="0" applyNumberFormat="1" applyFill="1" applyBorder="1" applyAlignment="1">
      <alignment horizontal="left"/>
    </xf>
    <xf numFmtId="0" fontId="16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164" fontId="20" fillId="10" borderId="4" xfId="0" applyNumberFormat="1" applyFont="1" applyFill="1" applyBorder="1" applyAlignment="1" applyProtection="1">
      <alignment horizontal="center" vertical="center"/>
      <protection locked="0" hidden="1"/>
    </xf>
    <xf numFmtId="164" fontId="20" fillId="0" borderId="4" xfId="0" applyNumberFormat="1" applyFont="1" applyFill="1" applyBorder="1" applyAlignment="1" applyProtection="1">
      <alignment horizontal="center" vertical="center"/>
      <protection locked="0" hidden="1"/>
    </xf>
    <xf numFmtId="0" fontId="0" fillId="0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/>
    <xf numFmtId="0" fontId="0" fillId="0" borderId="0" xfId="0" applyBorder="1" applyAlignment="1"/>
    <xf numFmtId="164" fontId="20" fillId="0" borderId="6" xfId="0" applyNumberFormat="1" applyFont="1" applyFill="1" applyBorder="1" applyAlignment="1" applyProtection="1">
      <alignment horizontal="center" vertical="center"/>
      <protection locked="0" hidden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166" fontId="0" fillId="11" borderId="15" xfId="0" applyNumberForma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4" xfId="0" applyFon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0" fontId="16" fillId="0" borderId="4" xfId="0" applyFont="1" applyFill="1" applyBorder="1" applyAlignment="1">
      <alignment horizontal="center" vertical="top"/>
    </xf>
    <xf numFmtId="0" fontId="0" fillId="0" borderId="4" xfId="0" applyFill="1" applyBorder="1" applyAlignment="1">
      <alignment horizontal="center" vertical="top"/>
    </xf>
    <xf numFmtId="0" fontId="18" fillId="0" borderId="4" xfId="0" applyFont="1" applyFill="1" applyBorder="1" applyAlignment="1">
      <alignment horizontal="center" vertical="top"/>
    </xf>
    <xf numFmtId="0" fontId="16" fillId="0" borderId="6" xfId="0" applyFont="1" applyFill="1" applyBorder="1" applyAlignment="1">
      <alignment horizontal="center" vertical="top"/>
    </xf>
    <xf numFmtId="0" fontId="0" fillId="0" borderId="6" xfId="0" applyFill="1" applyBorder="1" applyAlignment="1">
      <alignment horizontal="center" vertical="top"/>
    </xf>
    <xf numFmtId="0" fontId="24" fillId="0" borderId="0" xfId="0" applyFont="1" applyFill="1" applyBorder="1" applyAlignment="1">
      <alignment horizontal="center" vertical="top" wrapText="1"/>
    </xf>
    <xf numFmtId="2" fontId="25" fillId="0" borderId="0" xfId="0" applyNumberFormat="1" applyFont="1" applyFill="1" applyBorder="1" applyAlignment="1">
      <alignment horizontal="center" vertical="top" shrinkToFit="1"/>
    </xf>
    <xf numFmtId="1" fontId="25" fillId="0" borderId="0" xfId="0" applyNumberFormat="1" applyFont="1" applyFill="1" applyBorder="1" applyAlignment="1">
      <alignment horizontal="center" vertical="top" shrinkToFit="1"/>
    </xf>
    <xf numFmtId="166" fontId="25" fillId="0" borderId="0" xfId="0" applyNumberFormat="1" applyFont="1" applyFill="1" applyBorder="1" applyAlignment="1">
      <alignment horizontal="center" vertical="top" shrinkToFit="1"/>
    </xf>
    <xf numFmtId="164" fontId="25" fillId="0" borderId="0" xfId="0" applyNumberFormat="1" applyFont="1" applyFill="1" applyBorder="1" applyAlignment="1">
      <alignment horizontal="center" vertical="top" shrinkToFit="1"/>
    </xf>
    <xf numFmtId="0" fontId="23" fillId="0" borderId="18" xfId="0" applyFont="1" applyFill="1" applyBorder="1" applyAlignment="1">
      <alignment horizontal="center" vertical="top" wrapText="1"/>
    </xf>
    <xf numFmtId="1" fontId="25" fillId="0" borderId="21" xfId="0" applyNumberFormat="1" applyFont="1" applyFill="1" applyBorder="1" applyAlignment="1">
      <alignment horizontal="center" vertical="top" shrinkToFit="1"/>
    </xf>
    <xf numFmtId="0" fontId="26" fillId="0" borderId="21" xfId="0" applyFont="1" applyFill="1" applyBorder="1" applyAlignment="1">
      <alignment horizontal="center" vertical="top" wrapText="1"/>
    </xf>
    <xf numFmtId="0" fontId="24" fillId="0" borderId="21" xfId="0" applyFont="1" applyFill="1" applyBorder="1" applyAlignment="1">
      <alignment horizontal="center" vertical="top" wrapText="1"/>
    </xf>
    <xf numFmtId="1" fontId="25" fillId="0" borderId="23" xfId="0" applyNumberFormat="1" applyFont="1" applyFill="1" applyBorder="1" applyAlignment="1">
      <alignment horizontal="center" vertical="top" shrinkToFit="1"/>
    </xf>
    <xf numFmtId="0" fontId="24" fillId="0" borderId="23" xfId="0" applyFont="1" applyFill="1" applyBorder="1" applyAlignment="1">
      <alignment horizontal="center" vertical="top" wrapText="1"/>
    </xf>
    <xf numFmtId="2" fontId="25" fillId="0" borderId="23" xfId="0" applyNumberFormat="1" applyFont="1" applyFill="1" applyBorder="1" applyAlignment="1">
      <alignment horizontal="center" vertical="top" shrinkToFit="1"/>
    </xf>
    <xf numFmtId="164" fontId="25" fillId="0" borderId="23" xfId="0" applyNumberFormat="1" applyFont="1" applyFill="1" applyBorder="1" applyAlignment="1">
      <alignment horizontal="center" vertical="top" shrinkToFit="1"/>
    </xf>
    <xf numFmtId="1" fontId="25" fillId="0" borderId="24" xfId="0" applyNumberFormat="1" applyFont="1" applyFill="1" applyBorder="1" applyAlignment="1">
      <alignment horizontal="center" vertical="top" shrinkToFit="1"/>
    </xf>
    <xf numFmtId="0" fontId="31" fillId="0" borderId="0" xfId="0" applyFont="1" applyFill="1" applyBorder="1" applyAlignment="1">
      <alignment horizontal="left" vertical="top" wrapText="1"/>
    </xf>
    <xf numFmtId="0" fontId="31" fillId="0" borderId="0" xfId="0" applyFont="1" applyFill="1" applyBorder="1" applyAlignment="1">
      <alignment horizontal="right" vertical="top" wrapText="1" indent="1"/>
    </xf>
    <xf numFmtId="0" fontId="31" fillId="0" borderId="0" xfId="0" applyFont="1" applyFill="1" applyBorder="1" applyAlignment="1">
      <alignment horizontal="right" vertical="top" wrapText="1"/>
    </xf>
    <xf numFmtId="0" fontId="31" fillId="0" borderId="0" xfId="0" applyFont="1" applyFill="1" applyBorder="1" applyAlignment="1">
      <alignment horizontal="center" vertical="top" wrapText="1"/>
    </xf>
    <xf numFmtId="1" fontId="32" fillId="0" borderId="0" xfId="0" applyNumberFormat="1" applyFont="1" applyFill="1" applyBorder="1" applyAlignment="1">
      <alignment horizontal="left" vertical="top" indent="1" shrinkToFit="1"/>
    </xf>
    <xf numFmtId="0" fontId="31" fillId="0" borderId="0" xfId="0" applyFont="1" applyFill="1" applyBorder="1" applyAlignment="1">
      <alignment horizontal="left" vertical="top" wrapText="1" indent="1"/>
    </xf>
    <xf numFmtId="0" fontId="31" fillId="0" borderId="0" xfId="0" applyFont="1" applyFill="1" applyBorder="1" applyAlignment="1">
      <alignment horizontal="left" vertical="top" wrapText="1" indent="2"/>
    </xf>
    <xf numFmtId="1" fontId="32" fillId="0" borderId="0" xfId="0" applyNumberFormat="1" applyFont="1" applyFill="1" applyBorder="1" applyAlignment="1">
      <alignment horizontal="center" vertical="top" shrinkToFit="1"/>
    </xf>
    <xf numFmtId="2" fontId="32" fillId="0" borderId="0" xfId="0" applyNumberFormat="1" applyFont="1" applyFill="1" applyBorder="1" applyAlignment="1">
      <alignment horizontal="center" vertical="top" shrinkToFit="1"/>
    </xf>
    <xf numFmtId="166" fontId="32" fillId="0" borderId="0" xfId="0" applyNumberFormat="1" applyFont="1" applyFill="1" applyBorder="1" applyAlignment="1">
      <alignment horizontal="right" vertical="top" indent="1" shrinkToFit="1"/>
    </xf>
    <xf numFmtId="1" fontId="32" fillId="0" borderId="0" xfId="0" applyNumberFormat="1" applyFont="1" applyFill="1" applyBorder="1" applyAlignment="1">
      <alignment horizontal="right" vertical="top" shrinkToFit="1"/>
    </xf>
    <xf numFmtId="1" fontId="32" fillId="0" borderId="0" xfId="0" applyNumberFormat="1" applyFont="1" applyFill="1" applyBorder="1" applyAlignment="1">
      <alignment horizontal="right" vertical="top" indent="1" shrinkToFit="1"/>
    </xf>
    <xf numFmtId="1" fontId="32" fillId="0" borderId="0" xfId="0" applyNumberFormat="1" applyFont="1" applyFill="1" applyBorder="1" applyAlignment="1">
      <alignment horizontal="left" vertical="top" shrinkToFit="1"/>
    </xf>
    <xf numFmtId="164" fontId="32" fillId="0" borderId="0" xfId="0" applyNumberFormat="1" applyFont="1" applyFill="1" applyBorder="1" applyAlignment="1">
      <alignment horizontal="left" vertical="top" shrinkToFit="1"/>
    </xf>
    <xf numFmtId="1" fontId="32" fillId="0" borderId="21" xfId="0" applyNumberFormat="1" applyFont="1" applyFill="1" applyBorder="1" applyAlignment="1">
      <alignment horizontal="left" vertical="top" shrinkToFit="1"/>
    </xf>
    <xf numFmtId="0" fontId="30" fillId="0" borderId="21" xfId="0" applyFont="1" applyFill="1" applyBorder="1" applyAlignment="1">
      <alignment horizontal="left" vertical="top" wrapText="1"/>
    </xf>
    <xf numFmtId="0" fontId="30" fillId="0" borderId="21" xfId="0" applyFont="1" applyFill="1" applyBorder="1" applyAlignment="1">
      <alignment horizontal="right" vertical="top" wrapText="1"/>
    </xf>
    <xf numFmtId="1" fontId="32" fillId="0" borderId="23" xfId="0" applyNumberFormat="1" applyFont="1" applyFill="1" applyBorder="1" applyAlignment="1">
      <alignment horizontal="center" vertical="top" shrinkToFit="1"/>
    </xf>
    <xf numFmtId="0" fontId="31" fillId="0" borderId="23" xfId="0" applyFont="1" applyFill="1" applyBorder="1" applyAlignment="1">
      <alignment horizontal="center" vertical="top" wrapText="1"/>
    </xf>
    <xf numFmtId="2" fontId="32" fillId="0" borderId="23" xfId="0" applyNumberFormat="1" applyFont="1" applyFill="1" applyBorder="1" applyAlignment="1">
      <alignment horizontal="center" vertical="top" shrinkToFit="1"/>
    </xf>
    <xf numFmtId="0" fontId="31" fillId="0" borderId="23" xfId="0" applyFont="1" applyFill="1" applyBorder="1" applyAlignment="1">
      <alignment horizontal="right" vertical="top" wrapText="1" indent="1"/>
    </xf>
    <xf numFmtId="0" fontId="31" fillId="0" borderId="23" xfId="0" applyFont="1" applyFill="1" applyBorder="1" applyAlignment="1">
      <alignment horizontal="right" vertical="top" wrapText="1"/>
    </xf>
    <xf numFmtId="1" fontId="32" fillId="0" borderId="23" xfId="0" applyNumberFormat="1" applyFont="1" applyFill="1" applyBorder="1" applyAlignment="1">
      <alignment horizontal="right" vertical="top" shrinkToFit="1"/>
    </xf>
    <xf numFmtId="1" fontId="32" fillId="0" borderId="23" xfId="0" applyNumberFormat="1" applyFont="1" applyFill="1" applyBorder="1" applyAlignment="1">
      <alignment horizontal="right" vertical="top" indent="1" shrinkToFit="1"/>
    </xf>
    <xf numFmtId="1" fontId="32" fillId="0" borderId="23" xfId="0" applyNumberFormat="1" applyFont="1" applyFill="1" applyBorder="1" applyAlignment="1">
      <alignment horizontal="left" vertical="top" shrinkToFit="1"/>
    </xf>
    <xf numFmtId="164" fontId="32" fillId="0" borderId="23" xfId="0" applyNumberFormat="1" applyFont="1" applyFill="1" applyBorder="1" applyAlignment="1">
      <alignment horizontal="left" vertical="top" shrinkToFit="1"/>
    </xf>
    <xf numFmtId="0" fontId="30" fillId="0" borderId="24" xfId="0" applyFont="1" applyFill="1" applyBorder="1" applyAlignment="1">
      <alignment horizontal="left" vertical="top" wrapText="1"/>
    </xf>
    <xf numFmtId="0" fontId="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7" borderId="15" xfId="0" applyNumberForma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24" fillId="0" borderId="0" xfId="0" applyFont="1" applyFill="1" applyBorder="1" applyAlignment="1">
      <alignment horizontal="center" vertical="top" wrapText="1"/>
    </xf>
    <xf numFmtId="0" fontId="0" fillId="0" borderId="0" xfId="0" applyAlignment="1"/>
    <xf numFmtId="0" fontId="0" fillId="5" borderId="57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4" fillId="0" borderId="0" xfId="0" applyFont="1" applyFill="1" applyBorder="1" applyAlignment="1">
      <alignment horizontal="center" vertical="top" wrapText="1"/>
    </xf>
    <xf numFmtId="2" fontId="25" fillId="5" borderId="20" xfId="0" applyNumberFormat="1" applyFont="1" applyFill="1" applyBorder="1" applyAlignment="1">
      <alignment horizontal="center" vertical="top" shrinkToFit="1"/>
    </xf>
    <xf numFmtId="2" fontId="32" fillId="5" borderId="20" xfId="0" applyNumberFormat="1" applyFont="1" applyFill="1" applyBorder="1" applyAlignment="1">
      <alignment horizontal="right" vertical="top" indent="1" shrinkToFit="1"/>
    </xf>
    <xf numFmtId="0" fontId="31" fillId="0" borderId="0" xfId="0" applyFont="1" applyFill="1" applyBorder="1" applyAlignment="1">
      <alignment vertical="top" wrapText="1"/>
    </xf>
    <xf numFmtId="1" fontId="32" fillId="0" borderId="0" xfId="0" applyNumberFormat="1" applyFont="1" applyFill="1" applyBorder="1" applyAlignment="1">
      <alignment vertical="top" shrinkToFit="1"/>
    </xf>
    <xf numFmtId="0" fontId="31" fillId="5" borderId="20" xfId="0" applyFont="1" applyFill="1" applyBorder="1" applyAlignment="1">
      <alignment horizontal="center" vertical="top" wrapText="1"/>
    </xf>
    <xf numFmtId="1" fontId="25" fillId="16" borderId="0" xfId="0" applyNumberFormat="1" applyFont="1" applyFill="1" applyBorder="1" applyAlignment="1">
      <alignment horizontal="center" vertical="top" shrinkToFit="1"/>
    </xf>
    <xf numFmtId="1" fontId="25" fillId="16" borderId="23" xfId="0" applyNumberFormat="1" applyFont="1" applyFill="1" applyBorder="1" applyAlignment="1">
      <alignment horizontal="center" vertical="top" shrinkToFit="1"/>
    </xf>
    <xf numFmtId="0" fontId="24" fillId="15" borderId="58" xfId="0" applyFont="1" applyFill="1" applyBorder="1" applyAlignment="1">
      <alignment horizontal="center" vertical="top" wrapText="1"/>
    </xf>
    <xf numFmtId="0" fontId="24" fillId="15" borderId="60" xfId="0" applyFont="1" applyFill="1" applyBorder="1" applyAlignment="1">
      <alignment horizontal="center" vertical="top" wrapText="1"/>
    </xf>
    <xf numFmtId="0" fontId="24" fillId="17" borderId="58" xfId="0" applyFont="1" applyFill="1" applyBorder="1" applyAlignment="1">
      <alignment horizontal="center" vertical="top" wrapText="1"/>
    </xf>
    <xf numFmtId="0" fontId="24" fillId="17" borderId="60" xfId="0" applyFont="1" applyFill="1" applyBorder="1" applyAlignment="1">
      <alignment horizontal="center" vertical="top" wrapText="1"/>
    </xf>
    <xf numFmtId="1" fontId="25" fillId="18" borderId="0" xfId="0" applyNumberFormat="1" applyFont="1" applyFill="1" applyBorder="1" applyAlignment="1">
      <alignment horizontal="center" vertical="top" shrinkToFit="1"/>
    </xf>
    <xf numFmtId="1" fontId="25" fillId="18" borderId="23" xfId="0" applyNumberFormat="1" applyFont="1" applyFill="1" applyBorder="1" applyAlignment="1">
      <alignment horizontal="center" vertical="top" shrinkToFit="1"/>
    </xf>
    <xf numFmtId="0" fontId="0" fillId="0" borderId="58" xfId="0" applyBorder="1" applyAlignment="1">
      <alignment horizontal="center" vertical="center"/>
    </xf>
    <xf numFmtId="0" fontId="24" fillId="0" borderId="59" xfId="0" applyFont="1" applyFill="1" applyBorder="1" applyAlignment="1">
      <alignment horizontal="center" vertical="top" wrapText="1"/>
    </xf>
    <xf numFmtId="0" fontId="0" fillId="0" borderId="59" xfId="0" quotePrefix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0" borderId="0" xfId="0" applyFill="1"/>
    <xf numFmtId="2" fontId="0" fillId="0" borderId="0" xfId="0" applyNumberFormat="1" applyFill="1" applyBorder="1" applyAlignment="1">
      <alignment horizontal="center"/>
    </xf>
    <xf numFmtId="164" fontId="0" fillId="7" borderId="15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21" fillId="0" borderId="0" xfId="0" applyFont="1" applyFill="1" applyBorder="1" applyAlignment="1"/>
    <xf numFmtId="0" fontId="37" fillId="0" borderId="17" xfId="0" applyFont="1" applyFill="1" applyBorder="1" applyAlignment="1">
      <alignment horizontal="center" vertical="center" wrapText="1"/>
    </xf>
    <xf numFmtId="0" fontId="37" fillId="0" borderId="18" xfId="0" applyFont="1" applyFill="1" applyBorder="1" applyAlignment="1">
      <alignment horizontal="center" vertical="center" wrapText="1"/>
    </xf>
    <xf numFmtId="0" fontId="37" fillId="0" borderId="19" xfId="0" applyFont="1" applyFill="1" applyBorder="1" applyAlignment="1">
      <alignment horizontal="center" vertical="center" wrapText="1"/>
    </xf>
    <xf numFmtId="0" fontId="37" fillId="0" borderId="22" xfId="0" applyFont="1" applyFill="1" applyBorder="1" applyAlignment="1">
      <alignment horizontal="center" vertical="center" wrapText="1"/>
    </xf>
    <xf numFmtId="0" fontId="37" fillId="0" borderId="23" xfId="0" applyFont="1" applyFill="1" applyBorder="1" applyAlignment="1">
      <alignment horizontal="center" vertical="center" wrapText="1"/>
    </xf>
    <xf numFmtId="0" fontId="37" fillId="0" borderId="24" xfId="0" applyFont="1" applyFill="1" applyBorder="1" applyAlignment="1">
      <alignment horizontal="center" vertical="center" wrapText="1"/>
    </xf>
    <xf numFmtId="0" fontId="37" fillId="0" borderId="23" xfId="0" applyFont="1" applyFill="1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Font="1" applyFill="1" applyBorder="1"/>
    <xf numFmtId="0" fontId="37" fillId="0" borderId="0" xfId="0" applyFont="1" applyFill="1" applyBorder="1" applyAlignment="1">
      <alignment vertical="top" wrapText="1"/>
    </xf>
    <xf numFmtId="2" fontId="38" fillId="0" borderId="0" xfId="0" applyNumberFormat="1" applyFont="1" applyFill="1" applyBorder="1" applyAlignment="1">
      <alignment vertical="top" shrinkToFit="1"/>
    </xf>
    <xf numFmtId="1" fontId="38" fillId="0" borderId="0" xfId="0" applyNumberFormat="1" applyFont="1" applyFill="1" applyBorder="1" applyAlignment="1">
      <alignment horizontal="center" vertical="top" shrinkToFit="1"/>
    </xf>
    <xf numFmtId="0" fontId="37" fillId="0" borderId="0" xfId="0" applyFont="1" applyFill="1" applyBorder="1" applyAlignment="1">
      <alignment horizontal="center" vertical="top" wrapText="1"/>
    </xf>
    <xf numFmtId="165" fontId="0" fillId="0" borderId="0" xfId="0" applyNumberFormat="1" applyAlignment="1">
      <alignment horizontal="center"/>
    </xf>
    <xf numFmtId="167" fontId="0" fillId="11" borderId="17" xfId="0" applyNumberFormat="1" applyFill="1" applyBorder="1" applyAlignment="1">
      <alignment horizontal="center"/>
    </xf>
    <xf numFmtId="1" fontId="38" fillId="11" borderId="19" xfId="0" applyNumberFormat="1" applyFont="1" applyFill="1" applyBorder="1" applyAlignment="1">
      <alignment horizontal="center" vertical="top" shrinkToFit="1"/>
    </xf>
    <xf numFmtId="167" fontId="0" fillId="11" borderId="22" xfId="0" applyNumberFormat="1" applyFill="1" applyBorder="1" applyAlignment="1">
      <alignment horizontal="center"/>
    </xf>
    <xf numFmtId="1" fontId="38" fillId="11" borderId="24" xfId="0" applyNumberFormat="1" applyFont="1" applyFill="1" applyBorder="1" applyAlignment="1">
      <alignment horizontal="center" vertical="top" shrinkToFit="1"/>
    </xf>
    <xf numFmtId="0" fontId="0" fillId="14" borderId="4" xfId="0" applyFill="1" applyBorder="1" applyAlignment="1">
      <alignment horizontal="center"/>
    </xf>
    <xf numFmtId="2" fontId="38" fillId="0" borderId="4" xfId="0" applyNumberFormat="1" applyFont="1" applyFill="1" applyBorder="1" applyAlignment="1">
      <alignment horizontal="center" vertical="center" shrinkToFit="1"/>
    </xf>
    <xf numFmtId="1" fontId="38" fillId="0" borderId="4" xfId="0" applyNumberFormat="1" applyFont="1" applyFill="1" applyBorder="1" applyAlignment="1">
      <alignment horizontal="center" vertical="top" shrinkToFit="1"/>
    </xf>
    <xf numFmtId="0" fontId="37" fillId="0" borderId="4" xfId="0" applyFont="1" applyFill="1" applyBorder="1" applyAlignment="1">
      <alignment horizontal="center" vertical="top" wrapText="1"/>
    </xf>
    <xf numFmtId="0" fontId="0" fillId="0" borderId="4" xfId="0" applyFont="1" applyBorder="1" applyAlignment="1">
      <alignment horizontal="center"/>
    </xf>
    <xf numFmtId="0" fontId="39" fillId="0" borderId="4" xfId="0" applyFont="1" applyFill="1" applyBorder="1" applyAlignment="1">
      <alignment horizontal="center" vertical="center" wrapText="1"/>
    </xf>
    <xf numFmtId="2" fontId="38" fillId="5" borderId="4" xfId="0" applyNumberFormat="1" applyFont="1" applyFill="1" applyBorder="1" applyAlignment="1">
      <alignment horizontal="center" vertical="center" shrinkToFit="1"/>
    </xf>
    <xf numFmtId="1" fontId="38" fillId="5" borderId="4" xfId="0" applyNumberFormat="1" applyFont="1" applyFill="1" applyBorder="1" applyAlignment="1">
      <alignment horizontal="center" vertical="top" shrinkToFit="1"/>
    </xf>
    <xf numFmtId="0" fontId="37" fillId="5" borderId="4" xfId="0" applyFont="1" applyFill="1" applyBorder="1" applyAlignment="1">
      <alignment horizontal="center" vertical="top" wrapText="1"/>
    </xf>
    <xf numFmtId="0" fontId="0" fillId="5" borderId="4" xfId="0" applyFont="1" applyFill="1" applyBorder="1" applyAlignment="1">
      <alignment horizontal="center"/>
    </xf>
    <xf numFmtId="0" fontId="40" fillId="0" borderId="4" xfId="0" applyFont="1" applyFill="1" applyBorder="1" applyAlignment="1">
      <alignment vertical="center" wrapText="1"/>
    </xf>
    <xf numFmtId="2" fontId="38" fillId="0" borderId="4" xfId="0" applyNumberFormat="1" applyFont="1" applyFill="1" applyBorder="1" applyAlignment="1">
      <alignment horizontal="center" vertical="top" shrinkToFit="1"/>
    </xf>
    <xf numFmtId="0" fontId="40" fillId="0" borderId="4" xfId="0" applyFont="1" applyFill="1" applyBorder="1" applyAlignment="1">
      <alignment horizontal="center" vertical="top" wrapText="1"/>
    </xf>
    <xf numFmtId="0" fontId="40" fillId="0" borderId="4" xfId="0" applyFont="1" applyFill="1" applyBorder="1" applyAlignment="1"/>
    <xf numFmtId="0" fontId="0" fillId="14" borderId="6" xfId="0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38" fillId="0" borderId="6" xfId="0" applyNumberFormat="1" applyFont="1" applyFill="1" applyBorder="1" applyAlignment="1">
      <alignment horizontal="center" vertical="center" shrinkToFit="1"/>
    </xf>
    <xf numFmtId="1" fontId="38" fillId="0" borderId="6" xfId="0" applyNumberFormat="1" applyFont="1" applyFill="1" applyBorder="1" applyAlignment="1">
      <alignment horizontal="center" vertical="top" shrinkToFit="1"/>
    </xf>
    <xf numFmtId="0" fontId="37" fillId="0" borderId="6" xfId="0" applyFont="1" applyFill="1" applyBorder="1" applyAlignment="1">
      <alignment horizontal="center" vertical="top" wrapText="1"/>
    </xf>
    <xf numFmtId="0" fontId="0" fillId="0" borderId="6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40" fillId="0" borderId="0" xfId="0" applyFont="1" applyFill="1" applyBorder="1" applyAlignment="1">
      <alignment horizontal="center" vertical="top" wrapText="1"/>
    </xf>
    <xf numFmtId="2" fontId="38" fillId="0" borderId="0" xfId="0" applyNumberFormat="1" applyFont="1" applyFill="1" applyBorder="1" applyAlignment="1">
      <alignment horizontal="center" vertical="top" shrinkToFit="1"/>
    </xf>
    <xf numFmtId="0" fontId="0" fillId="0" borderId="15" xfId="0" applyBorder="1" applyAlignment="1">
      <alignment horizontal="left"/>
    </xf>
    <xf numFmtId="166" fontId="0" fillId="16" borderId="4" xfId="0" applyNumberFormat="1" applyFill="1" applyBorder="1" applyAlignment="1">
      <alignment horizontal="center"/>
    </xf>
    <xf numFmtId="0" fontId="0" fillId="0" borderId="0" xfId="0" applyBorder="1" applyAlignment="1">
      <alignment horizontal="left"/>
    </xf>
    <xf numFmtId="2" fontId="0" fillId="16" borderId="15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1" fontId="38" fillId="0" borderId="0" xfId="0" applyNumberFormat="1" applyFont="1" applyFill="1" applyBorder="1" applyAlignment="1">
      <alignment horizontal="center" vertical="top" shrinkToFit="1"/>
    </xf>
    <xf numFmtId="0" fontId="37" fillId="0" borderId="0" xfId="0" applyFont="1" applyFill="1" applyBorder="1" applyAlignment="1">
      <alignment horizontal="center" vertical="top" wrapText="1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37" fillId="0" borderId="0" xfId="0" applyFont="1" applyFill="1" applyBorder="1" applyAlignment="1">
      <alignment horizontal="center" vertical="center" wrapText="1"/>
    </xf>
    <xf numFmtId="2" fontId="38" fillId="0" borderId="0" xfId="0" applyNumberFormat="1" applyFont="1" applyFill="1" applyBorder="1" applyAlignment="1">
      <alignment horizontal="center" vertical="center" shrinkToFit="1"/>
    </xf>
    <xf numFmtId="0" fontId="39" fillId="0" borderId="0" xfId="0" applyFont="1" applyFill="1" applyBorder="1" applyAlignment="1">
      <alignment horizontal="center" vertical="center" wrapText="1"/>
    </xf>
    <xf numFmtId="0" fontId="40" fillId="0" borderId="0" xfId="0" applyFont="1" applyFill="1" applyBorder="1" applyAlignment="1">
      <alignment vertical="center" wrapText="1"/>
    </xf>
    <xf numFmtId="165" fontId="0" fillId="0" borderId="0" xfId="0" applyNumberFormat="1" applyFill="1" applyBorder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22" fillId="0" borderId="57" xfId="0" applyFon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5" borderId="2" xfId="0" applyNumberFormat="1" applyFill="1" applyBorder="1" applyAlignment="1">
      <alignment horizontal="center"/>
    </xf>
    <xf numFmtId="0" fontId="22" fillId="0" borderId="60" xfId="0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41" fillId="0" borderId="0" xfId="0" applyFont="1" applyAlignment="1">
      <alignment horizontal="center" vertical="top"/>
    </xf>
    <xf numFmtId="0" fontId="0" fillId="5" borderId="15" xfId="0" applyFill="1" applyBorder="1" applyAlignment="1">
      <alignment horizontal="left"/>
    </xf>
    <xf numFmtId="0" fontId="0" fillId="5" borderId="15" xfId="0" applyFill="1" applyBorder="1"/>
    <xf numFmtId="164" fontId="0" fillId="0" borderId="0" xfId="0" applyNumberFormat="1" applyAlignment="1">
      <alignment horizontal="left"/>
    </xf>
    <xf numFmtId="0" fontId="22" fillId="0" borderId="0" xfId="0" applyFont="1" applyAlignment="1">
      <alignment horizontal="right"/>
    </xf>
    <xf numFmtId="0" fontId="0" fillId="13" borderId="0" xfId="0" applyFill="1" applyAlignment="1">
      <alignment horizontal="center"/>
    </xf>
    <xf numFmtId="2" fontId="0" fillId="13" borderId="15" xfId="0" applyNumberFormat="1" applyFill="1" applyBorder="1" applyAlignment="1">
      <alignment horizontal="center"/>
    </xf>
    <xf numFmtId="0" fontId="0" fillId="5" borderId="16" xfId="0" applyFill="1" applyBorder="1" applyAlignment="1">
      <alignment horizontal="right"/>
    </xf>
    <xf numFmtId="164" fontId="0" fillId="5" borderId="15" xfId="0" applyNumberFormat="1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0" fontId="0" fillId="13" borderId="0" xfId="0" applyFill="1"/>
    <xf numFmtId="0" fontId="0" fillId="0" borderId="4" xfId="0" quotePrefix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45" fillId="5" borderId="4" xfId="0" applyFont="1" applyFill="1" applyBorder="1" applyAlignment="1">
      <alignment horizontal="center"/>
    </xf>
    <xf numFmtId="49" fontId="0" fillId="5" borderId="4" xfId="0" applyNumberFormat="1" applyFill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2" fontId="0" fillId="0" borderId="4" xfId="0" quotePrefix="1" applyNumberFormat="1" applyBorder="1" applyAlignment="1">
      <alignment horizontal="center"/>
    </xf>
    <xf numFmtId="0" fontId="45" fillId="0" borderId="0" xfId="0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22" fillId="0" borderId="0" xfId="0" applyFont="1"/>
    <xf numFmtId="0" fontId="0" fillId="0" borderId="0" xfId="0" applyAlignment="1">
      <alignment horizontal="center"/>
    </xf>
    <xf numFmtId="0" fontId="40" fillId="0" borderId="4" xfId="0" applyFont="1" applyFill="1" applyBorder="1" applyAlignment="1">
      <alignment horizontal="center" vertical="center" wrapText="1"/>
    </xf>
    <xf numFmtId="1" fontId="38" fillId="0" borderId="6" xfId="0" applyNumberFormat="1" applyFont="1" applyFill="1" applyBorder="1" applyAlignment="1">
      <alignment horizontal="center" vertical="center" shrinkToFit="1"/>
    </xf>
    <xf numFmtId="0" fontId="37" fillId="0" borderId="6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1" fontId="38" fillId="0" borderId="4" xfId="0" applyNumberFormat="1" applyFont="1" applyFill="1" applyBorder="1" applyAlignment="1">
      <alignment horizontal="center" vertical="center" shrinkToFit="1"/>
    </xf>
    <xf numFmtId="0" fontId="37" fillId="0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" fontId="38" fillId="5" borderId="4" xfId="0" applyNumberFormat="1" applyFont="1" applyFill="1" applyBorder="1" applyAlignment="1">
      <alignment horizontal="center" vertical="center" shrinkToFit="1"/>
    </xf>
    <xf numFmtId="0" fontId="37" fillId="5" borderId="4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2" fillId="0" borderId="4" xfId="0" applyFont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0" fontId="0" fillId="11" borderId="16" xfId="0" applyFill="1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2" fontId="0" fillId="5" borderId="57" xfId="0" applyNumberFormat="1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2" fillId="4" borderId="22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 vertical="center"/>
    </xf>
    <xf numFmtId="0" fontId="2" fillId="3" borderId="71" xfId="0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0" fillId="0" borderId="72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3" xfId="0" applyBorder="1" applyAlignment="1">
      <alignment horizontal="center" vertical="center"/>
    </xf>
    <xf numFmtId="0" fontId="2" fillId="3" borderId="70" xfId="0" applyFont="1" applyFill="1" applyBorder="1" applyAlignment="1">
      <alignment horizontal="center"/>
    </xf>
    <xf numFmtId="0" fontId="2" fillId="3" borderId="73" xfId="0" applyFont="1" applyFill="1" applyBorder="1" applyAlignment="1">
      <alignment horizontal="center" vertical="center"/>
    </xf>
    <xf numFmtId="0" fontId="2" fillId="3" borderId="72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 vertical="center"/>
    </xf>
    <xf numFmtId="2" fontId="2" fillId="4" borderId="70" xfId="0" applyNumberFormat="1" applyFont="1" applyFill="1" applyBorder="1" applyAlignment="1">
      <alignment horizontal="center"/>
    </xf>
    <xf numFmtId="0" fontId="2" fillId="4" borderId="73" xfId="0" applyFont="1" applyFill="1" applyBorder="1" applyAlignment="1">
      <alignment horizontal="center" vertical="center"/>
    </xf>
    <xf numFmtId="0" fontId="0" fillId="0" borderId="73" xfId="0" applyBorder="1" applyAlignment="1">
      <alignment horizontal="left" vertical="center"/>
    </xf>
    <xf numFmtId="0" fontId="0" fillId="0" borderId="72" xfId="0" applyBorder="1"/>
    <xf numFmtId="0" fontId="0" fillId="0" borderId="72" xfId="0" applyBorder="1" applyAlignment="1">
      <alignment horizontal="left" vertical="center"/>
    </xf>
    <xf numFmtId="0" fontId="0" fillId="0" borderId="72" xfId="0" applyFill="1" applyBorder="1"/>
    <xf numFmtId="0" fontId="0" fillId="0" borderId="24" xfId="0" applyBorder="1" applyAlignment="1">
      <alignment vertical="center"/>
    </xf>
    <xf numFmtId="0" fontId="2" fillId="3" borderId="73" xfId="0" applyFont="1" applyFill="1" applyBorder="1" applyAlignment="1">
      <alignment horizontal="left" vertical="center"/>
    </xf>
    <xf numFmtId="0" fontId="2" fillId="3" borderId="72" xfId="0" applyFont="1" applyFill="1" applyBorder="1" applyAlignment="1">
      <alignment horizontal="left" vertical="center"/>
    </xf>
    <xf numFmtId="0" fontId="2" fillId="4" borderId="15" xfId="0" applyFont="1" applyFill="1" applyBorder="1" applyAlignment="1">
      <alignment horizontal="left" vertical="center"/>
    </xf>
    <xf numFmtId="0" fontId="47" fillId="0" borderId="67" xfId="0" applyFont="1" applyBorder="1" applyAlignment="1">
      <alignment horizontal="left"/>
    </xf>
    <xf numFmtId="0" fontId="49" fillId="0" borderId="68" xfId="0" applyFont="1" applyBorder="1" applyAlignment="1">
      <alignment horizontal="left"/>
    </xf>
    <xf numFmtId="0" fontId="47" fillId="0" borderId="68" xfId="0" applyFont="1" applyBorder="1" applyAlignment="1">
      <alignment horizontal="left"/>
    </xf>
    <xf numFmtId="0" fontId="49" fillId="0" borderId="69" xfId="0" applyFont="1" applyBorder="1" applyAlignment="1">
      <alignment horizontal="left"/>
    </xf>
    <xf numFmtId="0" fontId="50" fillId="3" borderId="67" xfId="0" applyFont="1" applyFill="1" applyBorder="1" applyAlignment="1">
      <alignment horizontal="left"/>
    </xf>
    <xf numFmtId="0" fontId="50" fillId="3" borderId="68" xfId="0" applyFont="1" applyFill="1" applyBorder="1" applyAlignment="1">
      <alignment horizontal="left"/>
    </xf>
    <xf numFmtId="0" fontId="50" fillId="3" borderId="69" xfId="0" applyFont="1" applyFill="1" applyBorder="1" applyAlignment="1">
      <alignment horizontal="left"/>
    </xf>
    <xf numFmtId="0" fontId="50" fillId="4" borderId="67" xfId="0" applyFont="1" applyFill="1" applyBorder="1" applyAlignment="1">
      <alignment horizontal="left"/>
    </xf>
    <xf numFmtId="0" fontId="50" fillId="4" borderId="69" xfId="0" applyFont="1" applyFill="1" applyBorder="1" applyAlignment="1">
      <alignment horizontal="left"/>
    </xf>
    <xf numFmtId="0" fontId="47" fillId="0" borderId="70" xfId="0" applyFont="1" applyBorder="1"/>
    <xf numFmtId="0" fontId="49" fillId="0" borderId="74" xfId="0" applyFont="1" applyBorder="1"/>
    <xf numFmtId="0" fontId="47" fillId="0" borderId="74" xfId="0" applyFont="1" applyBorder="1"/>
    <xf numFmtId="0" fontId="49" fillId="0" borderId="75" xfId="0" applyFont="1" applyBorder="1"/>
    <xf numFmtId="0" fontId="50" fillId="3" borderId="70" xfId="0" applyFont="1" applyFill="1" applyBorder="1"/>
    <xf numFmtId="0" fontId="50" fillId="3" borderId="74" xfId="0" applyFont="1" applyFill="1" applyBorder="1"/>
    <xf numFmtId="0" fontId="50" fillId="3" borderId="75" xfId="0" applyFont="1" applyFill="1" applyBorder="1"/>
    <xf numFmtId="0" fontId="50" fillId="4" borderId="16" xfId="0" applyFont="1" applyFill="1" applyBorder="1" applyAlignment="1">
      <alignment horizontal="left" vertical="center"/>
    </xf>
    <xf numFmtId="0" fontId="0" fillId="0" borderId="71" xfId="0" applyFill="1" applyBorder="1" applyAlignment="1">
      <alignment horizontal="center"/>
    </xf>
    <xf numFmtId="2" fontId="2" fillId="3" borderId="22" xfId="0" applyNumberFormat="1" applyFont="1" applyFill="1" applyBorder="1" applyAlignment="1">
      <alignment horizontal="center"/>
    </xf>
    <xf numFmtId="2" fontId="2" fillId="4" borderId="16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52" fillId="12" borderId="4" xfId="0" applyFont="1" applyFill="1" applyBorder="1" applyAlignment="1">
      <alignment horizontal="center"/>
    </xf>
    <xf numFmtId="2" fontId="12" fillId="0" borderId="0" xfId="0" applyNumberFormat="1" applyFont="1" applyAlignment="1">
      <alignment horizontal="center"/>
    </xf>
    <xf numFmtId="0" fontId="52" fillId="0" borderId="4" xfId="0" applyFont="1" applyBorder="1" applyAlignment="1">
      <alignment horizontal="right"/>
    </xf>
    <xf numFmtId="0" fontId="52" fillId="0" borderId="4" xfId="0" applyFont="1" applyBorder="1"/>
    <xf numFmtId="0" fontId="52" fillId="0" borderId="4" xfId="0" applyFont="1" applyBorder="1" applyAlignment="1">
      <alignment horizontal="center"/>
    </xf>
    <xf numFmtId="0" fontId="55" fillId="12" borderId="4" xfId="0" applyFont="1" applyFill="1" applyBorder="1" applyAlignment="1">
      <alignment horizontal="center"/>
    </xf>
    <xf numFmtId="0" fontId="0" fillId="20" borderId="4" xfId="0" applyFill="1" applyBorder="1" applyAlignment="1">
      <alignment horizontal="center" vertical="center"/>
    </xf>
    <xf numFmtId="2" fontId="0" fillId="20" borderId="4" xfId="0" applyNumberFormat="1" applyFill="1" applyBorder="1" applyAlignment="1">
      <alignment horizontal="center"/>
    </xf>
    <xf numFmtId="0" fontId="0" fillId="0" borderId="77" xfId="0" applyBorder="1" applyAlignment="1">
      <alignment horizontal="center"/>
    </xf>
    <xf numFmtId="0" fontId="0" fillId="21" borderId="4" xfId="0" applyFill="1" applyBorder="1" applyAlignment="1">
      <alignment horizontal="center"/>
    </xf>
    <xf numFmtId="2" fontId="0" fillId="0" borderId="77" xfId="0" applyNumberFormat="1" applyBorder="1" applyAlignment="1">
      <alignment horizontal="center"/>
    </xf>
    <xf numFmtId="0" fontId="0" fillId="21" borderId="78" xfId="0" applyFill="1" applyBorder="1" applyAlignment="1">
      <alignment horizontal="center"/>
    </xf>
    <xf numFmtId="0" fontId="0" fillId="21" borderId="79" xfId="0" applyFill="1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2" fontId="0" fillId="0" borderId="82" xfId="0" applyNumberFormat="1" applyBorder="1" applyAlignment="1">
      <alignment horizontal="center"/>
    </xf>
    <xf numFmtId="2" fontId="0" fillId="0" borderId="83" xfId="0" applyNumberFormat="1" applyBorder="1" applyAlignment="1">
      <alignment horizontal="center"/>
    </xf>
    <xf numFmtId="0" fontId="0" fillId="21" borderId="67" xfId="0" applyFill="1" applyBorder="1" applyAlignment="1">
      <alignment horizontal="center"/>
    </xf>
    <xf numFmtId="0" fontId="0" fillId="0" borderId="68" xfId="0" applyBorder="1" applyAlignment="1">
      <alignment horizontal="center"/>
    </xf>
    <xf numFmtId="2" fontId="0" fillId="0" borderId="68" xfId="0" applyNumberFormat="1" applyBorder="1" applyAlignment="1">
      <alignment horizontal="center"/>
    </xf>
    <xf numFmtId="166" fontId="0" fillId="0" borderId="68" xfId="0" applyNumberFormat="1" applyBorder="1" applyAlignment="1">
      <alignment horizontal="center"/>
    </xf>
    <xf numFmtId="166" fontId="0" fillId="22" borderId="69" xfId="0" applyNumberFormat="1" applyFill="1" applyBorder="1" applyAlignment="1">
      <alignment horizontal="center"/>
    </xf>
    <xf numFmtId="0" fontId="0" fillId="22" borderId="60" xfId="0" applyFill="1" applyBorder="1" applyAlignment="1">
      <alignment horizontal="center"/>
    </xf>
    <xf numFmtId="0" fontId="0" fillId="21" borderId="74" xfId="0" applyFill="1" applyBorder="1" applyAlignment="1">
      <alignment horizontal="center"/>
    </xf>
    <xf numFmtId="0" fontId="0" fillId="21" borderId="75" xfId="0" applyFill="1" applyBorder="1" applyAlignment="1">
      <alignment horizontal="center"/>
    </xf>
    <xf numFmtId="0" fontId="0" fillId="21" borderId="71" xfId="0" applyFill="1" applyBorder="1" applyAlignment="1">
      <alignment horizontal="center"/>
    </xf>
    <xf numFmtId="0" fontId="0" fillId="21" borderId="70" xfId="0" applyFill="1" applyBorder="1" applyAlignment="1">
      <alignment horizontal="center"/>
    </xf>
    <xf numFmtId="0" fontId="0" fillId="21" borderId="61" xfId="0" applyFill="1" applyBorder="1" applyAlignment="1">
      <alignment horizontal="center"/>
    </xf>
    <xf numFmtId="0" fontId="0" fillId="21" borderId="85" xfId="0" applyFill="1" applyBorder="1" applyAlignment="1">
      <alignment horizontal="center"/>
    </xf>
    <xf numFmtId="2" fontId="0" fillId="0" borderId="84" xfId="0" applyNumberFormat="1" applyBorder="1" applyAlignment="1">
      <alignment horizontal="center"/>
    </xf>
    <xf numFmtId="0" fontId="0" fillId="0" borderId="0" xfId="0" applyFill="1" applyBorder="1" applyAlignment="1">
      <alignment vertical="center"/>
    </xf>
    <xf numFmtId="166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78" xfId="0" applyFont="1" applyBorder="1" applyAlignment="1">
      <alignment horizontal="center"/>
    </xf>
    <xf numFmtId="0" fontId="0" fillId="0" borderId="88" xfId="0" applyFont="1" applyBorder="1" applyAlignment="1">
      <alignment horizontal="center"/>
    </xf>
    <xf numFmtId="0" fontId="0" fillId="0" borderId="86" xfId="0" applyFont="1" applyBorder="1" applyAlignment="1">
      <alignment horizontal="center"/>
    </xf>
    <xf numFmtId="2" fontId="0" fillId="0" borderId="87" xfId="0" applyNumberFormat="1" applyBorder="1" applyAlignment="1">
      <alignment horizontal="center"/>
    </xf>
    <xf numFmtId="2" fontId="0" fillId="0" borderId="79" xfId="0" applyNumberFormat="1" applyBorder="1" applyAlignment="1">
      <alignment horizontal="center"/>
    </xf>
    <xf numFmtId="0" fontId="0" fillId="12" borderId="78" xfId="0" applyFill="1" applyBorder="1" applyAlignment="1">
      <alignment horizontal="center"/>
    </xf>
    <xf numFmtId="2" fontId="0" fillId="12" borderId="79" xfId="0" applyNumberFormat="1" applyFill="1" applyBorder="1" applyAlignment="1">
      <alignment horizontal="center"/>
    </xf>
    <xf numFmtId="0" fontId="0" fillId="12" borderId="88" xfId="0" applyFill="1" applyBorder="1" applyAlignment="1">
      <alignment horizontal="center"/>
    </xf>
    <xf numFmtId="2" fontId="0" fillId="12" borderId="82" xfId="0" applyNumberFormat="1" applyFill="1" applyBorder="1" applyAlignment="1">
      <alignment horizontal="center"/>
    </xf>
    <xf numFmtId="0" fontId="0" fillId="12" borderId="78" xfId="0" applyFill="1" applyBorder="1"/>
    <xf numFmtId="0" fontId="0" fillId="12" borderId="79" xfId="0" applyFill="1" applyBorder="1" applyAlignment="1">
      <alignment horizontal="center"/>
    </xf>
    <xf numFmtId="164" fontId="0" fillId="0" borderId="79" xfId="0" applyNumberFormat="1" applyBorder="1" applyAlignment="1">
      <alignment horizontal="center"/>
    </xf>
    <xf numFmtId="0" fontId="0" fillId="0" borderId="78" xfId="0" applyFill="1" applyBorder="1" applyAlignment="1">
      <alignment horizontal="center"/>
    </xf>
    <xf numFmtId="0" fontId="0" fillId="0" borderId="88" xfId="0" applyBorder="1" applyAlignment="1">
      <alignment horizontal="center"/>
    </xf>
    <xf numFmtId="0" fontId="0" fillId="5" borderId="8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0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16" borderId="16" xfId="0" applyFill="1" applyBorder="1" applyAlignment="1">
      <alignment horizontal="center"/>
    </xf>
    <xf numFmtId="0" fontId="0" fillId="0" borderId="86" xfId="0" applyBorder="1" applyAlignment="1">
      <alignment horizontal="right"/>
    </xf>
    <xf numFmtId="0" fontId="0" fillId="0" borderId="78" xfId="0" applyBorder="1" applyAlignment="1">
      <alignment horizontal="right"/>
    </xf>
    <xf numFmtId="0" fontId="0" fillId="0" borderId="78" xfId="0" applyFont="1" applyBorder="1" applyAlignment="1">
      <alignment horizontal="right"/>
    </xf>
    <xf numFmtId="0" fontId="0" fillId="0" borderId="88" xfId="0" applyFont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/>
    </xf>
    <xf numFmtId="0" fontId="0" fillId="0" borderId="92" xfId="0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2" fontId="0" fillId="0" borderId="78" xfId="0" applyNumberFormat="1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2" xfId="0" applyBorder="1" applyAlignment="1">
      <alignment horizontal="center"/>
    </xf>
    <xf numFmtId="2" fontId="38" fillId="0" borderId="8" xfId="0" applyNumberFormat="1" applyFont="1" applyFill="1" applyBorder="1" applyAlignment="1">
      <alignment horizontal="center" vertical="center" shrinkToFit="1"/>
    </xf>
    <xf numFmtId="2" fontId="38" fillId="0" borderId="2" xfId="0" applyNumberFormat="1" applyFont="1" applyFill="1" applyBorder="1" applyAlignment="1">
      <alignment horizontal="center" vertical="center" shrinkToFit="1"/>
    </xf>
    <xf numFmtId="0" fontId="39" fillId="0" borderId="2" xfId="0" applyFont="1" applyFill="1" applyBorder="1" applyAlignment="1">
      <alignment horizontal="center" vertical="center"/>
    </xf>
    <xf numFmtId="2" fontId="38" fillId="5" borderId="2" xfId="0" applyNumberFormat="1" applyFont="1" applyFill="1" applyBorder="1" applyAlignment="1">
      <alignment horizontal="center" vertical="center" shrinkToFit="1"/>
    </xf>
    <xf numFmtId="0" fontId="40" fillId="0" borderId="2" xfId="0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2" fontId="0" fillId="0" borderId="86" xfId="0" applyNumberFormat="1" applyBorder="1" applyAlignment="1">
      <alignment horizontal="center"/>
    </xf>
    <xf numFmtId="2" fontId="0" fillId="0" borderId="88" xfId="0" applyNumberFormat="1" applyBorder="1" applyAlignment="1">
      <alignment horizontal="center"/>
    </xf>
    <xf numFmtId="0" fontId="0" fillId="21" borderId="57" xfId="0" applyFill="1" applyBorder="1" applyAlignment="1">
      <alignment horizontal="center"/>
    </xf>
    <xf numFmtId="0" fontId="37" fillId="21" borderId="57" xfId="0" applyFont="1" applyFill="1" applyBorder="1" applyAlignment="1">
      <alignment horizontal="center" vertical="center" wrapText="1"/>
    </xf>
    <xf numFmtId="0" fontId="0" fillId="23" borderId="7" xfId="0" applyFont="1" applyFill="1" applyBorder="1" applyAlignment="1">
      <alignment horizontal="center" vertical="center"/>
    </xf>
    <xf numFmtId="0" fontId="0" fillId="22" borderId="67" xfId="0" applyFill="1" applyBorder="1" applyAlignment="1">
      <alignment horizontal="center"/>
    </xf>
    <xf numFmtId="0" fontId="0" fillId="22" borderId="68" xfId="0" applyFill="1" applyBorder="1" applyAlignment="1">
      <alignment horizontal="center"/>
    </xf>
    <xf numFmtId="0" fontId="0" fillId="22" borderId="69" xfId="0" applyFill="1" applyBorder="1" applyAlignment="1">
      <alignment horizontal="center"/>
    </xf>
    <xf numFmtId="1" fontId="38" fillId="22" borderId="13" xfId="0" applyNumberFormat="1" applyFont="1" applyFill="1" applyBorder="1" applyAlignment="1">
      <alignment horizontal="center" vertical="top" shrinkToFit="1"/>
    </xf>
    <xf numFmtId="0" fontId="21" fillId="12" borderId="16" xfId="0" applyFont="1" applyFill="1" applyBorder="1" applyAlignment="1">
      <alignment horizontal="center"/>
    </xf>
    <xf numFmtId="0" fontId="21" fillId="12" borderId="57" xfId="0" applyFont="1" applyFill="1" applyBorder="1" applyAlignment="1">
      <alignment horizontal="center"/>
    </xf>
    <xf numFmtId="0" fontId="0" fillId="12" borderId="67" xfId="0" applyFill="1" applyBorder="1" applyAlignment="1">
      <alignment horizontal="left"/>
    </xf>
    <xf numFmtId="0" fontId="0" fillId="12" borderId="68" xfId="0" applyFill="1" applyBorder="1" applyAlignment="1">
      <alignment horizontal="left"/>
    </xf>
    <xf numFmtId="0" fontId="0" fillId="12" borderId="68" xfId="0" applyFont="1" applyFill="1" applyBorder="1" applyAlignment="1">
      <alignment horizontal="left"/>
    </xf>
    <xf numFmtId="0" fontId="22" fillId="12" borderId="68" xfId="0" applyFont="1" applyFill="1" applyBorder="1" applyAlignment="1">
      <alignment horizontal="left"/>
    </xf>
    <xf numFmtId="0" fontId="0" fillId="12" borderId="69" xfId="0" applyFill="1" applyBorder="1" applyAlignment="1">
      <alignment horizontal="left" vertical="top" wrapText="1"/>
    </xf>
    <xf numFmtId="0" fontId="0" fillId="0" borderId="74" xfId="0" applyBorder="1" applyAlignment="1">
      <alignment horizontal="center"/>
    </xf>
    <xf numFmtId="0" fontId="0" fillId="0" borderId="89" xfId="0" applyBorder="1" applyAlignment="1">
      <alignment horizontal="center"/>
    </xf>
    <xf numFmtId="0" fontId="21" fillId="11" borderId="16" xfId="0" applyFont="1" applyFill="1" applyBorder="1" applyAlignment="1">
      <alignment horizontal="center"/>
    </xf>
    <xf numFmtId="0" fontId="21" fillId="11" borderId="15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35" fillId="0" borderId="0" xfId="0" applyFont="1" applyFill="1" applyBorder="1" applyAlignment="1"/>
    <xf numFmtId="164" fontId="0" fillId="0" borderId="0" xfId="0" applyNumberFormat="1" applyFill="1" applyBorder="1" applyAlignment="1">
      <alignment horizontal="center"/>
    </xf>
    <xf numFmtId="2" fontId="0" fillId="0" borderId="74" xfId="0" applyNumberFormat="1" applyBorder="1" applyAlignment="1">
      <alignment horizontal="center"/>
    </xf>
    <xf numFmtId="2" fontId="0" fillId="22" borderId="91" xfId="0" applyNumberFormat="1" applyFill="1" applyBorder="1" applyAlignment="1">
      <alignment horizontal="center"/>
    </xf>
    <xf numFmtId="2" fontId="0" fillId="0" borderId="89" xfId="0" applyNumberFormat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1" fontId="38" fillId="21" borderId="57" xfId="0" applyNumberFormat="1" applyFont="1" applyFill="1" applyBorder="1" applyAlignment="1">
      <alignment horizontal="center" vertical="top" shrinkToFit="1"/>
    </xf>
    <xf numFmtId="0" fontId="0" fillId="21" borderId="68" xfId="0" applyFill="1" applyBorder="1" applyAlignment="1">
      <alignment horizontal="center"/>
    </xf>
    <xf numFmtId="0" fontId="0" fillId="21" borderId="60" xfId="0" applyFill="1" applyBorder="1" applyAlignment="1">
      <alignment horizontal="center"/>
    </xf>
    <xf numFmtId="2" fontId="0" fillId="22" borderId="57" xfId="0" applyNumberFormat="1" applyFill="1" applyBorder="1" applyAlignment="1">
      <alignment horizontal="center"/>
    </xf>
    <xf numFmtId="0" fontId="21" fillId="22" borderId="15" xfId="0" applyFont="1" applyFill="1" applyBorder="1" applyAlignment="1"/>
    <xf numFmtId="0" fontId="21" fillId="22" borderId="57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2" fontId="0" fillId="0" borderId="4" xfId="0" applyNumberFormat="1" applyBorder="1" applyAlignment="1">
      <alignment horizontal="left"/>
    </xf>
    <xf numFmtId="0" fontId="22" fillId="0" borderId="4" xfId="0" applyFont="1" applyBorder="1" applyAlignment="1">
      <alignment horizontal="left"/>
    </xf>
    <xf numFmtId="1" fontId="0" fillId="0" borderId="4" xfId="0" applyNumberFormat="1" applyBorder="1" applyAlignment="1">
      <alignment horizontal="left"/>
    </xf>
    <xf numFmtId="0" fontId="0" fillId="0" borderId="4" xfId="0" applyBorder="1"/>
    <xf numFmtId="0" fontId="0" fillId="0" borderId="16" xfId="0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45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49" fontId="0" fillId="12" borderId="4" xfId="0" applyNumberFormat="1" applyFill="1" applyBorder="1" applyAlignment="1">
      <alignment horizontal="center"/>
    </xf>
    <xf numFmtId="2" fontId="0" fillId="21" borderId="4" xfId="0" applyNumberFormat="1" applyFill="1" applyBorder="1" applyAlignment="1">
      <alignment horizontal="center"/>
    </xf>
    <xf numFmtId="164" fontId="0" fillId="21" borderId="4" xfId="0" applyNumberFormat="1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166" fontId="0" fillId="11" borderId="4" xfId="0" applyNumberFormat="1" applyFill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49" fontId="21" fillId="25" borderId="4" xfId="0" applyNumberFormat="1" applyFont="1" applyFill="1" applyBorder="1" applyAlignment="1">
      <alignment horizontal="center"/>
    </xf>
    <xf numFmtId="0" fontId="21" fillId="25" borderId="4" xfId="0" applyFont="1" applyFill="1" applyBorder="1" applyAlignment="1">
      <alignment horizontal="center"/>
    </xf>
    <xf numFmtId="49" fontId="0" fillId="25" borderId="4" xfId="0" applyNumberFormat="1" applyFill="1" applyBorder="1" applyAlignment="1">
      <alignment horizontal="center"/>
    </xf>
    <xf numFmtId="0" fontId="0" fillId="25" borderId="4" xfId="0" applyFill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57" fillId="25" borderId="4" xfId="0" applyFont="1" applyFill="1" applyBorder="1" applyAlignment="1">
      <alignment horizontal="center"/>
    </xf>
    <xf numFmtId="0" fontId="0" fillId="0" borderId="95" xfId="0" applyFill="1" applyBorder="1" applyAlignment="1">
      <alignment horizontal="center"/>
    </xf>
    <xf numFmtId="0" fontId="57" fillId="0" borderId="4" xfId="0" applyFont="1" applyFill="1" applyBorder="1" applyAlignment="1">
      <alignment horizontal="center"/>
    </xf>
    <xf numFmtId="2" fontId="0" fillId="0" borderId="4" xfId="1" applyNumberFormat="1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0" fillId="0" borderId="84" xfId="0" applyBorder="1"/>
    <xf numFmtId="0" fontId="59" fillId="21" borderId="77" xfId="0" applyFont="1" applyFill="1" applyBorder="1" applyAlignment="1"/>
    <xf numFmtId="0" fontId="59" fillId="21" borderId="2" xfId="0" applyFont="1" applyFill="1" applyBorder="1" applyAlignment="1"/>
    <xf numFmtId="0" fontId="0" fillId="21" borderId="77" xfId="0" applyFill="1" applyBorder="1" applyAlignment="1"/>
    <xf numFmtId="0" fontId="0" fillId="21" borderId="2" xfId="0" applyFill="1" applyBorder="1" applyAlignment="1"/>
    <xf numFmtId="43" fontId="0" fillId="0" borderId="0" xfId="1" applyFont="1"/>
    <xf numFmtId="168" fontId="0" fillId="0" borderId="0" xfId="1" applyNumberFormat="1" applyFont="1"/>
    <xf numFmtId="0" fontId="0" fillId="5" borderId="4" xfId="0" applyFill="1" applyBorder="1" applyAlignment="1"/>
    <xf numFmtId="2" fontId="0" fillId="21" borderId="4" xfId="1" applyNumberFormat="1" applyFont="1" applyFill="1" applyBorder="1" applyAlignment="1">
      <alignment horizontal="center"/>
    </xf>
    <xf numFmtId="2" fontId="0" fillId="21" borderId="84" xfId="0" applyNumberFormat="1" applyFill="1" applyBorder="1" applyAlignment="1">
      <alignment horizontal="center"/>
    </xf>
    <xf numFmtId="2" fontId="0" fillId="21" borderId="6" xfId="0" applyNumberFormat="1" applyFill="1" applyBorder="1" applyAlignment="1">
      <alignment horizontal="center"/>
    </xf>
    <xf numFmtId="2" fontId="0" fillId="21" borderId="6" xfId="1" applyNumberFormat="1" applyFont="1" applyFill="1" applyBorder="1" applyAlignment="1">
      <alignment horizontal="center"/>
    </xf>
    <xf numFmtId="2" fontId="0" fillId="21" borderId="84" xfId="1" applyNumberFormat="1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 vertical="top" wrapText="1"/>
    </xf>
    <xf numFmtId="0" fontId="24" fillId="0" borderId="0" xfId="0" applyFont="1" applyFill="1" applyBorder="1" applyAlignment="1">
      <alignment horizontal="center" wrapText="1"/>
    </xf>
    <xf numFmtId="0" fontId="62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center"/>
    </xf>
    <xf numFmtId="0" fontId="49" fillId="0" borderId="0" xfId="0" applyFont="1"/>
    <xf numFmtId="0" fontId="52" fillId="0" borderId="0" xfId="0" applyFont="1" applyAlignment="1">
      <alignment horizontal="center"/>
    </xf>
    <xf numFmtId="0" fontId="24" fillId="0" borderId="23" xfId="0" applyFont="1" applyFill="1" applyBorder="1" applyAlignment="1">
      <alignment horizontal="center" vertical="top" wrapText="1"/>
    </xf>
    <xf numFmtId="0" fontId="24" fillId="0" borderId="0" xfId="0" applyFont="1" applyFill="1" applyBorder="1" applyAlignment="1">
      <alignment horizontal="center" vertical="top" wrapText="1"/>
    </xf>
    <xf numFmtId="1" fontId="25" fillId="0" borderId="0" xfId="0" applyNumberFormat="1" applyFont="1" applyFill="1" applyBorder="1" applyAlignment="1">
      <alignment horizontal="center" vertical="top" shrinkToFit="1"/>
    </xf>
    <xf numFmtId="2" fontId="25" fillId="0" borderId="0" xfId="0" applyNumberFormat="1" applyFont="1" applyFill="1" applyBorder="1" applyAlignment="1">
      <alignment horizontal="center" vertical="top" shrinkToFit="1"/>
    </xf>
    <xf numFmtId="0" fontId="49" fillId="0" borderId="0" xfId="0" applyFont="1" applyFill="1" applyBorder="1" applyAlignment="1">
      <alignment horizontal="center" vertical="center"/>
    </xf>
    <xf numFmtId="0" fontId="52" fillId="21" borderId="4" xfId="0" applyFont="1" applyFill="1" applyBorder="1" applyAlignment="1">
      <alignment horizontal="center" vertical="center"/>
    </xf>
    <xf numFmtId="0" fontId="31" fillId="21" borderId="4" xfId="0" applyFont="1" applyFill="1" applyBorder="1" applyAlignment="1">
      <alignment horizontal="center" wrapText="1"/>
    </xf>
    <xf numFmtId="0" fontId="65" fillId="21" borderId="4" xfId="0" applyFont="1" applyFill="1" applyBorder="1" applyAlignment="1">
      <alignment horizontal="center" vertical="center"/>
    </xf>
    <xf numFmtId="0" fontId="49" fillId="21" borderId="4" xfId="0" applyFont="1" applyFill="1" applyBorder="1" applyAlignment="1">
      <alignment horizontal="center"/>
    </xf>
    <xf numFmtId="0" fontId="52" fillId="21" borderId="4" xfId="0" applyFont="1" applyFill="1" applyBorder="1" applyAlignment="1">
      <alignment horizontal="center"/>
    </xf>
    <xf numFmtId="0" fontId="31" fillId="21" borderId="4" xfId="0" applyFont="1" applyFill="1" applyBorder="1" applyAlignment="1">
      <alignment horizontal="center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0" fillId="21" borderId="7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52" fillId="0" borderId="0" xfId="0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11" borderId="4" xfId="0" applyFill="1" applyBorder="1"/>
    <xf numFmtId="1" fontId="0" fillId="0" borderId="4" xfId="0" applyNumberFormat="1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49" fillId="21" borderId="76" xfId="0" applyFont="1" applyFill="1" applyBorder="1" applyAlignment="1">
      <alignment horizontal="center"/>
    </xf>
    <xf numFmtId="0" fontId="52" fillId="21" borderId="76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52" fillId="0" borderId="4" xfId="0" applyFont="1" applyFill="1" applyBorder="1" applyAlignment="1">
      <alignment horizontal="center"/>
    </xf>
    <xf numFmtId="2" fontId="52" fillId="0" borderId="4" xfId="0" applyNumberFormat="1" applyFont="1" applyFill="1" applyBorder="1" applyAlignment="1">
      <alignment horizontal="center"/>
    </xf>
    <xf numFmtId="0" fontId="28" fillId="0" borderId="76" xfId="0" applyFont="1" applyFill="1" applyBorder="1" applyAlignment="1">
      <alignment vertical="center"/>
    </xf>
    <xf numFmtId="0" fontId="52" fillId="0" borderId="0" xfId="0" applyFont="1" applyFill="1" applyBorder="1" applyAlignment="1">
      <alignment horizontal="center"/>
    </xf>
    <xf numFmtId="0" fontId="28" fillId="0" borderId="0" xfId="0" applyFont="1" applyFill="1" applyBorder="1" applyAlignment="1">
      <alignment vertical="center"/>
    </xf>
    <xf numFmtId="0" fontId="28" fillId="0" borderId="96" xfId="0" applyFont="1" applyFill="1" applyBorder="1" applyAlignment="1">
      <alignment vertical="center"/>
    </xf>
    <xf numFmtId="0" fontId="52" fillId="21" borderId="77" xfId="0" applyFont="1" applyFill="1" applyBorder="1" applyAlignment="1">
      <alignment horizontal="center" vertical="center"/>
    </xf>
    <xf numFmtId="0" fontId="0" fillId="0" borderId="77" xfId="0" applyFill="1" applyBorder="1" applyAlignment="1">
      <alignment horizontal="center"/>
    </xf>
    <xf numFmtId="0" fontId="49" fillId="21" borderId="77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2" fontId="25" fillId="0" borderId="0" xfId="0" applyNumberFormat="1" applyFont="1" applyFill="1" applyBorder="1" applyAlignment="1">
      <alignment horizontal="center" vertical="top" shrinkToFit="1"/>
    </xf>
    <xf numFmtId="0" fontId="24" fillId="0" borderId="0" xfId="0" applyFont="1" applyFill="1" applyBorder="1" applyAlignment="1">
      <alignment horizontal="center" vertical="top" wrapText="1"/>
    </xf>
    <xf numFmtId="1" fontId="25" fillId="0" borderId="0" xfId="0" applyNumberFormat="1" applyFont="1" applyFill="1" applyBorder="1" applyAlignment="1">
      <alignment horizontal="center" vertical="top" shrinkToFit="1"/>
    </xf>
    <xf numFmtId="0" fontId="24" fillId="0" borderId="23" xfId="0" applyFont="1" applyFill="1" applyBorder="1" applyAlignment="1">
      <alignment horizontal="center" vertical="top" wrapText="1"/>
    </xf>
    <xf numFmtId="0" fontId="49" fillId="0" borderId="0" xfId="0" applyFont="1" applyFill="1" applyBorder="1" applyAlignment="1">
      <alignment horizontal="center" vertical="center"/>
    </xf>
    <xf numFmtId="0" fontId="0" fillId="21" borderId="7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25" fillId="0" borderId="0" xfId="0" applyNumberFormat="1" applyFont="1" applyFill="1" applyBorder="1" applyAlignment="1">
      <alignment horizontal="center" vertical="top" shrinkToFit="1"/>
    </xf>
    <xf numFmtId="0" fontId="24" fillId="0" borderId="0" xfId="0" applyFont="1" applyFill="1" applyBorder="1" applyAlignment="1">
      <alignment horizontal="center" vertical="top" wrapText="1"/>
    </xf>
    <xf numFmtId="0" fontId="31" fillId="0" borderId="0" xfId="0" applyFont="1" applyFill="1" applyBorder="1" applyAlignment="1">
      <alignment horizontal="center" vertical="top" wrapText="1"/>
    </xf>
    <xf numFmtId="1" fontId="32" fillId="0" borderId="0" xfId="0" applyNumberFormat="1" applyFont="1" applyFill="1" applyBorder="1" applyAlignment="1">
      <alignment horizontal="center" vertical="top" shrinkToFit="1"/>
    </xf>
    <xf numFmtId="1" fontId="32" fillId="0" borderId="23" xfId="0" applyNumberFormat="1" applyFont="1" applyFill="1" applyBorder="1" applyAlignment="1">
      <alignment horizontal="center" vertical="top" shrinkToFit="1"/>
    </xf>
    <xf numFmtId="0" fontId="0" fillId="11" borderId="16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26" borderId="82" xfId="0" applyFill="1" applyBorder="1" applyAlignment="1">
      <alignment horizontal="center"/>
    </xf>
    <xf numFmtId="0" fontId="8" fillId="2" borderId="13" xfId="0" applyFont="1" applyFill="1" applyBorder="1" applyAlignment="1">
      <alignment horizontal="center" vertical="top" wrapText="1"/>
    </xf>
    <xf numFmtId="0" fontId="8" fillId="2" borderId="90" xfId="0" applyFont="1" applyFill="1" applyBorder="1" applyAlignment="1">
      <alignment horizontal="center" vertical="top"/>
    </xf>
    <xf numFmtId="0" fontId="8" fillId="2" borderId="91" xfId="0" applyFont="1" applyFill="1" applyBorder="1" applyAlignment="1">
      <alignment horizontal="center" vertical="top"/>
    </xf>
    <xf numFmtId="0" fontId="2" fillId="2" borderId="64" xfId="0" applyFont="1" applyFill="1" applyBorder="1" applyAlignment="1">
      <alignment horizontal="center"/>
    </xf>
    <xf numFmtId="0" fontId="2" fillId="2" borderId="65" xfId="0" applyFont="1" applyFill="1" applyBorder="1" applyAlignment="1">
      <alignment horizontal="center"/>
    </xf>
    <xf numFmtId="0" fontId="2" fillId="2" borderId="66" xfId="0" applyFont="1" applyFill="1" applyBorder="1" applyAlignment="1">
      <alignment horizontal="center"/>
    </xf>
    <xf numFmtId="0" fontId="8" fillId="2" borderId="61" xfId="0" applyFont="1" applyFill="1" applyBorder="1" applyAlignment="1">
      <alignment horizontal="center" vertical="top" wrapText="1"/>
    </xf>
    <xf numFmtId="0" fontId="8" fillId="2" borderId="62" xfId="0" applyFont="1" applyFill="1" applyBorder="1" applyAlignment="1">
      <alignment horizontal="center" vertical="top"/>
    </xf>
    <xf numFmtId="0" fontId="8" fillId="2" borderId="63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55" fillId="12" borderId="4" xfId="0" applyFont="1" applyFill="1" applyBorder="1" applyAlignment="1">
      <alignment horizontal="center"/>
    </xf>
    <xf numFmtId="0" fontId="9" fillId="6" borderId="45" xfId="0" applyFont="1" applyFill="1" applyBorder="1" applyAlignment="1">
      <alignment horizontal="center" vertical="center"/>
    </xf>
    <xf numFmtId="0" fontId="9" fillId="6" borderId="46" xfId="0" applyFont="1" applyFill="1" applyBorder="1" applyAlignment="1">
      <alignment horizontal="center" vertical="center"/>
    </xf>
    <xf numFmtId="0" fontId="9" fillId="6" borderId="47" xfId="0" applyFont="1" applyFill="1" applyBorder="1" applyAlignment="1">
      <alignment horizontal="center" vertical="center"/>
    </xf>
    <xf numFmtId="0" fontId="10" fillId="8" borderId="38" xfId="0" applyFont="1" applyFill="1" applyBorder="1" applyAlignment="1">
      <alignment horizontal="center" vertical="center"/>
    </xf>
    <xf numFmtId="0" fontId="10" fillId="8" borderId="36" xfId="0" applyFont="1" applyFill="1" applyBorder="1" applyAlignment="1">
      <alignment horizontal="center" vertical="center"/>
    </xf>
    <xf numFmtId="0" fontId="10" fillId="8" borderId="37" xfId="0" applyFont="1" applyFill="1" applyBorder="1" applyAlignment="1">
      <alignment horizontal="center" vertical="center"/>
    </xf>
    <xf numFmtId="0" fontId="11" fillId="6" borderId="38" xfId="0" applyFont="1" applyFill="1" applyBorder="1" applyAlignment="1">
      <alignment horizontal="center" vertical="center"/>
    </xf>
    <xf numFmtId="0" fontId="11" fillId="6" borderId="36" xfId="0" applyFont="1" applyFill="1" applyBorder="1" applyAlignment="1">
      <alignment horizontal="center" vertical="center"/>
    </xf>
    <xf numFmtId="0" fontId="11" fillId="6" borderId="37" xfId="0" applyFont="1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10" fillId="0" borderId="38" xfId="0" applyFont="1" applyFill="1" applyBorder="1" applyAlignment="1">
      <alignment horizontal="center" vertical="center"/>
    </xf>
    <xf numFmtId="0" fontId="10" fillId="0" borderId="36" xfId="0" applyFont="1" applyFill="1" applyBorder="1" applyAlignment="1">
      <alignment horizontal="center" vertical="center"/>
    </xf>
    <xf numFmtId="0" fontId="10" fillId="0" borderId="37" xfId="0" applyFont="1" applyFill="1" applyBorder="1" applyAlignment="1">
      <alignment horizontal="center" vertical="center"/>
    </xf>
    <xf numFmtId="0" fontId="10" fillId="8" borderId="29" xfId="0" applyFont="1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12" fillId="7" borderId="32" xfId="0" applyFont="1" applyFill="1" applyBorder="1" applyAlignment="1">
      <alignment horizontal="center" vertical="center"/>
    </xf>
    <xf numFmtId="0" fontId="12" fillId="7" borderId="33" xfId="0" applyFont="1" applyFill="1" applyBorder="1" applyAlignment="1">
      <alignment horizontal="center" vertical="center"/>
    </xf>
    <xf numFmtId="0" fontId="12" fillId="7" borderId="29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center" vertical="center"/>
    </xf>
    <xf numFmtId="0" fontId="12" fillId="9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21" borderId="20" xfId="0" applyFill="1" applyBorder="1" applyAlignment="1">
      <alignment horizontal="center" vertical="center"/>
    </xf>
    <xf numFmtId="0" fontId="0" fillId="21" borderId="0" xfId="0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0" fontId="0" fillId="21" borderId="71" xfId="0" applyFill="1" applyBorder="1" applyAlignment="1">
      <alignment horizontal="center" vertical="center"/>
    </xf>
    <xf numFmtId="0" fontId="0" fillId="21" borderId="7" xfId="0" applyFill="1" applyBorder="1" applyAlignment="1">
      <alignment horizontal="center" vertical="center"/>
    </xf>
    <xf numFmtId="0" fontId="0" fillId="21" borderId="72" xfId="0" applyFill="1" applyBorder="1" applyAlignment="1">
      <alignment horizontal="center" vertical="center"/>
    </xf>
    <xf numFmtId="0" fontId="0" fillId="21" borderId="75" xfId="0" applyFill="1" applyBorder="1" applyAlignment="1">
      <alignment horizontal="center" vertical="center"/>
    </xf>
    <xf numFmtId="0" fontId="0" fillId="21" borderId="80" xfId="0" applyFill="1" applyBorder="1" applyAlignment="1">
      <alignment horizontal="center" vertical="center"/>
    </xf>
    <xf numFmtId="0" fontId="0" fillId="21" borderId="81" xfId="0" applyFill="1" applyBorder="1" applyAlignment="1">
      <alignment horizontal="center" vertical="center"/>
    </xf>
    <xf numFmtId="2" fontId="0" fillId="7" borderId="16" xfId="0" applyNumberFormat="1" applyFill="1" applyBorder="1" applyAlignment="1">
      <alignment horizontal="center"/>
    </xf>
    <xf numFmtId="2" fontId="0" fillId="7" borderId="15" xfId="0" applyNumberForma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21" borderId="74" xfId="0" applyFill="1" applyBorder="1" applyAlignment="1">
      <alignment horizontal="center"/>
    </xf>
    <xf numFmtId="0" fontId="0" fillId="21" borderId="76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21" borderId="17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0" fontId="0" fillId="21" borderId="19" xfId="0" applyFill="1" applyBorder="1" applyAlignment="1">
      <alignment horizontal="center" vertical="center"/>
    </xf>
    <xf numFmtId="1" fontId="0" fillId="5" borderId="19" xfId="0" applyNumberFormat="1" applyFill="1" applyBorder="1" applyAlignment="1">
      <alignment horizontal="center" vertical="center"/>
    </xf>
    <xf numFmtId="1" fontId="0" fillId="5" borderId="21" xfId="0" applyNumberFormat="1" applyFill="1" applyBorder="1" applyAlignment="1">
      <alignment horizontal="center" vertical="center"/>
    </xf>
    <xf numFmtId="1" fontId="0" fillId="5" borderId="24" xfId="0" applyNumberFormat="1" applyFill="1" applyBorder="1" applyAlignment="1">
      <alignment horizontal="center" vertical="center"/>
    </xf>
    <xf numFmtId="1" fontId="0" fillId="13" borderId="19" xfId="0" applyNumberFormat="1" applyFill="1" applyBorder="1" applyAlignment="1">
      <alignment horizontal="center" vertical="center"/>
    </xf>
    <xf numFmtId="1" fontId="0" fillId="13" borderId="21" xfId="0" applyNumberFormat="1" applyFill="1" applyBorder="1" applyAlignment="1">
      <alignment horizontal="center" vertical="center"/>
    </xf>
    <xf numFmtId="1" fontId="0" fillId="13" borderId="24" xfId="0" applyNumberFormat="1" applyFill="1" applyBorder="1" applyAlignment="1">
      <alignment horizontal="center" vertical="center"/>
    </xf>
    <xf numFmtId="1" fontId="0" fillId="5" borderId="58" xfId="0" applyNumberFormat="1" applyFill="1" applyBorder="1" applyAlignment="1">
      <alignment horizontal="center" vertical="center"/>
    </xf>
    <xf numFmtId="1" fontId="0" fillId="5" borderId="59" xfId="0" applyNumberFormat="1" applyFill="1" applyBorder="1" applyAlignment="1">
      <alignment horizontal="center" vertical="center"/>
    </xf>
    <xf numFmtId="1" fontId="0" fillId="5" borderId="60" xfId="0" applyNumberFormat="1" applyFill="1" applyBorder="1" applyAlignment="1">
      <alignment horizontal="center" vertical="center"/>
    </xf>
    <xf numFmtId="1" fontId="0" fillId="13" borderId="18" xfId="0" applyNumberFormat="1" applyFill="1" applyBorder="1" applyAlignment="1">
      <alignment horizontal="center" vertical="center"/>
    </xf>
    <xf numFmtId="1" fontId="0" fillId="13" borderId="0" xfId="0" applyNumberFormat="1" applyFill="1" applyBorder="1" applyAlignment="1">
      <alignment horizontal="center" vertical="center"/>
    </xf>
    <xf numFmtId="2" fontId="25" fillId="0" borderId="0" xfId="0" applyNumberFormat="1" applyFont="1" applyFill="1" applyBorder="1" applyAlignment="1">
      <alignment horizontal="center" vertical="top" shrinkToFit="1"/>
    </xf>
    <xf numFmtId="0" fontId="24" fillId="0" borderId="0" xfId="0" quotePrefix="1" applyFont="1" applyFill="1" applyBorder="1" applyAlignment="1">
      <alignment horizontal="center" vertical="top" wrapText="1"/>
    </xf>
    <xf numFmtId="0" fontId="24" fillId="0" borderId="0" xfId="0" applyFont="1" applyFill="1" applyBorder="1" applyAlignment="1">
      <alignment horizontal="center" vertical="top" wrapText="1"/>
    </xf>
    <xf numFmtId="1" fontId="25" fillId="0" borderId="0" xfId="0" applyNumberFormat="1" applyFont="1" applyFill="1" applyBorder="1" applyAlignment="1">
      <alignment horizontal="center" vertical="top" shrinkToFit="1"/>
    </xf>
    <xf numFmtId="0" fontId="24" fillId="0" borderId="23" xfId="0" applyFont="1" applyFill="1" applyBorder="1" applyAlignment="1">
      <alignment horizontal="center" vertical="top" wrapText="1"/>
    </xf>
    <xf numFmtId="1" fontId="25" fillId="0" borderId="23" xfId="0" applyNumberFormat="1" applyFont="1" applyFill="1" applyBorder="1" applyAlignment="1">
      <alignment horizontal="center" vertical="top" shrinkToFit="1"/>
    </xf>
    <xf numFmtId="0" fontId="28" fillId="11" borderId="17" xfId="0" applyFont="1" applyFill="1" applyBorder="1" applyAlignment="1">
      <alignment horizontal="center" vertical="center"/>
    </xf>
    <xf numFmtId="0" fontId="28" fillId="11" borderId="18" xfId="0" applyFont="1" applyFill="1" applyBorder="1" applyAlignment="1">
      <alignment horizontal="center" vertical="center"/>
    </xf>
    <xf numFmtId="0" fontId="28" fillId="11" borderId="19" xfId="0" applyFont="1" applyFill="1" applyBorder="1" applyAlignment="1">
      <alignment horizontal="center" vertical="center"/>
    </xf>
    <xf numFmtId="0" fontId="28" fillId="11" borderId="22" xfId="0" applyFont="1" applyFill="1" applyBorder="1" applyAlignment="1">
      <alignment horizontal="center" vertical="center"/>
    </xf>
    <xf numFmtId="0" fontId="28" fillId="11" borderId="23" xfId="0" applyFont="1" applyFill="1" applyBorder="1" applyAlignment="1">
      <alignment horizontal="center" vertical="center"/>
    </xf>
    <xf numFmtId="0" fontId="28" fillId="11" borderId="24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left" vertical="top" wrapText="1" indent="1"/>
    </xf>
    <xf numFmtId="0" fontId="31" fillId="0" borderId="0" xfId="0" applyFont="1" applyFill="1" applyBorder="1" applyAlignment="1">
      <alignment horizontal="left" vertical="top" wrapText="1" indent="1"/>
    </xf>
    <xf numFmtId="0" fontId="31" fillId="0" borderId="0" xfId="0" applyFont="1" applyFill="1" applyBorder="1" applyAlignment="1">
      <alignment horizontal="left" vertical="top" wrapText="1"/>
    </xf>
    <xf numFmtId="0" fontId="31" fillId="0" borderId="0" xfId="0" applyFont="1" applyFill="1" applyBorder="1" applyAlignment="1">
      <alignment horizontal="center" vertical="top" wrapText="1"/>
    </xf>
    <xf numFmtId="0" fontId="31" fillId="0" borderId="21" xfId="0" applyFont="1" applyFill="1" applyBorder="1" applyAlignment="1">
      <alignment horizontal="left" vertical="top" wrapText="1"/>
    </xf>
    <xf numFmtId="0" fontId="23" fillId="0" borderId="17" xfId="0" applyFont="1" applyFill="1" applyBorder="1" applyAlignment="1">
      <alignment horizontal="center" vertical="top" wrapText="1"/>
    </xf>
    <xf numFmtId="0" fontId="23" fillId="0" borderId="18" xfId="0" applyFont="1" applyFill="1" applyBorder="1" applyAlignment="1">
      <alignment horizontal="center" vertical="top" wrapText="1"/>
    </xf>
    <xf numFmtId="0" fontId="23" fillId="0" borderId="55" xfId="0" applyFont="1" applyFill="1" applyBorder="1" applyAlignment="1">
      <alignment horizontal="center" vertical="top" wrapText="1"/>
    </xf>
    <xf numFmtId="0" fontId="23" fillId="0" borderId="19" xfId="0" applyFont="1" applyFill="1" applyBorder="1" applyAlignment="1">
      <alignment horizontal="center" vertical="top" wrapText="1"/>
    </xf>
    <xf numFmtId="0" fontId="24" fillId="0" borderId="20" xfId="0" applyFont="1" applyFill="1" applyBorder="1" applyAlignment="1">
      <alignment horizontal="center" vertical="top" wrapText="1"/>
    </xf>
    <xf numFmtId="0" fontId="24" fillId="0" borderId="21" xfId="0" applyFont="1" applyFill="1" applyBorder="1" applyAlignment="1">
      <alignment horizontal="center" vertical="top" wrapText="1"/>
    </xf>
    <xf numFmtId="0" fontId="31" fillId="0" borderId="20" xfId="0" applyFont="1" applyFill="1" applyBorder="1" applyAlignment="1">
      <alignment horizontal="left" vertical="top" wrapText="1" indent="2"/>
    </xf>
    <xf numFmtId="0" fontId="31" fillId="0" borderId="0" xfId="0" applyFont="1" applyFill="1" applyBorder="1" applyAlignment="1">
      <alignment horizontal="left" vertical="top" wrapText="1" indent="2"/>
    </xf>
    <xf numFmtId="0" fontId="31" fillId="0" borderId="21" xfId="0" applyFont="1" applyFill="1" applyBorder="1" applyAlignment="1">
      <alignment horizontal="left" vertical="top" wrapText="1" indent="1"/>
    </xf>
    <xf numFmtId="0" fontId="31" fillId="0" borderId="0" xfId="0" applyFont="1" applyFill="1" applyBorder="1" applyAlignment="1">
      <alignment horizontal="right" vertical="top" wrapText="1"/>
    </xf>
    <xf numFmtId="1" fontId="32" fillId="0" borderId="0" xfId="0" applyNumberFormat="1" applyFont="1" applyFill="1" applyBorder="1" applyAlignment="1">
      <alignment horizontal="center" vertical="top" shrinkToFit="1"/>
    </xf>
    <xf numFmtId="2" fontId="32" fillId="0" borderId="0" xfId="0" applyNumberFormat="1" applyFont="1" applyFill="1" applyBorder="1" applyAlignment="1">
      <alignment horizontal="right" vertical="top" shrinkToFit="1"/>
    </xf>
    <xf numFmtId="1" fontId="0" fillId="13" borderId="58" xfId="0" applyNumberFormat="1" applyFill="1" applyBorder="1" applyAlignment="1">
      <alignment horizontal="center" vertical="center"/>
    </xf>
    <xf numFmtId="1" fontId="0" fillId="13" borderId="59" xfId="0" applyNumberFormat="1" applyFill="1" applyBorder="1" applyAlignment="1">
      <alignment horizontal="center" vertical="center"/>
    </xf>
    <xf numFmtId="1" fontId="0" fillId="13" borderId="60" xfId="0" applyNumberForma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right" vertical="top" wrapText="1"/>
    </xf>
    <xf numFmtId="1" fontId="32" fillId="0" borderId="23" xfId="0" applyNumberFormat="1" applyFont="1" applyFill="1" applyBorder="1" applyAlignment="1">
      <alignment horizontal="center" vertical="top" shrinkToFit="1"/>
    </xf>
    <xf numFmtId="0" fontId="29" fillId="0" borderId="17" xfId="0" applyFont="1" applyFill="1" applyBorder="1" applyAlignment="1">
      <alignment horizontal="center" vertical="top" wrapText="1"/>
    </xf>
    <xf numFmtId="0" fontId="29" fillId="0" borderId="18" xfId="0" applyFont="1" applyFill="1" applyBorder="1" applyAlignment="1">
      <alignment horizontal="center" vertical="top" wrapText="1"/>
    </xf>
    <xf numFmtId="0" fontId="29" fillId="0" borderId="56" xfId="0" applyFont="1" applyFill="1" applyBorder="1" applyAlignment="1">
      <alignment horizontal="center" vertical="top" wrapText="1"/>
    </xf>
    <xf numFmtId="0" fontId="29" fillId="0" borderId="55" xfId="0" applyFont="1" applyFill="1" applyBorder="1" applyAlignment="1">
      <alignment horizontal="center" vertical="top" wrapText="1"/>
    </xf>
    <xf numFmtId="0" fontId="29" fillId="0" borderId="19" xfId="0" applyFont="1" applyFill="1" applyBorder="1" applyAlignment="1">
      <alignment horizontal="center" vertical="top" wrapText="1"/>
    </xf>
    <xf numFmtId="0" fontId="0" fillId="21" borderId="4" xfId="0" applyFill="1" applyBorder="1" applyAlignment="1">
      <alignment horizontal="center" vertical="center"/>
    </xf>
    <xf numFmtId="0" fontId="49" fillId="0" borderId="0" xfId="0" applyFont="1" applyFill="1" applyBorder="1" applyAlignment="1">
      <alignment horizontal="center" vertical="center"/>
    </xf>
    <xf numFmtId="0" fontId="0" fillId="21" borderId="77" xfId="0" applyFill="1" applyBorder="1" applyAlignment="1">
      <alignment horizontal="center" vertical="center"/>
    </xf>
    <xf numFmtId="0" fontId="0" fillId="21" borderId="76" xfId="0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0" fillId="24" borderId="77" xfId="0" applyFill="1" applyBorder="1" applyAlignment="1">
      <alignment horizontal="center"/>
    </xf>
    <xf numFmtId="0" fontId="0" fillId="24" borderId="76" xfId="0" applyFill="1" applyBorder="1" applyAlignment="1">
      <alignment horizontal="center"/>
    </xf>
    <xf numFmtId="0" fontId="0" fillId="24" borderId="2" xfId="0" applyFill="1" applyBorder="1" applyAlignment="1">
      <alignment horizontal="center"/>
    </xf>
    <xf numFmtId="0" fontId="0" fillId="24" borderId="4" xfId="0" applyFill="1" applyBorder="1" applyAlignment="1">
      <alignment horizontal="center"/>
    </xf>
    <xf numFmtId="0" fontId="60" fillId="5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21" borderId="77" xfId="0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1" fillId="11" borderId="16" xfId="0" applyFont="1" applyFill="1" applyBorder="1" applyAlignment="1">
      <alignment horizontal="center"/>
    </xf>
    <xf numFmtId="0" fontId="21" fillId="11" borderId="15" xfId="0" applyFont="1" applyFill="1" applyBorder="1" applyAlignment="1">
      <alignment horizontal="center"/>
    </xf>
    <xf numFmtId="0" fontId="35" fillId="0" borderId="74" xfId="0" applyFont="1" applyBorder="1" applyAlignment="1">
      <alignment horizontal="center"/>
    </xf>
    <xf numFmtId="0" fontId="35" fillId="0" borderId="89" xfId="0" applyFont="1" applyBorder="1" applyAlignment="1">
      <alignment horizontal="center"/>
    </xf>
    <xf numFmtId="0" fontId="35" fillId="0" borderId="70" xfId="0" applyFont="1" applyBorder="1" applyAlignment="1">
      <alignment horizontal="center"/>
    </xf>
    <xf numFmtId="0" fontId="35" fillId="0" borderId="73" xfId="0" applyFont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1" fillId="13" borderId="16" xfId="0" applyFont="1" applyFill="1" applyBorder="1" applyAlignment="1">
      <alignment horizontal="center"/>
    </xf>
    <xf numFmtId="0" fontId="21" fillId="13" borderId="14" xfId="0" applyFont="1" applyFill="1" applyBorder="1" applyAlignment="1">
      <alignment horizontal="center"/>
    </xf>
    <xf numFmtId="0" fontId="21" fillId="13" borderId="15" xfId="0" applyFont="1" applyFill="1" applyBorder="1" applyAlignment="1">
      <alignment horizontal="center"/>
    </xf>
    <xf numFmtId="0" fontId="0" fillId="12" borderId="94" xfId="0" applyFill="1" applyBorder="1" applyAlignment="1">
      <alignment horizontal="center"/>
    </xf>
    <xf numFmtId="0" fontId="0" fillId="12" borderId="93" xfId="0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2" borderId="15" xfId="0" applyFont="1" applyFill="1" applyBorder="1" applyAlignment="1">
      <alignment horizontal="center"/>
    </xf>
    <xf numFmtId="0" fontId="0" fillId="19" borderId="16" xfId="0" applyFill="1" applyBorder="1" applyAlignment="1">
      <alignment horizontal="center"/>
    </xf>
    <xf numFmtId="0" fontId="0" fillId="19" borderId="15" xfId="0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44" fillId="16" borderId="58" xfId="0" applyFont="1" applyFill="1" applyBorder="1" applyAlignment="1">
      <alignment horizontal="center" vertical="center"/>
    </xf>
    <xf numFmtId="0" fontId="44" fillId="16" borderId="60" xfId="0" applyFont="1" applyFill="1" applyBorder="1" applyAlignment="1">
      <alignment horizontal="center" vertic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colors>
    <mruColors>
      <color rgb="FF00FF00"/>
      <color rgb="FFFF5050"/>
      <color rgb="FFFFFF99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RESISTENZA</a:t>
            </a:r>
            <a:r>
              <a:rPr lang="it-IT" baseline="0"/>
              <a:t> ALLA PUNTA</a:t>
            </a:r>
            <a:endParaRPr lang="it-IT"/>
          </a:p>
        </c:rich>
      </c:tx>
      <c:layout>
        <c:manualLayout>
          <c:xMode val="edge"/>
          <c:yMode val="edge"/>
          <c:x val="0.30060648308035914"/>
          <c:y val="3.53153143132492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3743139467154797"/>
          <c:y val="0.10433857971657573"/>
          <c:w val="0.81406799996725321"/>
          <c:h val="0.84721002065091799"/>
        </c:manualLayout>
      </c:layout>
      <c:scatterChart>
        <c:scatterStyle val="lineMarker"/>
        <c:varyColors val="0"/>
        <c:ser>
          <c:idx val="0"/>
          <c:order val="0"/>
          <c:tx>
            <c:v>qc [Kpa]-CPT1</c:v>
          </c:tx>
          <c:spPr>
            <a:ln w="38100" cap="flat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'parametri geotecnici'!$AE$6:$AE$56</c:f>
              <c:numCache>
                <c:formatCode>General</c:formatCode>
                <c:ptCount val="51"/>
                <c:pt idx="0">
                  <c:v>1600</c:v>
                </c:pt>
                <c:pt idx="1">
                  <c:v>2600</c:v>
                </c:pt>
                <c:pt idx="2">
                  <c:v>3000</c:v>
                </c:pt>
                <c:pt idx="3">
                  <c:v>2500</c:v>
                </c:pt>
                <c:pt idx="4">
                  <c:v>1700</c:v>
                </c:pt>
                <c:pt idx="5">
                  <c:v>1200</c:v>
                </c:pt>
                <c:pt idx="6">
                  <c:v>2400</c:v>
                </c:pt>
                <c:pt idx="7">
                  <c:v>2000</c:v>
                </c:pt>
                <c:pt idx="8">
                  <c:v>900</c:v>
                </c:pt>
                <c:pt idx="9">
                  <c:v>7600</c:v>
                </c:pt>
                <c:pt idx="10">
                  <c:v>1100</c:v>
                </c:pt>
                <c:pt idx="11">
                  <c:v>600</c:v>
                </c:pt>
                <c:pt idx="12">
                  <c:v>500</c:v>
                </c:pt>
                <c:pt idx="13">
                  <c:v>800</c:v>
                </c:pt>
                <c:pt idx="14">
                  <c:v>3600</c:v>
                </c:pt>
                <c:pt idx="15">
                  <c:v>3800</c:v>
                </c:pt>
                <c:pt idx="16">
                  <c:v>5200</c:v>
                </c:pt>
                <c:pt idx="17">
                  <c:v>3600</c:v>
                </c:pt>
                <c:pt idx="18">
                  <c:v>3200</c:v>
                </c:pt>
                <c:pt idx="19">
                  <c:v>3700</c:v>
                </c:pt>
                <c:pt idx="20">
                  <c:v>2200</c:v>
                </c:pt>
                <c:pt idx="21">
                  <c:v>2600</c:v>
                </c:pt>
                <c:pt idx="22">
                  <c:v>2700</c:v>
                </c:pt>
                <c:pt idx="23">
                  <c:v>2800</c:v>
                </c:pt>
                <c:pt idx="24">
                  <c:v>2600</c:v>
                </c:pt>
                <c:pt idx="25">
                  <c:v>3800</c:v>
                </c:pt>
                <c:pt idx="26">
                  <c:v>4800</c:v>
                </c:pt>
                <c:pt idx="27">
                  <c:v>4200</c:v>
                </c:pt>
                <c:pt idx="28">
                  <c:v>3000</c:v>
                </c:pt>
                <c:pt idx="29">
                  <c:v>3200</c:v>
                </c:pt>
                <c:pt idx="30">
                  <c:v>3700</c:v>
                </c:pt>
                <c:pt idx="31">
                  <c:v>4100</c:v>
                </c:pt>
                <c:pt idx="32">
                  <c:v>3300</c:v>
                </c:pt>
                <c:pt idx="33">
                  <c:v>2600</c:v>
                </c:pt>
                <c:pt idx="34">
                  <c:v>2000</c:v>
                </c:pt>
                <c:pt idx="35">
                  <c:v>1000</c:v>
                </c:pt>
                <c:pt idx="36">
                  <c:v>4000</c:v>
                </c:pt>
                <c:pt idx="37">
                  <c:v>3500</c:v>
                </c:pt>
                <c:pt idx="38">
                  <c:v>4400</c:v>
                </c:pt>
                <c:pt idx="39">
                  <c:v>3700</c:v>
                </c:pt>
                <c:pt idx="40">
                  <c:v>4900</c:v>
                </c:pt>
                <c:pt idx="41">
                  <c:v>5600</c:v>
                </c:pt>
                <c:pt idx="42">
                  <c:v>5500</c:v>
                </c:pt>
                <c:pt idx="43">
                  <c:v>6600</c:v>
                </c:pt>
                <c:pt idx="44">
                  <c:v>5000</c:v>
                </c:pt>
                <c:pt idx="45">
                  <c:v>6400</c:v>
                </c:pt>
                <c:pt idx="46">
                  <c:v>6800</c:v>
                </c:pt>
                <c:pt idx="47">
                  <c:v>7200</c:v>
                </c:pt>
              </c:numCache>
            </c:numRef>
          </c:xVal>
          <c:yVal>
            <c:numRef>
              <c:f>'parametri geotecnici'!$AD$6:$AD$53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63-46ED-A450-A8F1A10606D9}"/>
            </c:ext>
          </c:extLst>
        </c:ser>
        <c:ser>
          <c:idx val="1"/>
          <c:order val="1"/>
          <c:tx>
            <c:v>qc [Kpa]-CPT2</c:v>
          </c:tx>
          <c:spPr>
            <a:ln w="38100" cap="flat" cmpd="sng" algn="ctr">
              <a:solidFill>
                <a:srgbClr val="FF0000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'parametri geotecnici'!$AE$63:$AE$112</c:f>
              <c:numCache>
                <c:formatCode>General</c:formatCode>
                <c:ptCount val="50"/>
                <c:pt idx="0">
                  <c:v>700</c:v>
                </c:pt>
                <c:pt idx="1">
                  <c:v>1400</c:v>
                </c:pt>
                <c:pt idx="2">
                  <c:v>2400</c:v>
                </c:pt>
                <c:pt idx="3">
                  <c:v>5000</c:v>
                </c:pt>
                <c:pt idx="4">
                  <c:v>4000</c:v>
                </c:pt>
                <c:pt idx="5">
                  <c:v>2400</c:v>
                </c:pt>
                <c:pt idx="6">
                  <c:v>2700</c:v>
                </c:pt>
                <c:pt idx="7">
                  <c:v>3100</c:v>
                </c:pt>
                <c:pt idx="8">
                  <c:v>3100</c:v>
                </c:pt>
                <c:pt idx="9">
                  <c:v>2800</c:v>
                </c:pt>
                <c:pt idx="10">
                  <c:v>3500</c:v>
                </c:pt>
                <c:pt idx="11">
                  <c:v>3200</c:v>
                </c:pt>
                <c:pt idx="12">
                  <c:v>6400</c:v>
                </c:pt>
                <c:pt idx="13">
                  <c:v>6000</c:v>
                </c:pt>
                <c:pt idx="14">
                  <c:v>8000</c:v>
                </c:pt>
                <c:pt idx="15">
                  <c:v>8000</c:v>
                </c:pt>
                <c:pt idx="16">
                  <c:v>5200</c:v>
                </c:pt>
                <c:pt idx="17">
                  <c:v>4400</c:v>
                </c:pt>
                <c:pt idx="18">
                  <c:v>2900</c:v>
                </c:pt>
                <c:pt idx="19">
                  <c:v>2900</c:v>
                </c:pt>
                <c:pt idx="20">
                  <c:v>3500</c:v>
                </c:pt>
                <c:pt idx="21">
                  <c:v>3100</c:v>
                </c:pt>
                <c:pt idx="22">
                  <c:v>2800</c:v>
                </c:pt>
                <c:pt idx="23">
                  <c:v>3100</c:v>
                </c:pt>
                <c:pt idx="24">
                  <c:v>4800</c:v>
                </c:pt>
                <c:pt idx="25">
                  <c:v>4300</c:v>
                </c:pt>
                <c:pt idx="26">
                  <c:v>4800</c:v>
                </c:pt>
                <c:pt idx="27">
                  <c:v>5200</c:v>
                </c:pt>
                <c:pt idx="28">
                  <c:v>3800</c:v>
                </c:pt>
                <c:pt idx="29">
                  <c:v>4900</c:v>
                </c:pt>
                <c:pt idx="30">
                  <c:v>5500</c:v>
                </c:pt>
                <c:pt idx="31">
                  <c:v>5000</c:v>
                </c:pt>
                <c:pt idx="32">
                  <c:v>5000</c:v>
                </c:pt>
                <c:pt idx="33">
                  <c:v>6000</c:v>
                </c:pt>
                <c:pt idx="34">
                  <c:v>4100</c:v>
                </c:pt>
                <c:pt idx="35">
                  <c:v>5300</c:v>
                </c:pt>
                <c:pt idx="36">
                  <c:v>3200</c:v>
                </c:pt>
                <c:pt idx="37">
                  <c:v>4300</c:v>
                </c:pt>
                <c:pt idx="38">
                  <c:v>3900</c:v>
                </c:pt>
                <c:pt idx="39">
                  <c:v>4700</c:v>
                </c:pt>
                <c:pt idx="40">
                  <c:v>4800</c:v>
                </c:pt>
                <c:pt idx="41">
                  <c:v>4000</c:v>
                </c:pt>
                <c:pt idx="42">
                  <c:v>3300</c:v>
                </c:pt>
                <c:pt idx="43">
                  <c:v>4600</c:v>
                </c:pt>
                <c:pt idx="44">
                  <c:v>5600</c:v>
                </c:pt>
                <c:pt idx="45">
                  <c:v>5600</c:v>
                </c:pt>
                <c:pt idx="46">
                  <c:v>5800</c:v>
                </c:pt>
                <c:pt idx="47">
                  <c:v>6400</c:v>
                </c:pt>
                <c:pt idx="48">
                  <c:v>6800</c:v>
                </c:pt>
                <c:pt idx="49">
                  <c:v>6000</c:v>
                </c:pt>
              </c:numCache>
            </c:numRef>
          </c:xVal>
          <c:yVal>
            <c:numRef>
              <c:f>'parametri geotecnici'!$AD$63:$AD$112</c:f>
              <c:numCache>
                <c:formatCode>General</c:formatCode>
                <c:ptCount val="50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  <c:pt idx="48">
                  <c:v>-9.8000000000000007</c:v>
                </c:pt>
                <c:pt idx="4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63-46ED-A450-A8F1A10606D9}"/>
            </c:ext>
          </c:extLst>
        </c:ser>
        <c:ser>
          <c:idx val="2"/>
          <c:order val="2"/>
          <c:tx>
            <c:v>falda a 1.8 m rilevata dalla CPT1</c:v>
          </c:tx>
          <c:spPr>
            <a:ln w="38100" cap="flat" cmpd="dbl" algn="ctr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'parametri geotecnici'!$BE$5:$BE$39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100</c:v>
                </c:pt>
                <c:pt idx="17">
                  <c:v>200</c:v>
                </c:pt>
                <c:pt idx="18">
                  <c:v>300</c:v>
                </c:pt>
                <c:pt idx="19">
                  <c:v>400</c:v>
                </c:pt>
                <c:pt idx="20">
                  <c:v>500</c:v>
                </c:pt>
                <c:pt idx="21">
                  <c:v>600</c:v>
                </c:pt>
                <c:pt idx="22">
                  <c:v>700</c:v>
                </c:pt>
                <c:pt idx="23">
                  <c:v>800</c:v>
                </c:pt>
                <c:pt idx="24">
                  <c:v>900</c:v>
                </c:pt>
                <c:pt idx="25">
                  <c:v>1000</c:v>
                </c:pt>
                <c:pt idx="26">
                  <c:v>2000</c:v>
                </c:pt>
                <c:pt idx="27">
                  <c:v>3000</c:v>
                </c:pt>
                <c:pt idx="28">
                  <c:v>4000</c:v>
                </c:pt>
                <c:pt idx="29">
                  <c:v>5000</c:v>
                </c:pt>
                <c:pt idx="30">
                  <c:v>6000</c:v>
                </c:pt>
                <c:pt idx="31">
                  <c:v>7000</c:v>
                </c:pt>
                <c:pt idx="32">
                  <c:v>8000</c:v>
                </c:pt>
                <c:pt idx="33">
                  <c:v>9000</c:v>
                </c:pt>
                <c:pt idx="34">
                  <c:v>10000</c:v>
                </c:pt>
              </c:numCache>
            </c:numRef>
          </c:xVal>
          <c:yVal>
            <c:numRef>
              <c:f>'parametri geotecnici'!$BF$5:$BF$39</c:f>
              <c:numCache>
                <c:formatCode>General</c:formatCode>
                <c:ptCount val="35"/>
                <c:pt idx="0">
                  <c:v>-1.8</c:v>
                </c:pt>
                <c:pt idx="1">
                  <c:v>-1.8</c:v>
                </c:pt>
                <c:pt idx="2">
                  <c:v>-1.8</c:v>
                </c:pt>
                <c:pt idx="3">
                  <c:v>-1.8</c:v>
                </c:pt>
                <c:pt idx="4">
                  <c:v>-1.8</c:v>
                </c:pt>
                <c:pt idx="5">
                  <c:v>-1.8</c:v>
                </c:pt>
                <c:pt idx="6">
                  <c:v>-1.8</c:v>
                </c:pt>
                <c:pt idx="7">
                  <c:v>-1.8</c:v>
                </c:pt>
                <c:pt idx="8">
                  <c:v>-1.8</c:v>
                </c:pt>
                <c:pt idx="9">
                  <c:v>-1.8</c:v>
                </c:pt>
                <c:pt idx="10">
                  <c:v>-1.8</c:v>
                </c:pt>
                <c:pt idx="11">
                  <c:v>-1.8</c:v>
                </c:pt>
                <c:pt idx="12">
                  <c:v>-1.8</c:v>
                </c:pt>
                <c:pt idx="13">
                  <c:v>-1.8</c:v>
                </c:pt>
                <c:pt idx="14">
                  <c:v>-1.8</c:v>
                </c:pt>
                <c:pt idx="15">
                  <c:v>-1.8</c:v>
                </c:pt>
                <c:pt idx="16">
                  <c:v>-1.8</c:v>
                </c:pt>
                <c:pt idx="17">
                  <c:v>-1.8</c:v>
                </c:pt>
                <c:pt idx="18">
                  <c:v>-1.8</c:v>
                </c:pt>
                <c:pt idx="19">
                  <c:v>-1.8</c:v>
                </c:pt>
                <c:pt idx="20">
                  <c:v>-1.8</c:v>
                </c:pt>
                <c:pt idx="21">
                  <c:v>-1.8</c:v>
                </c:pt>
                <c:pt idx="22">
                  <c:v>-1.8</c:v>
                </c:pt>
                <c:pt idx="23">
                  <c:v>-1.8</c:v>
                </c:pt>
                <c:pt idx="24">
                  <c:v>-1.8</c:v>
                </c:pt>
                <c:pt idx="25">
                  <c:v>-1.8</c:v>
                </c:pt>
                <c:pt idx="26">
                  <c:v>-1.8</c:v>
                </c:pt>
                <c:pt idx="27">
                  <c:v>-1.8</c:v>
                </c:pt>
                <c:pt idx="28">
                  <c:v>-1.8</c:v>
                </c:pt>
                <c:pt idx="29">
                  <c:v>-1.8</c:v>
                </c:pt>
                <c:pt idx="30">
                  <c:v>-1.8</c:v>
                </c:pt>
                <c:pt idx="31">
                  <c:v>-1.8</c:v>
                </c:pt>
                <c:pt idx="32">
                  <c:v>-1.8</c:v>
                </c:pt>
                <c:pt idx="33">
                  <c:v>-1.8</c:v>
                </c:pt>
                <c:pt idx="34">
                  <c:v>-1.8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0-4EE1-8845-CA5B214F5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80704"/>
        <c:axId val="440663264"/>
      </c:scatterChart>
      <c:valAx>
        <c:axId val="257180704"/>
        <c:scaling>
          <c:orientation val="minMax"/>
          <c:max val="8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000"/>
                  <a:t>q</a:t>
                </a:r>
                <a:r>
                  <a:rPr lang="it-IT" sz="1200"/>
                  <a:t>c</a:t>
                </a:r>
                <a:r>
                  <a:rPr lang="it-IT" sz="2000"/>
                  <a:t> [KPa]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0663264"/>
        <c:crosses val="autoZero"/>
        <c:crossBetween val="midCat"/>
      </c:valAx>
      <c:valAx>
        <c:axId val="440663264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000"/>
                  <a:t>z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718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832221407257843"/>
          <c:y val="0.45574194635051579"/>
          <c:w val="0.26073274664196389"/>
          <c:h val="0.25946154743359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RESISTENZA LATERALE</a:t>
            </a:r>
          </a:p>
        </c:rich>
      </c:tx>
      <c:layout>
        <c:manualLayout>
          <c:xMode val="edge"/>
          <c:yMode val="edge"/>
          <c:x val="0.31719365281890921"/>
          <c:y val="2.77477469604101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fs[Kpa]-CPT1</c:v>
          </c:tx>
          <c:spPr>
            <a:ln w="38100" cap="flat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'parametri geotecnici'!$AF$7:$AF$52</c:f>
              <c:numCache>
                <c:formatCode>0.00</c:formatCode>
                <c:ptCount val="46"/>
                <c:pt idx="0">
                  <c:v>100</c:v>
                </c:pt>
                <c:pt idx="1">
                  <c:v>66.666666666666671</c:v>
                </c:pt>
                <c:pt idx="2">
                  <c:v>73.529411764705884</c:v>
                </c:pt>
                <c:pt idx="3">
                  <c:v>53.125</c:v>
                </c:pt>
                <c:pt idx="4">
                  <c:v>54.545454545454547</c:v>
                </c:pt>
                <c:pt idx="5">
                  <c:v>53.333333333333336</c:v>
                </c:pt>
                <c:pt idx="6">
                  <c:v>33.333333333333336</c:v>
                </c:pt>
                <c:pt idx="7">
                  <c:v>26.470588235294116</c:v>
                </c:pt>
                <c:pt idx="8">
                  <c:v>73.07692307692308</c:v>
                </c:pt>
                <c:pt idx="9">
                  <c:v>13.414634146341463</c:v>
                </c:pt>
                <c:pt idx="10">
                  <c:v>6.666666666666667</c:v>
                </c:pt>
                <c:pt idx="11">
                  <c:v>26.315789473684209</c:v>
                </c:pt>
                <c:pt idx="12">
                  <c:v>61.53846153846154</c:v>
                </c:pt>
                <c:pt idx="13">
                  <c:v>105.88235294117646</c:v>
                </c:pt>
                <c:pt idx="14">
                  <c:v>53.521126760563384</c:v>
                </c:pt>
                <c:pt idx="15">
                  <c:v>162.5</c:v>
                </c:pt>
                <c:pt idx="16">
                  <c:v>92.307692307692307</c:v>
                </c:pt>
                <c:pt idx="17">
                  <c:v>86.486486486486484</c:v>
                </c:pt>
                <c:pt idx="18">
                  <c:v>92.5</c:v>
                </c:pt>
                <c:pt idx="19">
                  <c:v>66.666666666666671</c:v>
                </c:pt>
                <c:pt idx="20">
                  <c:v>60.465116279069768</c:v>
                </c:pt>
                <c:pt idx="21">
                  <c:v>60</c:v>
                </c:pt>
                <c:pt idx="22">
                  <c:v>66.666666666666671</c:v>
                </c:pt>
                <c:pt idx="23">
                  <c:v>108.33333333333333</c:v>
                </c:pt>
                <c:pt idx="24">
                  <c:v>66.666666666666671</c:v>
                </c:pt>
                <c:pt idx="25">
                  <c:v>80</c:v>
                </c:pt>
                <c:pt idx="26">
                  <c:v>100</c:v>
                </c:pt>
                <c:pt idx="27">
                  <c:v>53.571428571428569</c:v>
                </c:pt>
                <c:pt idx="28">
                  <c:v>60.377358490566039</c:v>
                </c:pt>
                <c:pt idx="29">
                  <c:v>100</c:v>
                </c:pt>
                <c:pt idx="30">
                  <c:v>73.214285714285708</c:v>
                </c:pt>
                <c:pt idx="31">
                  <c:v>73.333333333333329</c:v>
                </c:pt>
                <c:pt idx="32">
                  <c:v>40</c:v>
                </c:pt>
                <c:pt idx="33">
                  <c:v>80</c:v>
                </c:pt>
                <c:pt idx="34">
                  <c:v>40</c:v>
                </c:pt>
                <c:pt idx="35">
                  <c:v>86.956521739130437</c:v>
                </c:pt>
                <c:pt idx="36">
                  <c:v>67.307692307692307</c:v>
                </c:pt>
                <c:pt idx="37">
                  <c:v>125.71428571428571</c:v>
                </c:pt>
                <c:pt idx="38">
                  <c:v>59.677419354838712</c:v>
                </c:pt>
                <c:pt idx="39">
                  <c:v>106.52173913043478</c:v>
                </c:pt>
                <c:pt idx="40">
                  <c:v>140</c:v>
                </c:pt>
                <c:pt idx="41">
                  <c:v>119.56521739130434</c:v>
                </c:pt>
                <c:pt idx="42">
                  <c:v>134.69387755102042</c:v>
                </c:pt>
                <c:pt idx="43">
                  <c:v>147.05882352941177</c:v>
                </c:pt>
                <c:pt idx="44">
                  <c:v>145.45454545454547</c:v>
                </c:pt>
                <c:pt idx="45">
                  <c:v>161.9047619047619</c:v>
                </c:pt>
              </c:numCache>
            </c:numRef>
          </c:xVal>
          <c:yVal>
            <c:numRef>
              <c:f>'parametri geotecnici'!$AD$7:$AD$52</c:f>
              <c:numCache>
                <c:formatCode>General</c:formatCode>
                <c:ptCount val="46"/>
                <c:pt idx="0">
                  <c:v>-0.4</c:v>
                </c:pt>
                <c:pt idx="1">
                  <c:v>-0.6</c:v>
                </c:pt>
                <c:pt idx="2">
                  <c:v>-0.8</c:v>
                </c:pt>
                <c:pt idx="3">
                  <c:v>-1</c:v>
                </c:pt>
                <c:pt idx="4">
                  <c:v>-1.2</c:v>
                </c:pt>
                <c:pt idx="5">
                  <c:v>-1.4</c:v>
                </c:pt>
                <c:pt idx="6">
                  <c:v>-1.6</c:v>
                </c:pt>
                <c:pt idx="7">
                  <c:v>-1.8</c:v>
                </c:pt>
                <c:pt idx="8">
                  <c:v>-2</c:v>
                </c:pt>
                <c:pt idx="9">
                  <c:v>-2.2000000000000002</c:v>
                </c:pt>
                <c:pt idx="10">
                  <c:v>-2.4</c:v>
                </c:pt>
                <c:pt idx="11">
                  <c:v>-2.6</c:v>
                </c:pt>
                <c:pt idx="12">
                  <c:v>-2.8</c:v>
                </c:pt>
                <c:pt idx="13">
                  <c:v>-3</c:v>
                </c:pt>
                <c:pt idx="14">
                  <c:v>-3.2</c:v>
                </c:pt>
                <c:pt idx="15">
                  <c:v>-3.4</c:v>
                </c:pt>
                <c:pt idx="16">
                  <c:v>-3.6</c:v>
                </c:pt>
                <c:pt idx="17">
                  <c:v>-3.8</c:v>
                </c:pt>
                <c:pt idx="18">
                  <c:v>-4</c:v>
                </c:pt>
                <c:pt idx="19">
                  <c:v>-4.2</c:v>
                </c:pt>
                <c:pt idx="20">
                  <c:v>-4.4000000000000004</c:v>
                </c:pt>
                <c:pt idx="21">
                  <c:v>-4.5999999999999996</c:v>
                </c:pt>
                <c:pt idx="22">
                  <c:v>-4.8</c:v>
                </c:pt>
                <c:pt idx="23">
                  <c:v>-5</c:v>
                </c:pt>
                <c:pt idx="24">
                  <c:v>-5.2</c:v>
                </c:pt>
                <c:pt idx="25">
                  <c:v>-5.4</c:v>
                </c:pt>
                <c:pt idx="26">
                  <c:v>-5.6</c:v>
                </c:pt>
                <c:pt idx="27">
                  <c:v>-5.8</c:v>
                </c:pt>
                <c:pt idx="28">
                  <c:v>-6</c:v>
                </c:pt>
                <c:pt idx="29">
                  <c:v>-6.2</c:v>
                </c:pt>
                <c:pt idx="30">
                  <c:v>-6.4</c:v>
                </c:pt>
                <c:pt idx="31">
                  <c:v>-6.6</c:v>
                </c:pt>
                <c:pt idx="32">
                  <c:v>-6.8</c:v>
                </c:pt>
                <c:pt idx="33">
                  <c:v>-7</c:v>
                </c:pt>
                <c:pt idx="34">
                  <c:v>-7.2</c:v>
                </c:pt>
                <c:pt idx="35">
                  <c:v>-7.4</c:v>
                </c:pt>
                <c:pt idx="36">
                  <c:v>-7.6</c:v>
                </c:pt>
                <c:pt idx="37">
                  <c:v>-7.8</c:v>
                </c:pt>
                <c:pt idx="38">
                  <c:v>-8</c:v>
                </c:pt>
                <c:pt idx="39">
                  <c:v>-8.1999999999999993</c:v>
                </c:pt>
                <c:pt idx="40">
                  <c:v>-8.4</c:v>
                </c:pt>
                <c:pt idx="41">
                  <c:v>-8.6</c:v>
                </c:pt>
                <c:pt idx="42">
                  <c:v>-8.8000000000000007</c:v>
                </c:pt>
                <c:pt idx="43">
                  <c:v>-9</c:v>
                </c:pt>
                <c:pt idx="44">
                  <c:v>-9.1999999999999993</c:v>
                </c:pt>
                <c:pt idx="45">
                  <c:v>-9.4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B-42C2-AF5B-5AFF68467C4B}"/>
            </c:ext>
          </c:extLst>
        </c:ser>
        <c:ser>
          <c:idx val="1"/>
          <c:order val="1"/>
          <c:tx>
            <c:v>fs [Kpa]-CPT2</c:v>
          </c:tx>
          <c:spPr>
            <a:ln w="38100" cap="flat" cmpd="sng" algn="ctr">
              <a:solidFill>
                <a:srgbClr val="FF0000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'parametri geotecnici'!$AF$64:$AF$111</c:f>
              <c:numCache>
                <c:formatCode>0.00</c:formatCode>
                <c:ptCount val="48"/>
                <c:pt idx="0">
                  <c:v>40</c:v>
                </c:pt>
                <c:pt idx="1">
                  <c:v>60</c:v>
                </c:pt>
                <c:pt idx="2">
                  <c:v>80.645161290322577</c:v>
                </c:pt>
                <c:pt idx="3">
                  <c:v>108.10810810810811</c:v>
                </c:pt>
                <c:pt idx="4">
                  <c:v>85.714285714285708</c:v>
                </c:pt>
                <c:pt idx="5">
                  <c:v>87.096774193548384</c:v>
                </c:pt>
                <c:pt idx="6">
                  <c:v>86.111111111111114</c:v>
                </c:pt>
                <c:pt idx="7">
                  <c:v>106.89655172413794</c:v>
                </c:pt>
                <c:pt idx="8">
                  <c:v>73.684210526315795</c:v>
                </c:pt>
                <c:pt idx="9">
                  <c:v>106.06060606060606</c:v>
                </c:pt>
                <c:pt idx="10">
                  <c:v>66.666666666666671</c:v>
                </c:pt>
                <c:pt idx="11">
                  <c:v>133.33333333333334</c:v>
                </c:pt>
                <c:pt idx="12">
                  <c:v>133.33333333333334</c:v>
                </c:pt>
                <c:pt idx="13">
                  <c:v>173.91304347826087</c:v>
                </c:pt>
                <c:pt idx="14">
                  <c:v>186.04651162790697</c:v>
                </c:pt>
                <c:pt idx="15">
                  <c:v>120.93023255813954</c:v>
                </c:pt>
                <c:pt idx="16">
                  <c:v>118.91891891891892</c:v>
                </c:pt>
                <c:pt idx="17">
                  <c:v>100</c:v>
                </c:pt>
                <c:pt idx="18">
                  <c:v>60.416666666666664</c:v>
                </c:pt>
                <c:pt idx="19">
                  <c:v>79.545454545454547</c:v>
                </c:pt>
                <c:pt idx="20">
                  <c:v>53.448275862068968</c:v>
                </c:pt>
                <c:pt idx="21">
                  <c:v>66.666666666666671</c:v>
                </c:pt>
                <c:pt idx="22">
                  <c:v>40.259740259740262</c:v>
                </c:pt>
                <c:pt idx="23">
                  <c:v>87.272727272727266</c:v>
                </c:pt>
                <c:pt idx="24">
                  <c:v>67.1875</c:v>
                </c:pt>
                <c:pt idx="25">
                  <c:v>80</c:v>
                </c:pt>
                <c:pt idx="26">
                  <c:v>106.12244897959184</c:v>
                </c:pt>
                <c:pt idx="27">
                  <c:v>53.521126760563384</c:v>
                </c:pt>
                <c:pt idx="28">
                  <c:v>59.756097560975611</c:v>
                </c:pt>
                <c:pt idx="29">
                  <c:v>119.56521739130434</c:v>
                </c:pt>
                <c:pt idx="30">
                  <c:v>135.13513513513513</c:v>
                </c:pt>
                <c:pt idx="31">
                  <c:v>80.645161290322577</c:v>
                </c:pt>
                <c:pt idx="32">
                  <c:v>100</c:v>
                </c:pt>
                <c:pt idx="33">
                  <c:v>46.590909090909093</c:v>
                </c:pt>
                <c:pt idx="34">
                  <c:v>106</c:v>
                </c:pt>
                <c:pt idx="35">
                  <c:v>100</c:v>
                </c:pt>
                <c:pt idx="36">
                  <c:v>107.5</c:v>
                </c:pt>
                <c:pt idx="37">
                  <c:v>73.584905660377359</c:v>
                </c:pt>
                <c:pt idx="38">
                  <c:v>79.66101694915254</c:v>
                </c:pt>
                <c:pt idx="39">
                  <c:v>66.666666666666671</c:v>
                </c:pt>
                <c:pt idx="40">
                  <c:v>114.28571428571429</c:v>
                </c:pt>
                <c:pt idx="41">
                  <c:v>80.487804878048777</c:v>
                </c:pt>
                <c:pt idx="42">
                  <c:v>66.666666666666671</c:v>
                </c:pt>
                <c:pt idx="43">
                  <c:v>93.333333333333329</c:v>
                </c:pt>
                <c:pt idx="44">
                  <c:v>107.69230769230769</c:v>
                </c:pt>
                <c:pt idx="45">
                  <c:v>134.88372093023256</c:v>
                </c:pt>
                <c:pt idx="46">
                  <c:v>145.45454545454547</c:v>
                </c:pt>
                <c:pt idx="47">
                  <c:v>161.9047619047619</c:v>
                </c:pt>
              </c:numCache>
            </c:numRef>
          </c:xVal>
          <c:yVal>
            <c:numRef>
              <c:f>'parametri geotecnici'!$AD$64:$AD$111</c:f>
              <c:numCache>
                <c:formatCode>General</c:formatCode>
                <c:ptCount val="48"/>
                <c:pt idx="0">
                  <c:v>-0.4</c:v>
                </c:pt>
                <c:pt idx="1">
                  <c:v>-0.6</c:v>
                </c:pt>
                <c:pt idx="2">
                  <c:v>-0.8</c:v>
                </c:pt>
                <c:pt idx="3">
                  <c:v>-1</c:v>
                </c:pt>
                <c:pt idx="4">
                  <c:v>-1.2</c:v>
                </c:pt>
                <c:pt idx="5">
                  <c:v>-1.4</c:v>
                </c:pt>
                <c:pt idx="6">
                  <c:v>-1.6</c:v>
                </c:pt>
                <c:pt idx="7">
                  <c:v>-1.8</c:v>
                </c:pt>
                <c:pt idx="8">
                  <c:v>-2</c:v>
                </c:pt>
                <c:pt idx="9">
                  <c:v>-2.2000000000000002</c:v>
                </c:pt>
                <c:pt idx="10">
                  <c:v>-2.4</c:v>
                </c:pt>
                <c:pt idx="11">
                  <c:v>-2.6</c:v>
                </c:pt>
                <c:pt idx="12">
                  <c:v>-2.8</c:v>
                </c:pt>
                <c:pt idx="13">
                  <c:v>-3</c:v>
                </c:pt>
                <c:pt idx="14">
                  <c:v>-3.2</c:v>
                </c:pt>
                <c:pt idx="15">
                  <c:v>-3.4</c:v>
                </c:pt>
                <c:pt idx="16">
                  <c:v>-3.6</c:v>
                </c:pt>
                <c:pt idx="17">
                  <c:v>-3.8</c:v>
                </c:pt>
                <c:pt idx="18">
                  <c:v>-4</c:v>
                </c:pt>
                <c:pt idx="19">
                  <c:v>-4.2</c:v>
                </c:pt>
                <c:pt idx="20">
                  <c:v>-4.4000000000000004</c:v>
                </c:pt>
                <c:pt idx="21">
                  <c:v>-4.5999999999999996</c:v>
                </c:pt>
                <c:pt idx="22">
                  <c:v>-4.8</c:v>
                </c:pt>
                <c:pt idx="23">
                  <c:v>-5</c:v>
                </c:pt>
                <c:pt idx="24">
                  <c:v>-5.2</c:v>
                </c:pt>
                <c:pt idx="25">
                  <c:v>-5.4</c:v>
                </c:pt>
                <c:pt idx="26">
                  <c:v>-5.6</c:v>
                </c:pt>
                <c:pt idx="27">
                  <c:v>-5.8</c:v>
                </c:pt>
                <c:pt idx="28">
                  <c:v>-6</c:v>
                </c:pt>
                <c:pt idx="29">
                  <c:v>-6.2</c:v>
                </c:pt>
                <c:pt idx="30">
                  <c:v>-6.4</c:v>
                </c:pt>
                <c:pt idx="31">
                  <c:v>-6.6</c:v>
                </c:pt>
                <c:pt idx="32">
                  <c:v>-6.8</c:v>
                </c:pt>
                <c:pt idx="33">
                  <c:v>-7</c:v>
                </c:pt>
                <c:pt idx="34">
                  <c:v>-7.2</c:v>
                </c:pt>
                <c:pt idx="35">
                  <c:v>-7.4</c:v>
                </c:pt>
                <c:pt idx="36">
                  <c:v>-7.6</c:v>
                </c:pt>
                <c:pt idx="37">
                  <c:v>-7.8</c:v>
                </c:pt>
                <c:pt idx="38">
                  <c:v>-8</c:v>
                </c:pt>
                <c:pt idx="39">
                  <c:v>-8.1999999999999993</c:v>
                </c:pt>
                <c:pt idx="40">
                  <c:v>-8.4</c:v>
                </c:pt>
                <c:pt idx="41">
                  <c:v>-8.6</c:v>
                </c:pt>
                <c:pt idx="42">
                  <c:v>-8.8000000000000007</c:v>
                </c:pt>
                <c:pt idx="43">
                  <c:v>-9</c:v>
                </c:pt>
                <c:pt idx="44">
                  <c:v>-9.1999999999999993</c:v>
                </c:pt>
                <c:pt idx="45">
                  <c:v>-9.4</c:v>
                </c:pt>
                <c:pt idx="46">
                  <c:v>-9.6</c:v>
                </c:pt>
                <c:pt idx="47">
                  <c:v>-9.8000000000000007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7B-42C2-AF5B-5AFF68467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80704"/>
        <c:axId val="440663264"/>
      </c:scatterChart>
      <c:valAx>
        <c:axId val="25718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000"/>
                  <a:t>F</a:t>
                </a:r>
                <a:r>
                  <a:rPr lang="it-IT" sz="1400"/>
                  <a:t>s</a:t>
                </a:r>
                <a:r>
                  <a:rPr lang="it-IT" sz="2000"/>
                  <a:t> [KPa]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0663264"/>
        <c:crosses val="autoZero"/>
        <c:crossBetween val="midCat"/>
      </c:valAx>
      <c:valAx>
        <c:axId val="440663264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000"/>
                  <a:t>z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718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1527769144680564"/>
          <c:y val="0.43231193981643207"/>
          <c:w val="0.20371066851937625"/>
          <c:h val="0.197596973519744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510891674011971E-2"/>
          <c:y val="2.4772045797345051E-2"/>
          <c:w val="0.66385756423647047"/>
          <c:h val="0.93606251470660662"/>
        </c:manualLayout>
      </c:layout>
      <c:scatterChart>
        <c:scatterStyle val="lineMarker"/>
        <c:varyColors val="0"/>
        <c:ser>
          <c:idx val="0"/>
          <c:order val="0"/>
          <c:tx>
            <c:v>FS=1,25</c:v>
          </c:tx>
          <c:spPr>
            <a:ln w="44450" cap="flat" cmpd="sng" algn="ctr">
              <a:solidFill>
                <a:schemeClr val="tx1">
                  <a:alpha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CPT (5)'!$AL$4:$AL$51</c:f>
              <c:numCache>
                <c:formatCode>General</c:formatCode>
                <c:ptCount val="48"/>
                <c:pt idx="0">
                  <c:v>1.25</c:v>
                </c:pt>
                <c:pt idx="1">
                  <c:v>1.25</c:v>
                </c:pt>
                <c:pt idx="2">
                  <c:v>1.25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1.25</c:v>
                </c:pt>
                <c:pt idx="16">
                  <c:v>1.25</c:v>
                </c:pt>
                <c:pt idx="17">
                  <c:v>1.25</c:v>
                </c:pt>
                <c:pt idx="18">
                  <c:v>1.25</c:v>
                </c:pt>
                <c:pt idx="19">
                  <c:v>1.25</c:v>
                </c:pt>
                <c:pt idx="20">
                  <c:v>1.25</c:v>
                </c:pt>
                <c:pt idx="21">
                  <c:v>1.25</c:v>
                </c:pt>
                <c:pt idx="22">
                  <c:v>1.25</c:v>
                </c:pt>
                <c:pt idx="23">
                  <c:v>1.25</c:v>
                </c:pt>
                <c:pt idx="24">
                  <c:v>1.25</c:v>
                </c:pt>
                <c:pt idx="25">
                  <c:v>1.25</c:v>
                </c:pt>
                <c:pt idx="26">
                  <c:v>1.25</c:v>
                </c:pt>
                <c:pt idx="27">
                  <c:v>1.25</c:v>
                </c:pt>
                <c:pt idx="28">
                  <c:v>1.25</c:v>
                </c:pt>
                <c:pt idx="29">
                  <c:v>1.25</c:v>
                </c:pt>
                <c:pt idx="30">
                  <c:v>1.25</c:v>
                </c:pt>
                <c:pt idx="31">
                  <c:v>1.25</c:v>
                </c:pt>
                <c:pt idx="32">
                  <c:v>1.25</c:v>
                </c:pt>
                <c:pt idx="33">
                  <c:v>1.25</c:v>
                </c:pt>
                <c:pt idx="34">
                  <c:v>1.25</c:v>
                </c:pt>
                <c:pt idx="35">
                  <c:v>1.25</c:v>
                </c:pt>
                <c:pt idx="36">
                  <c:v>1.25</c:v>
                </c:pt>
                <c:pt idx="37">
                  <c:v>1.25</c:v>
                </c:pt>
                <c:pt idx="38">
                  <c:v>1.25</c:v>
                </c:pt>
                <c:pt idx="39">
                  <c:v>1.25</c:v>
                </c:pt>
                <c:pt idx="40">
                  <c:v>1.25</c:v>
                </c:pt>
                <c:pt idx="41">
                  <c:v>1.25</c:v>
                </c:pt>
                <c:pt idx="42">
                  <c:v>1.25</c:v>
                </c:pt>
                <c:pt idx="43">
                  <c:v>1.25</c:v>
                </c:pt>
                <c:pt idx="44">
                  <c:v>1.25</c:v>
                </c:pt>
                <c:pt idx="45">
                  <c:v>1.25</c:v>
                </c:pt>
                <c:pt idx="46">
                  <c:v>1.25</c:v>
                </c:pt>
                <c:pt idx="47">
                  <c:v>1.25</c:v>
                </c:pt>
              </c:numCache>
            </c:numRef>
          </c:xVal>
          <c:yVal>
            <c:numRef>
              <c:f>'verifica a liquefazione CPT (5)'!$AM$4:$AM$51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F1-45EC-A5E2-1C41F1B4E855}"/>
            </c:ext>
          </c:extLst>
        </c:ser>
        <c:ser>
          <c:idx val="1"/>
          <c:order val="1"/>
          <c:tx>
            <c:v>FS-(il calcolo di CRR si basa sulla Metodologia Youd aggiornato con Robertson)</c:v>
          </c:tx>
          <c:spPr>
            <a:ln w="31750" cap="rnd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CPT (5)'!$AG$4:$AG$51</c:f>
              <c:numCache>
                <c:formatCode>_(* #,##0.00_);_(* \(#,##0.00\);_(* "-"??_);_(@_)</c:formatCode>
                <c:ptCount val="48"/>
                <c:pt idx="2">
                  <c:v>4.7395870729305374</c:v>
                </c:pt>
                <c:pt idx="3">
                  <c:v>6.2277350990670284</c:v>
                </c:pt>
                <c:pt idx="4">
                  <c:v>6.7209306691375943</c:v>
                </c:pt>
                <c:pt idx="5">
                  <c:v>4.7838314619367948</c:v>
                </c:pt>
                <c:pt idx="6">
                  <c:v>4.1259861740135655</c:v>
                </c:pt>
                <c:pt idx="7">
                  <c:v>3.4956121574689982</c:v>
                </c:pt>
                <c:pt idx="8">
                  <c:v>4.3795327035587786</c:v>
                </c:pt>
                <c:pt idx="9">
                  <c:v>2.5690464175313661</c:v>
                </c:pt>
                <c:pt idx="10">
                  <c:v>3.562462285113277</c:v>
                </c:pt>
                <c:pt idx="11">
                  <c:v>2.0126190003188968</c:v>
                </c:pt>
                <c:pt idx="12">
                  <c:v>3.9617468689023698</c:v>
                </c:pt>
                <c:pt idx="13">
                  <c:v>3.675167443630583</c:v>
                </c:pt>
                <c:pt idx="14">
                  <c:v>5.0454801594281262</c:v>
                </c:pt>
                <c:pt idx="15">
                  <c:v>5.1284810654711652</c:v>
                </c:pt>
                <c:pt idx="16">
                  <c:v>2.8412040895069537</c:v>
                </c:pt>
                <c:pt idx="17">
                  <c:v>2.7677414013945798</c:v>
                </c:pt>
                <c:pt idx="18">
                  <c:v>2.5245624697556188</c:v>
                </c:pt>
                <c:pt idx="19">
                  <c:v>1.519889952791825</c:v>
                </c:pt>
                <c:pt idx="20">
                  <c:v>1.7853441991606165</c:v>
                </c:pt>
                <c:pt idx="21">
                  <c:v>1.3390004436222038</c:v>
                </c:pt>
                <c:pt idx="22">
                  <c:v>1.5752870528568004</c:v>
                </c:pt>
                <c:pt idx="23">
                  <c:v>1.1347449468764168</c:v>
                </c:pt>
                <c:pt idx="24">
                  <c:v>1.6960166484178278</c:v>
                </c:pt>
                <c:pt idx="25">
                  <c:v>1.4067794546498491</c:v>
                </c:pt>
                <c:pt idx="26">
                  <c:v>1.5428044042094906</c:v>
                </c:pt>
                <c:pt idx="27">
                  <c:v>1.8574560320865896</c:v>
                </c:pt>
                <c:pt idx="28">
                  <c:v>1.2177696337156767</c:v>
                </c:pt>
                <c:pt idx="29">
                  <c:v>1.2309327544886228</c:v>
                </c:pt>
                <c:pt idx="30">
                  <c:v>1.9013038489488885</c:v>
                </c:pt>
                <c:pt idx="31">
                  <c:v>2.1284386823061348</c:v>
                </c:pt>
                <c:pt idx="32">
                  <c:v>1.3698280086911565</c:v>
                </c:pt>
                <c:pt idx="33">
                  <c:v>1.5383780169023373</c:v>
                </c:pt>
                <c:pt idx="34">
                  <c:v>1.1041196366159973</c:v>
                </c:pt>
                <c:pt idx="35">
                  <c:v>1.5602440154962014</c:v>
                </c:pt>
                <c:pt idx="36">
                  <c:v>1.7611827568820393</c:v>
                </c:pt>
                <c:pt idx="37">
                  <c:v>1.727303806080704</c:v>
                </c:pt>
                <c:pt idx="38">
                  <c:v>1.3414092533793005</c:v>
                </c:pt>
                <c:pt idx="39">
                  <c:v>1.3587645288112105</c:v>
                </c:pt>
                <c:pt idx="40">
                  <c:v>1.2301053505463431</c:v>
                </c:pt>
                <c:pt idx="41">
                  <c:v>1.7755422725889514</c:v>
                </c:pt>
                <c:pt idx="42">
                  <c:v>1.4220574720733259</c:v>
                </c:pt>
                <c:pt idx="43">
                  <c:v>1.216935324675076</c:v>
                </c:pt>
                <c:pt idx="44">
                  <c:v>1.2484563651304703</c:v>
                </c:pt>
                <c:pt idx="45">
                  <c:v>1.3526336875469978</c:v>
                </c:pt>
                <c:pt idx="46">
                  <c:v>1.5786743160576515</c:v>
                </c:pt>
                <c:pt idx="47">
                  <c:v>1.6379460516563991</c:v>
                </c:pt>
              </c:numCache>
            </c:numRef>
          </c:xVal>
          <c:yVal>
            <c:numRef>
              <c:f>'verifica a liquefazione CPT (5)'!$AM$4:$AM$51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F1-45EC-A5E2-1C41F1B4E855}"/>
            </c:ext>
          </c:extLst>
        </c:ser>
        <c:ser>
          <c:idx val="2"/>
          <c:order val="2"/>
          <c:tx>
            <c:v>FS-il calcolo di CRR si basa sul metodo di Idriss &amp; Boulanger)</c:v>
          </c:tx>
          <c:spPr>
            <a:ln w="28575" cap="flat" cmpd="sng" algn="ctr">
              <a:solidFill>
                <a:srgbClr val="FF0000"/>
              </a:solidFill>
              <a:bevel/>
            </a:ln>
            <a:effectLst>
              <a:outerShdw blurRad="50800" dist="50800" dir="5400000" sx="14000" sy="14000" algn="ctr" rotWithShape="0">
                <a:srgbClr val="000000">
                  <a:alpha val="43137"/>
                </a:srgbClr>
              </a:outerShdw>
            </a:effectLst>
          </c:spPr>
          <c:marker>
            <c:symbol val="none"/>
          </c:marker>
          <c:xVal>
            <c:numRef>
              <c:f>'verifica a liquefazione CPT (5)'!$AI$4:$AI$51</c:f>
              <c:numCache>
                <c:formatCode>General</c:formatCode>
                <c:ptCount val="48"/>
                <c:pt idx="0">
                  <c:v>0</c:v>
                </c:pt>
                <c:pt idx="2" formatCode="0.00">
                  <c:v>3.4957457292457219</c:v>
                </c:pt>
                <c:pt idx="3" formatCode="0.00">
                  <c:v>5.8715325676021717</c:v>
                </c:pt>
                <c:pt idx="4" formatCode="0.00">
                  <c:v>7.1030071739867626</c:v>
                </c:pt>
                <c:pt idx="5" formatCode="0.00">
                  <c:v>3.5369938892484827</c:v>
                </c:pt>
                <c:pt idx="6" formatCode="0.00">
                  <c:v>2.8871788247847499</c:v>
                </c:pt>
                <c:pt idx="7" formatCode="0.00">
                  <c:v>2.405635392286436</c:v>
                </c:pt>
                <c:pt idx="8" formatCode="0.00">
                  <c:v>3.1127566391711476</c:v>
                </c:pt>
                <c:pt idx="9" formatCode="0.00">
                  <c:v>1.8506054982104143</c:v>
                </c:pt>
                <c:pt idx="10" formatCode="0.00">
                  <c:v>2.4515612298431471</c:v>
                </c:pt>
                <c:pt idx="11" formatCode="0.00">
                  <c:v>1.5551818715587271</c:v>
                </c:pt>
                <c:pt idx="12" formatCode="0.00">
                  <c:v>2.7468332247115179</c:v>
                </c:pt>
                <c:pt idx="13" formatCode="0.00">
                  <c:v>2.5306009336912902</c:v>
                </c:pt>
                <c:pt idx="14" formatCode="0.00">
                  <c:v>3.8156848749436509</c:v>
                </c:pt>
                <c:pt idx="15" formatCode="0.00">
                  <c:v>3.9154584339014828</c:v>
                </c:pt>
                <c:pt idx="16" formatCode="0.00">
                  <c:v>2.005788693774929</c:v>
                </c:pt>
                <c:pt idx="17" formatCode="0.00">
                  <c:v>1.9652624551461977</c:v>
                </c:pt>
                <c:pt idx="18" formatCode="0.00">
                  <c:v>1.8331511705109567</c:v>
                </c:pt>
                <c:pt idx="19" formatCode="0.00">
                  <c:v>1.2804399184090836</c:v>
                </c:pt>
                <c:pt idx="20" formatCode="0.00">
                  <c:v>1.4371649704348697</c:v>
                </c:pt>
                <c:pt idx="21" formatCode="0.00">
                  <c:v>1.1631035156979117</c:v>
                </c:pt>
                <c:pt idx="22" formatCode="0.00">
                  <c:v>1.3160733436722818</c:v>
                </c:pt>
                <c:pt idx="23" formatCode="0.00">
                  <c:v>1.0088599107910436</c:v>
                </c:pt>
                <c:pt idx="24" formatCode="0.00">
                  <c:v>1.3888342705636847</c:v>
                </c:pt>
                <c:pt idx="25" formatCode="0.00">
                  <c:v>1.2107505137267893</c:v>
                </c:pt>
                <c:pt idx="26" formatCode="0.00">
                  <c:v>1.2984207667295515</c:v>
                </c:pt>
                <c:pt idx="27" formatCode="0.00">
                  <c:v>1.4783968793421132</c:v>
                </c:pt>
                <c:pt idx="28" formatCode="0.00">
                  <c:v>1.0764909213029445</c:v>
                </c:pt>
                <c:pt idx="29" formatCode="0.00">
                  <c:v>1.0828430736843087</c:v>
                </c:pt>
                <c:pt idx="30" formatCode="0.00">
                  <c:v>1.493072980588096</c:v>
                </c:pt>
                <c:pt idx="31" formatCode="0.00">
                  <c:v>1.6119045115253909</c:v>
                </c:pt>
                <c:pt idx="32" formatCode="0.00">
                  <c:v>1.1756865364835434</c:v>
                </c:pt>
                <c:pt idx="33" formatCode="0.00">
                  <c:v>1.2795420711043826</c:v>
                </c:pt>
                <c:pt idx="34" formatCode="0.00">
                  <c:v>0.98289854228278772</c:v>
                </c:pt>
                <c:pt idx="35" formatCode="0.00">
                  <c:v>1.2885497813390954</c:v>
                </c:pt>
                <c:pt idx="36" formatCode="0.00">
                  <c:v>1.4344155117851609</c:v>
                </c:pt>
                <c:pt idx="37" formatCode="0.00">
                  <c:v>1.4155349506832211</c:v>
                </c:pt>
                <c:pt idx="38" formatCode="0.00">
                  <c:v>1.170977895722096</c:v>
                </c:pt>
                <c:pt idx="39" formatCode="0.00">
                  <c:v>1.1836052059653923</c:v>
                </c:pt>
                <c:pt idx="40" formatCode="0.00">
                  <c:v>1.0885962598002643</c:v>
                </c:pt>
                <c:pt idx="41" formatCode="0.00">
                  <c:v>1.4461201076879173</c:v>
                </c:pt>
                <c:pt idx="42" formatCode="0.00">
                  <c:v>1.228431496917409</c:v>
                </c:pt>
                <c:pt idx="43" formatCode="0.00">
                  <c:v>1.0787390585330443</c:v>
                </c:pt>
                <c:pt idx="44" formatCode="0.00">
                  <c:v>1.07986962204599</c:v>
                </c:pt>
                <c:pt idx="45" formatCode="0.00">
                  <c:v>1.1474884347490857</c:v>
                </c:pt>
                <c:pt idx="46" formatCode="0.00">
                  <c:v>1.2830714067535394</c:v>
                </c:pt>
                <c:pt idx="47" formatCode="0.00">
                  <c:v>1.3168548325610063</c:v>
                </c:pt>
              </c:numCache>
            </c:numRef>
          </c:xVal>
          <c:yVal>
            <c:numRef>
              <c:f>'verifica a liquefazione CPT (5)'!$AM$4:$AM$51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BF1-45EC-A5E2-1C41F1B4E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223984"/>
        <c:axId val="1098818304"/>
        <c:extLst/>
      </c:scatterChart>
      <c:valAx>
        <c:axId val="101722398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000"/>
                  <a:t>FS</a:t>
                </a:r>
              </a:p>
            </c:rich>
          </c:tx>
          <c:layout>
            <c:manualLayout>
              <c:xMode val="edge"/>
              <c:yMode val="edge"/>
              <c:x val="0.77664245027832235"/>
              <c:y val="0.937141480602596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818304"/>
        <c:crosses val="autoZero"/>
        <c:crossBetween val="midCat"/>
      </c:valAx>
      <c:valAx>
        <c:axId val="1098818304"/>
        <c:scaling>
          <c:orientation val="minMax"/>
          <c:max val="0"/>
          <c:min val="-9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thickThin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400" baseline="0"/>
                  <a:t> z [m]</a:t>
                </a:r>
                <a:endParaRPr lang="it-IT" sz="1400"/>
              </a:p>
            </c:rich>
          </c:tx>
          <c:layout>
            <c:manualLayout>
              <c:xMode val="edge"/>
              <c:yMode val="edge"/>
              <c:x val="4.0905965833729682E-3"/>
              <c:y val="0.186951679382871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7223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28010094002309"/>
          <c:y val="0.13058098620451894"/>
          <c:w val="0.19805423229302713"/>
          <c:h val="0.51391313388894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Indice di comportamento</a:t>
            </a:r>
          </a:p>
        </c:rich>
      </c:tx>
      <c:layout>
        <c:manualLayout>
          <c:xMode val="edge"/>
          <c:yMode val="edge"/>
          <c:x val="0.29429522580582701"/>
          <c:y val="2.646457180479106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5282316865199404E-2"/>
          <c:y val="4.1988393928902114E-2"/>
          <c:w val="0.86361679986499007"/>
          <c:h val="0.88775969671936039"/>
        </c:manualLayout>
      </c:layout>
      <c:scatterChart>
        <c:scatterStyle val="lineMarker"/>
        <c:varyColors val="0"/>
        <c:ser>
          <c:idx val="2"/>
          <c:order val="2"/>
          <c:tx>
            <c:v>Ic</c:v>
          </c:tx>
          <c:spPr>
            <a:ln w="53975" cap="flat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CPT (5)'!$V$4:$V$51</c:f>
              <c:numCache>
                <c:formatCode>0.00</c:formatCode>
                <c:ptCount val="48"/>
                <c:pt idx="1">
                  <c:v>2.2801826522473543</c:v>
                </c:pt>
                <c:pt idx="2">
                  <c:v>2.1805546012398378</c:v>
                </c:pt>
                <c:pt idx="3">
                  <c:v>1.9230428110716209</c:v>
                </c:pt>
                <c:pt idx="4">
                  <c:v>2.1598821913692539</c:v>
                </c:pt>
                <c:pt idx="5">
                  <c:v>2.4027809786101675</c:v>
                </c:pt>
                <c:pt idx="6">
                  <c:v>2.3725169114828022</c:v>
                </c:pt>
                <c:pt idx="7">
                  <c:v>2.3187155395724548</c:v>
                </c:pt>
                <c:pt idx="8">
                  <c:v>2.4039989214661817</c:v>
                </c:pt>
                <c:pt idx="9">
                  <c:v>2.3785597139183956</c:v>
                </c:pt>
                <c:pt idx="10">
                  <c:v>2.3737017278046841</c:v>
                </c:pt>
                <c:pt idx="11">
                  <c:v>2.3143389724877061</c:v>
                </c:pt>
                <c:pt idx="12">
                  <c:v>2.1248808034311804</c:v>
                </c:pt>
                <c:pt idx="13">
                  <c:v>2.1764855457611922</c:v>
                </c:pt>
                <c:pt idx="14">
                  <c:v>2.1007909722108038</c:v>
                </c:pt>
                <c:pt idx="15">
                  <c:v>2.1333352230010676</c:v>
                </c:pt>
                <c:pt idx="16">
                  <c:v>2.2715136549897834</c:v>
                </c:pt>
                <c:pt idx="17">
                  <c:v>2.3790775851757529</c:v>
                </c:pt>
                <c:pt idx="18">
                  <c:v>2.5940124279921766</c:v>
                </c:pt>
                <c:pt idx="19">
                  <c:v>2.4682985837568112</c:v>
                </c:pt>
                <c:pt idx="20">
                  <c:v>2.4404509963970349</c:v>
                </c:pt>
                <c:pt idx="21">
                  <c:v>2.420618438070103</c:v>
                </c:pt>
                <c:pt idx="22">
                  <c:v>2.5536142145406702</c:v>
                </c:pt>
                <c:pt idx="23">
                  <c:v>2.3729036564006063</c:v>
                </c:pt>
                <c:pt idx="24">
                  <c:v>2.3150460940083022</c:v>
                </c:pt>
                <c:pt idx="25">
                  <c:v>2.3221044120855319</c:v>
                </c:pt>
                <c:pt idx="26">
                  <c:v>2.3101244586416505</c:v>
                </c:pt>
                <c:pt idx="27">
                  <c:v>2.3479891690735153</c:v>
                </c:pt>
                <c:pt idx="28">
                  <c:v>2.3689511902473903</c:v>
                </c:pt>
                <c:pt idx="29">
                  <c:v>2.2465607067539159</c:v>
                </c:pt>
                <c:pt idx="30">
                  <c:v>2.372318924400302</c:v>
                </c:pt>
                <c:pt idx="31">
                  <c:v>2.4770514806328428</c:v>
                </c:pt>
                <c:pt idx="32">
                  <c:v>2.3380625537030544</c:v>
                </c:pt>
                <c:pt idx="33">
                  <c:v>2.2889974957939421</c:v>
                </c:pt>
                <c:pt idx="34">
                  <c:v>2.3384553023179491</c:v>
                </c:pt>
                <c:pt idx="35">
                  <c:v>2.4000500169641219</c:v>
                </c:pt>
                <c:pt idx="36">
                  <c:v>2.720379470317186</c:v>
                </c:pt>
                <c:pt idx="37">
                  <c:v>2.5550308873392562</c:v>
                </c:pt>
                <c:pt idx="38">
                  <c:v>2.5208833969832369</c:v>
                </c:pt>
                <c:pt idx="39">
                  <c:v>2.427564802576069</c:v>
                </c:pt>
                <c:pt idx="40">
                  <c:v>2.373092052243587</c:v>
                </c:pt>
                <c:pt idx="41">
                  <c:v>2.6502514184884247</c:v>
                </c:pt>
                <c:pt idx="42">
                  <c:v>2.6869847885511784</c:v>
                </c:pt>
                <c:pt idx="43">
                  <c:v>2.4217653871861824</c:v>
                </c:pt>
                <c:pt idx="44">
                  <c:v>2.3894510158758071</c:v>
                </c:pt>
                <c:pt idx="45">
                  <c:v>2.4361454156294733</c:v>
                </c:pt>
                <c:pt idx="46">
                  <c:v>2.4844130326890448</c:v>
                </c:pt>
                <c:pt idx="47">
                  <c:v>2.4470589742573758</c:v>
                </c:pt>
              </c:numCache>
            </c:numRef>
          </c:xVal>
          <c:yVal>
            <c:numRef>
              <c:f>'verifica a liquefazione CPT (5)'!$AM$4:$AM$51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7-49A7-9B24-39BC5FEA6E3B}"/>
            </c:ext>
          </c:extLst>
        </c:ser>
        <c:ser>
          <c:idx val="3"/>
          <c:order val="3"/>
          <c:tx>
            <c:v>1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CPT (5)'!$AN$4:$AN$51</c:f>
              <c:numCache>
                <c:formatCode>General</c:formatCode>
                <c:ptCount val="48"/>
                <c:pt idx="0">
                  <c:v>1.31</c:v>
                </c:pt>
                <c:pt idx="1">
                  <c:v>1.31</c:v>
                </c:pt>
                <c:pt idx="2">
                  <c:v>1.31</c:v>
                </c:pt>
                <c:pt idx="3">
                  <c:v>1.31</c:v>
                </c:pt>
                <c:pt idx="4">
                  <c:v>1.31</c:v>
                </c:pt>
                <c:pt idx="5">
                  <c:v>1.31</c:v>
                </c:pt>
                <c:pt idx="6">
                  <c:v>1.31</c:v>
                </c:pt>
                <c:pt idx="7">
                  <c:v>1.31</c:v>
                </c:pt>
                <c:pt idx="8">
                  <c:v>1.31</c:v>
                </c:pt>
                <c:pt idx="9">
                  <c:v>1.31</c:v>
                </c:pt>
                <c:pt idx="10">
                  <c:v>1.31</c:v>
                </c:pt>
                <c:pt idx="11">
                  <c:v>1.31</c:v>
                </c:pt>
                <c:pt idx="12">
                  <c:v>1.31</c:v>
                </c:pt>
                <c:pt idx="13">
                  <c:v>1.31</c:v>
                </c:pt>
                <c:pt idx="14">
                  <c:v>1.31</c:v>
                </c:pt>
                <c:pt idx="15">
                  <c:v>1.31</c:v>
                </c:pt>
                <c:pt idx="16">
                  <c:v>1.31</c:v>
                </c:pt>
                <c:pt idx="17">
                  <c:v>1.31</c:v>
                </c:pt>
                <c:pt idx="18">
                  <c:v>1.31</c:v>
                </c:pt>
                <c:pt idx="19">
                  <c:v>1.31</c:v>
                </c:pt>
                <c:pt idx="20">
                  <c:v>1.31</c:v>
                </c:pt>
                <c:pt idx="21">
                  <c:v>1.31</c:v>
                </c:pt>
                <c:pt idx="22">
                  <c:v>1.31</c:v>
                </c:pt>
                <c:pt idx="23">
                  <c:v>1.31</c:v>
                </c:pt>
                <c:pt idx="24">
                  <c:v>1.31</c:v>
                </c:pt>
                <c:pt idx="25">
                  <c:v>1.31</c:v>
                </c:pt>
                <c:pt idx="26">
                  <c:v>1.31</c:v>
                </c:pt>
                <c:pt idx="27">
                  <c:v>1.31</c:v>
                </c:pt>
                <c:pt idx="28">
                  <c:v>1.31</c:v>
                </c:pt>
                <c:pt idx="29">
                  <c:v>1.31</c:v>
                </c:pt>
                <c:pt idx="30">
                  <c:v>1.31</c:v>
                </c:pt>
                <c:pt idx="31">
                  <c:v>1.31</c:v>
                </c:pt>
                <c:pt idx="32">
                  <c:v>1.31</c:v>
                </c:pt>
                <c:pt idx="33">
                  <c:v>1.31</c:v>
                </c:pt>
                <c:pt idx="34">
                  <c:v>1.31</c:v>
                </c:pt>
                <c:pt idx="35">
                  <c:v>1.31</c:v>
                </c:pt>
                <c:pt idx="36">
                  <c:v>1.31</c:v>
                </c:pt>
                <c:pt idx="37">
                  <c:v>1.31</c:v>
                </c:pt>
                <c:pt idx="38">
                  <c:v>1.31</c:v>
                </c:pt>
                <c:pt idx="39">
                  <c:v>1.31</c:v>
                </c:pt>
                <c:pt idx="40">
                  <c:v>1.31</c:v>
                </c:pt>
                <c:pt idx="41">
                  <c:v>1.31</c:v>
                </c:pt>
                <c:pt idx="42">
                  <c:v>1.31</c:v>
                </c:pt>
                <c:pt idx="43">
                  <c:v>1.31</c:v>
                </c:pt>
                <c:pt idx="44">
                  <c:v>1.31</c:v>
                </c:pt>
                <c:pt idx="45">
                  <c:v>1.31</c:v>
                </c:pt>
                <c:pt idx="46">
                  <c:v>1.31</c:v>
                </c:pt>
                <c:pt idx="47">
                  <c:v>1.31</c:v>
                </c:pt>
              </c:numCache>
            </c:numRef>
          </c:xVal>
          <c:yVal>
            <c:numRef>
              <c:f>'verifica a liquefazione CPT (5)'!$AM$4:$AM$51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7-49A7-9B24-39BC5FEA6E3B}"/>
            </c:ext>
          </c:extLst>
        </c:ser>
        <c:ser>
          <c:idx val="4"/>
          <c:order val="4"/>
          <c:tx>
            <c:v>2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CPT (5)'!$AO$4:$AO$51</c:f>
              <c:numCache>
                <c:formatCode>General</c:formatCode>
                <c:ptCount val="48"/>
                <c:pt idx="0">
                  <c:v>2.0499999999999998</c:v>
                </c:pt>
                <c:pt idx="1">
                  <c:v>2.0499999999999998</c:v>
                </c:pt>
                <c:pt idx="2">
                  <c:v>2.0499999999999998</c:v>
                </c:pt>
                <c:pt idx="3">
                  <c:v>2.0499999999999998</c:v>
                </c:pt>
                <c:pt idx="4">
                  <c:v>2.0499999999999998</c:v>
                </c:pt>
                <c:pt idx="5">
                  <c:v>2.0499999999999998</c:v>
                </c:pt>
                <c:pt idx="6">
                  <c:v>2.0499999999999998</c:v>
                </c:pt>
                <c:pt idx="7">
                  <c:v>2.0499999999999998</c:v>
                </c:pt>
                <c:pt idx="8">
                  <c:v>2.0499999999999998</c:v>
                </c:pt>
                <c:pt idx="9">
                  <c:v>2.0499999999999998</c:v>
                </c:pt>
                <c:pt idx="10">
                  <c:v>2.0499999999999998</c:v>
                </c:pt>
                <c:pt idx="11">
                  <c:v>2.0499999999999998</c:v>
                </c:pt>
                <c:pt idx="12">
                  <c:v>2.0499999999999998</c:v>
                </c:pt>
                <c:pt idx="13">
                  <c:v>2.0499999999999998</c:v>
                </c:pt>
                <c:pt idx="14">
                  <c:v>2.0499999999999998</c:v>
                </c:pt>
                <c:pt idx="15">
                  <c:v>2.0499999999999998</c:v>
                </c:pt>
                <c:pt idx="16">
                  <c:v>2.0499999999999998</c:v>
                </c:pt>
                <c:pt idx="17">
                  <c:v>2.0499999999999998</c:v>
                </c:pt>
                <c:pt idx="18">
                  <c:v>2.0499999999999998</c:v>
                </c:pt>
                <c:pt idx="19">
                  <c:v>2.0499999999999998</c:v>
                </c:pt>
                <c:pt idx="20">
                  <c:v>2.0499999999999998</c:v>
                </c:pt>
                <c:pt idx="21">
                  <c:v>2.0499999999999998</c:v>
                </c:pt>
                <c:pt idx="22">
                  <c:v>2.0499999999999998</c:v>
                </c:pt>
                <c:pt idx="23">
                  <c:v>2.0499999999999998</c:v>
                </c:pt>
                <c:pt idx="24">
                  <c:v>2.0499999999999998</c:v>
                </c:pt>
                <c:pt idx="25">
                  <c:v>2.0499999999999998</c:v>
                </c:pt>
                <c:pt idx="26">
                  <c:v>2.0499999999999998</c:v>
                </c:pt>
                <c:pt idx="27">
                  <c:v>2.0499999999999998</c:v>
                </c:pt>
                <c:pt idx="28">
                  <c:v>2.0499999999999998</c:v>
                </c:pt>
                <c:pt idx="29">
                  <c:v>2.0499999999999998</c:v>
                </c:pt>
                <c:pt idx="30">
                  <c:v>2.0499999999999998</c:v>
                </c:pt>
                <c:pt idx="31">
                  <c:v>2.0499999999999998</c:v>
                </c:pt>
                <c:pt idx="32">
                  <c:v>2.0499999999999998</c:v>
                </c:pt>
                <c:pt idx="33">
                  <c:v>2.0499999999999998</c:v>
                </c:pt>
                <c:pt idx="34">
                  <c:v>2.0499999999999998</c:v>
                </c:pt>
                <c:pt idx="35">
                  <c:v>2.0499999999999998</c:v>
                </c:pt>
                <c:pt idx="36">
                  <c:v>2.0499999999999998</c:v>
                </c:pt>
                <c:pt idx="37">
                  <c:v>2.0499999999999998</c:v>
                </c:pt>
                <c:pt idx="38">
                  <c:v>2.0499999999999998</c:v>
                </c:pt>
                <c:pt idx="39">
                  <c:v>2.0499999999999998</c:v>
                </c:pt>
                <c:pt idx="40">
                  <c:v>2.0499999999999998</c:v>
                </c:pt>
                <c:pt idx="41">
                  <c:v>2.0499999999999998</c:v>
                </c:pt>
                <c:pt idx="42">
                  <c:v>2.0499999999999998</c:v>
                </c:pt>
                <c:pt idx="43">
                  <c:v>2.0499999999999998</c:v>
                </c:pt>
                <c:pt idx="44">
                  <c:v>2.0499999999999998</c:v>
                </c:pt>
                <c:pt idx="45">
                  <c:v>2.0499999999999998</c:v>
                </c:pt>
                <c:pt idx="46">
                  <c:v>2.0499999999999998</c:v>
                </c:pt>
                <c:pt idx="47">
                  <c:v>2.0499999999999998</c:v>
                </c:pt>
              </c:numCache>
            </c:numRef>
          </c:xVal>
          <c:yVal>
            <c:numRef>
              <c:f>'verifica a liquefazione CPT (5)'!$AM$4:$AM$51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7-49A7-9B24-39BC5FEA6E3B}"/>
            </c:ext>
          </c:extLst>
        </c:ser>
        <c:ser>
          <c:idx val="5"/>
          <c:order val="5"/>
          <c:tx>
            <c:v>3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CPT (5)'!$AP$4:$AP$51</c:f>
              <c:numCache>
                <c:formatCode>General</c:formatCode>
                <c:ptCount val="48"/>
                <c:pt idx="0">
                  <c:v>2.6</c:v>
                </c:pt>
                <c:pt idx="1">
                  <c:v>2.6</c:v>
                </c:pt>
                <c:pt idx="2">
                  <c:v>2.6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2.6</c:v>
                </c:pt>
                <c:pt idx="7">
                  <c:v>2.6</c:v>
                </c:pt>
                <c:pt idx="8">
                  <c:v>2.6</c:v>
                </c:pt>
                <c:pt idx="9">
                  <c:v>2.6</c:v>
                </c:pt>
                <c:pt idx="10">
                  <c:v>2.6</c:v>
                </c:pt>
                <c:pt idx="11">
                  <c:v>2.6</c:v>
                </c:pt>
                <c:pt idx="12">
                  <c:v>2.6</c:v>
                </c:pt>
                <c:pt idx="13">
                  <c:v>2.6</c:v>
                </c:pt>
                <c:pt idx="14">
                  <c:v>2.6</c:v>
                </c:pt>
                <c:pt idx="15">
                  <c:v>2.6</c:v>
                </c:pt>
                <c:pt idx="16">
                  <c:v>2.6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2.6</c:v>
                </c:pt>
                <c:pt idx="21">
                  <c:v>2.6</c:v>
                </c:pt>
                <c:pt idx="22">
                  <c:v>2.6</c:v>
                </c:pt>
                <c:pt idx="23">
                  <c:v>2.6</c:v>
                </c:pt>
                <c:pt idx="24">
                  <c:v>2.6</c:v>
                </c:pt>
                <c:pt idx="25">
                  <c:v>2.6</c:v>
                </c:pt>
                <c:pt idx="26">
                  <c:v>2.6</c:v>
                </c:pt>
                <c:pt idx="27">
                  <c:v>2.6</c:v>
                </c:pt>
                <c:pt idx="28">
                  <c:v>2.6</c:v>
                </c:pt>
                <c:pt idx="29">
                  <c:v>2.6</c:v>
                </c:pt>
                <c:pt idx="30">
                  <c:v>2.6</c:v>
                </c:pt>
                <c:pt idx="31">
                  <c:v>2.6</c:v>
                </c:pt>
                <c:pt idx="32">
                  <c:v>2.6</c:v>
                </c:pt>
                <c:pt idx="33">
                  <c:v>2.6</c:v>
                </c:pt>
                <c:pt idx="34">
                  <c:v>2.6</c:v>
                </c:pt>
                <c:pt idx="35">
                  <c:v>2.6</c:v>
                </c:pt>
                <c:pt idx="36">
                  <c:v>2.6</c:v>
                </c:pt>
                <c:pt idx="37">
                  <c:v>2.6</c:v>
                </c:pt>
                <c:pt idx="38">
                  <c:v>2.6</c:v>
                </c:pt>
                <c:pt idx="39">
                  <c:v>2.6</c:v>
                </c:pt>
                <c:pt idx="40">
                  <c:v>2.6</c:v>
                </c:pt>
                <c:pt idx="41">
                  <c:v>2.6</c:v>
                </c:pt>
                <c:pt idx="42">
                  <c:v>2.6</c:v>
                </c:pt>
                <c:pt idx="43">
                  <c:v>2.6</c:v>
                </c:pt>
                <c:pt idx="44">
                  <c:v>2.6</c:v>
                </c:pt>
                <c:pt idx="45">
                  <c:v>2.6</c:v>
                </c:pt>
                <c:pt idx="46">
                  <c:v>2.6</c:v>
                </c:pt>
                <c:pt idx="47">
                  <c:v>2.6</c:v>
                </c:pt>
              </c:numCache>
            </c:numRef>
          </c:xVal>
          <c:yVal>
            <c:numRef>
              <c:f>'verifica a liquefazione CPT (5)'!$AM$4:$AM$51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7-49A7-9B24-39BC5FEA6E3B}"/>
            </c:ext>
          </c:extLst>
        </c:ser>
        <c:ser>
          <c:idx val="6"/>
          <c:order val="6"/>
          <c:tx>
            <c:v>4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CPT (5)'!$AQ$4:$AQ$51</c:f>
              <c:numCache>
                <c:formatCode>General</c:formatCode>
                <c:ptCount val="48"/>
                <c:pt idx="0">
                  <c:v>2.95</c:v>
                </c:pt>
                <c:pt idx="1">
                  <c:v>2.95</c:v>
                </c:pt>
                <c:pt idx="2">
                  <c:v>2.95</c:v>
                </c:pt>
                <c:pt idx="3">
                  <c:v>2.95</c:v>
                </c:pt>
                <c:pt idx="4">
                  <c:v>2.95</c:v>
                </c:pt>
                <c:pt idx="5">
                  <c:v>2.95</c:v>
                </c:pt>
                <c:pt idx="6">
                  <c:v>2.95</c:v>
                </c:pt>
                <c:pt idx="7">
                  <c:v>2.95</c:v>
                </c:pt>
                <c:pt idx="8">
                  <c:v>2.95</c:v>
                </c:pt>
                <c:pt idx="9">
                  <c:v>2.95</c:v>
                </c:pt>
                <c:pt idx="10">
                  <c:v>2.95</c:v>
                </c:pt>
                <c:pt idx="11">
                  <c:v>2.95</c:v>
                </c:pt>
                <c:pt idx="12">
                  <c:v>2.95</c:v>
                </c:pt>
                <c:pt idx="13">
                  <c:v>2.95</c:v>
                </c:pt>
                <c:pt idx="14">
                  <c:v>2.95</c:v>
                </c:pt>
                <c:pt idx="15">
                  <c:v>2.95</c:v>
                </c:pt>
                <c:pt idx="16">
                  <c:v>2.95</c:v>
                </c:pt>
                <c:pt idx="17">
                  <c:v>2.95</c:v>
                </c:pt>
                <c:pt idx="18">
                  <c:v>2.95</c:v>
                </c:pt>
                <c:pt idx="19">
                  <c:v>2.95</c:v>
                </c:pt>
                <c:pt idx="20">
                  <c:v>2.95</c:v>
                </c:pt>
                <c:pt idx="21">
                  <c:v>2.95</c:v>
                </c:pt>
                <c:pt idx="22">
                  <c:v>2.95</c:v>
                </c:pt>
                <c:pt idx="23">
                  <c:v>2.95</c:v>
                </c:pt>
                <c:pt idx="24">
                  <c:v>2.95</c:v>
                </c:pt>
                <c:pt idx="25">
                  <c:v>2.95</c:v>
                </c:pt>
                <c:pt idx="26">
                  <c:v>2.95</c:v>
                </c:pt>
                <c:pt idx="27">
                  <c:v>2.95</c:v>
                </c:pt>
                <c:pt idx="28">
                  <c:v>2.95</c:v>
                </c:pt>
                <c:pt idx="29">
                  <c:v>2.95</c:v>
                </c:pt>
                <c:pt idx="30">
                  <c:v>2.95</c:v>
                </c:pt>
                <c:pt idx="31">
                  <c:v>2.95</c:v>
                </c:pt>
                <c:pt idx="32">
                  <c:v>2.95</c:v>
                </c:pt>
                <c:pt idx="33">
                  <c:v>2.95</c:v>
                </c:pt>
                <c:pt idx="34">
                  <c:v>2.95</c:v>
                </c:pt>
                <c:pt idx="35">
                  <c:v>2.95</c:v>
                </c:pt>
                <c:pt idx="36">
                  <c:v>2.95</c:v>
                </c:pt>
                <c:pt idx="37">
                  <c:v>2.95</c:v>
                </c:pt>
                <c:pt idx="38">
                  <c:v>2.95</c:v>
                </c:pt>
                <c:pt idx="39">
                  <c:v>2.95</c:v>
                </c:pt>
                <c:pt idx="40">
                  <c:v>2.95</c:v>
                </c:pt>
                <c:pt idx="41">
                  <c:v>2.95</c:v>
                </c:pt>
                <c:pt idx="42">
                  <c:v>2.95</c:v>
                </c:pt>
                <c:pt idx="43">
                  <c:v>2.95</c:v>
                </c:pt>
                <c:pt idx="44">
                  <c:v>2.95</c:v>
                </c:pt>
                <c:pt idx="45">
                  <c:v>2.95</c:v>
                </c:pt>
                <c:pt idx="46">
                  <c:v>2.95</c:v>
                </c:pt>
                <c:pt idx="47">
                  <c:v>2.95</c:v>
                </c:pt>
              </c:numCache>
            </c:numRef>
          </c:xVal>
          <c:yVal>
            <c:numRef>
              <c:f>'verifica a liquefazione CPT (5)'!$AM$4:$AM$51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7-49A7-9B24-39BC5FEA6E3B}"/>
            </c:ext>
          </c:extLst>
        </c:ser>
        <c:ser>
          <c:idx val="7"/>
          <c:order val="7"/>
          <c:tx>
            <c:v>5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CPT (5)'!$AR$4:$AR$51</c:f>
              <c:numCache>
                <c:formatCode>General</c:formatCode>
                <c:ptCount val="48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3.6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3.6</c:v>
                </c:pt>
                <c:pt idx="22">
                  <c:v>3.6</c:v>
                </c:pt>
                <c:pt idx="23">
                  <c:v>3.6</c:v>
                </c:pt>
                <c:pt idx="24">
                  <c:v>3.6</c:v>
                </c:pt>
                <c:pt idx="25">
                  <c:v>3.6</c:v>
                </c:pt>
                <c:pt idx="26">
                  <c:v>3.6</c:v>
                </c:pt>
                <c:pt idx="27">
                  <c:v>3.6</c:v>
                </c:pt>
                <c:pt idx="28">
                  <c:v>3.6</c:v>
                </c:pt>
                <c:pt idx="29">
                  <c:v>3.6</c:v>
                </c:pt>
                <c:pt idx="30">
                  <c:v>3.6</c:v>
                </c:pt>
                <c:pt idx="31">
                  <c:v>3.6</c:v>
                </c:pt>
                <c:pt idx="32">
                  <c:v>3.6</c:v>
                </c:pt>
                <c:pt idx="33">
                  <c:v>3.6</c:v>
                </c:pt>
                <c:pt idx="34">
                  <c:v>3.6</c:v>
                </c:pt>
                <c:pt idx="35">
                  <c:v>3.6</c:v>
                </c:pt>
                <c:pt idx="36">
                  <c:v>3.6</c:v>
                </c:pt>
                <c:pt idx="37">
                  <c:v>3.6</c:v>
                </c:pt>
                <c:pt idx="38">
                  <c:v>3.6</c:v>
                </c:pt>
                <c:pt idx="39">
                  <c:v>3.6</c:v>
                </c:pt>
                <c:pt idx="40">
                  <c:v>3.6</c:v>
                </c:pt>
                <c:pt idx="41">
                  <c:v>3.6</c:v>
                </c:pt>
                <c:pt idx="42">
                  <c:v>3.6</c:v>
                </c:pt>
                <c:pt idx="43">
                  <c:v>3.6</c:v>
                </c:pt>
                <c:pt idx="44">
                  <c:v>3.6</c:v>
                </c:pt>
                <c:pt idx="45">
                  <c:v>3.6</c:v>
                </c:pt>
                <c:pt idx="46">
                  <c:v>3.6</c:v>
                </c:pt>
                <c:pt idx="47">
                  <c:v>3.6</c:v>
                </c:pt>
              </c:numCache>
            </c:numRef>
          </c:xVal>
          <c:yVal>
            <c:numRef>
              <c:f>'verifica a liquefazione CPT (5)'!$AM$4:$AM$51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7-49A7-9B24-39BC5FEA6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223984"/>
        <c:axId val="109881830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FS=1,25</c:v>
                </c:tx>
                <c:spPr>
                  <a:ln w="25400" cap="flat" cmpd="dbl" algn="ctr">
                    <a:solidFill>
                      <a:schemeClr val="accent1">
                        <a:alpha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'verifica a liquefazione CPT (5)'!$AL$4:$AL$51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1.25</c:v>
                      </c:pt>
                      <c:pt idx="1">
                        <c:v>1.25</c:v>
                      </c:pt>
                      <c:pt idx="2">
                        <c:v>1.25</c:v>
                      </c:pt>
                      <c:pt idx="3">
                        <c:v>1.25</c:v>
                      </c:pt>
                      <c:pt idx="4">
                        <c:v>1.25</c:v>
                      </c:pt>
                      <c:pt idx="5">
                        <c:v>1.25</c:v>
                      </c:pt>
                      <c:pt idx="6">
                        <c:v>1.25</c:v>
                      </c:pt>
                      <c:pt idx="7">
                        <c:v>1.25</c:v>
                      </c:pt>
                      <c:pt idx="8">
                        <c:v>1.25</c:v>
                      </c:pt>
                      <c:pt idx="9">
                        <c:v>1.25</c:v>
                      </c:pt>
                      <c:pt idx="10">
                        <c:v>1.25</c:v>
                      </c:pt>
                      <c:pt idx="11">
                        <c:v>1.25</c:v>
                      </c:pt>
                      <c:pt idx="12">
                        <c:v>1.25</c:v>
                      </c:pt>
                      <c:pt idx="13">
                        <c:v>1.25</c:v>
                      </c:pt>
                      <c:pt idx="14">
                        <c:v>1.25</c:v>
                      </c:pt>
                      <c:pt idx="15">
                        <c:v>1.25</c:v>
                      </c:pt>
                      <c:pt idx="16">
                        <c:v>1.25</c:v>
                      </c:pt>
                      <c:pt idx="17">
                        <c:v>1.25</c:v>
                      </c:pt>
                      <c:pt idx="18">
                        <c:v>1.25</c:v>
                      </c:pt>
                      <c:pt idx="19">
                        <c:v>1.25</c:v>
                      </c:pt>
                      <c:pt idx="20">
                        <c:v>1.25</c:v>
                      </c:pt>
                      <c:pt idx="21">
                        <c:v>1.25</c:v>
                      </c:pt>
                      <c:pt idx="22">
                        <c:v>1.25</c:v>
                      </c:pt>
                      <c:pt idx="23">
                        <c:v>1.25</c:v>
                      </c:pt>
                      <c:pt idx="24">
                        <c:v>1.25</c:v>
                      </c:pt>
                      <c:pt idx="25">
                        <c:v>1.25</c:v>
                      </c:pt>
                      <c:pt idx="26">
                        <c:v>1.25</c:v>
                      </c:pt>
                      <c:pt idx="27">
                        <c:v>1.25</c:v>
                      </c:pt>
                      <c:pt idx="28">
                        <c:v>1.25</c:v>
                      </c:pt>
                      <c:pt idx="29">
                        <c:v>1.25</c:v>
                      </c:pt>
                      <c:pt idx="30">
                        <c:v>1.25</c:v>
                      </c:pt>
                      <c:pt idx="31">
                        <c:v>1.25</c:v>
                      </c:pt>
                      <c:pt idx="32">
                        <c:v>1.25</c:v>
                      </c:pt>
                      <c:pt idx="33">
                        <c:v>1.25</c:v>
                      </c:pt>
                      <c:pt idx="34">
                        <c:v>1.25</c:v>
                      </c:pt>
                      <c:pt idx="35">
                        <c:v>1.25</c:v>
                      </c:pt>
                      <c:pt idx="36">
                        <c:v>1.25</c:v>
                      </c:pt>
                      <c:pt idx="37">
                        <c:v>1.25</c:v>
                      </c:pt>
                      <c:pt idx="38">
                        <c:v>1.25</c:v>
                      </c:pt>
                      <c:pt idx="39">
                        <c:v>1.25</c:v>
                      </c:pt>
                      <c:pt idx="40">
                        <c:v>1.25</c:v>
                      </c:pt>
                      <c:pt idx="41">
                        <c:v>1.25</c:v>
                      </c:pt>
                      <c:pt idx="42">
                        <c:v>1.25</c:v>
                      </c:pt>
                      <c:pt idx="43">
                        <c:v>1.25</c:v>
                      </c:pt>
                      <c:pt idx="44">
                        <c:v>1.25</c:v>
                      </c:pt>
                      <c:pt idx="45">
                        <c:v>1.25</c:v>
                      </c:pt>
                      <c:pt idx="46">
                        <c:v>1.25</c:v>
                      </c:pt>
                      <c:pt idx="47">
                        <c:v>1.25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'verifica a liquefazione CPT (5)'!$AM$4:$AM$51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-0.2</c:v>
                      </c:pt>
                      <c:pt idx="1">
                        <c:v>-0.4</c:v>
                      </c:pt>
                      <c:pt idx="2">
                        <c:v>-0.6</c:v>
                      </c:pt>
                      <c:pt idx="3">
                        <c:v>-0.8</c:v>
                      </c:pt>
                      <c:pt idx="4">
                        <c:v>-1</c:v>
                      </c:pt>
                      <c:pt idx="5">
                        <c:v>-1.2</c:v>
                      </c:pt>
                      <c:pt idx="6">
                        <c:v>-1.4</c:v>
                      </c:pt>
                      <c:pt idx="7">
                        <c:v>-1.6</c:v>
                      </c:pt>
                      <c:pt idx="8">
                        <c:v>-1.8</c:v>
                      </c:pt>
                      <c:pt idx="9">
                        <c:v>-2</c:v>
                      </c:pt>
                      <c:pt idx="10">
                        <c:v>-2.2000000000000002</c:v>
                      </c:pt>
                      <c:pt idx="11">
                        <c:v>-2.4</c:v>
                      </c:pt>
                      <c:pt idx="12">
                        <c:v>-2.6</c:v>
                      </c:pt>
                      <c:pt idx="13">
                        <c:v>-2.8</c:v>
                      </c:pt>
                      <c:pt idx="14">
                        <c:v>-3</c:v>
                      </c:pt>
                      <c:pt idx="15">
                        <c:v>-3.2</c:v>
                      </c:pt>
                      <c:pt idx="16">
                        <c:v>-3.4</c:v>
                      </c:pt>
                      <c:pt idx="17">
                        <c:v>-3.6</c:v>
                      </c:pt>
                      <c:pt idx="18">
                        <c:v>-3.8</c:v>
                      </c:pt>
                      <c:pt idx="19">
                        <c:v>-4</c:v>
                      </c:pt>
                      <c:pt idx="20">
                        <c:v>-4.2</c:v>
                      </c:pt>
                      <c:pt idx="21">
                        <c:v>-4.4000000000000004</c:v>
                      </c:pt>
                      <c:pt idx="22">
                        <c:v>-4.5999999999999996</c:v>
                      </c:pt>
                      <c:pt idx="23">
                        <c:v>-4.8</c:v>
                      </c:pt>
                      <c:pt idx="24">
                        <c:v>-5</c:v>
                      </c:pt>
                      <c:pt idx="25">
                        <c:v>-5.2</c:v>
                      </c:pt>
                      <c:pt idx="26">
                        <c:v>-5.4</c:v>
                      </c:pt>
                      <c:pt idx="27">
                        <c:v>-5.6</c:v>
                      </c:pt>
                      <c:pt idx="28">
                        <c:v>-5.8</c:v>
                      </c:pt>
                      <c:pt idx="29">
                        <c:v>-6</c:v>
                      </c:pt>
                      <c:pt idx="30">
                        <c:v>-6.2</c:v>
                      </c:pt>
                      <c:pt idx="31">
                        <c:v>-6.4</c:v>
                      </c:pt>
                      <c:pt idx="32">
                        <c:v>-6.6</c:v>
                      </c:pt>
                      <c:pt idx="33">
                        <c:v>-6.8</c:v>
                      </c:pt>
                      <c:pt idx="34">
                        <c:v>-7</c:v>
                      </c:pt>
                      <c:pt idx="35">
                        <c:v>-7.2</c:v>
                      </c:pt>
                      <c:pt idx="36">
                        <c:v>-7.4</c:v>
                      </c:pt>
                      <c:pt idx="37">
                        <c:v>-7.6</c:v>
                      </c:pt>
                      <c:pt idx="38">
                        <c:v>-7.8</c:v>
                      </c:pt>
                      <c:pt idx="39">
                        <c:v>-8</c:v>
                      </c:pt>
                      <c:pt idx="40">
                        <c:v>-8.1999999999999993</c:v>
                      </c:pt>
                      <c:pt idx="41">
                        <c:v>-8.4</c:v>
                      </c:pt>
                      <c:pt idx="42">
                        <c:v>-8.6</c:v>
                      </c:pt>
                      <c:pt idx="43">
                        <c:v>-8.8000000000000007</c:v>
                      </c:pt>
                      <c:pt idx="44">
                        <c:v>-9</c:v>
                      </c:pt>
                      <c:pt idx="45">
                        <c:v>-9.1999999999999993</c:v>
                      </c:pt>
                      <c:pt idx="46">
                        <c:v>-9.4</c:v>
                      </c:pt>
                      <c:pt idx="47">
                        <c:v>-9.6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CF67-49A7-9B24-39BC5FEA6E3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FS</c:v>
                </c:tx>
                <c:spPr>
                  <a:ln w="25400" cap="flat" cmpd="dbl" algn="ctr">
                    <a:solidFill>
                      <a:schemeClr val="accent2">
                        <a:alpha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'verifica a liquefazione CPT (5)'!$AG$4:$AG$51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48"/>
                      <c:pt idx="2">
                        <c:v>4.7395870729305374</c:v>
                      </c:pt>
                      <c:pt idx="3">
                        <c:v>6.2277350990670284</c:v>
                      </c:pt>
                      <c:pt idx="4">
                        <c:v>6.7209306691375943</c:v>
                      </c:pt>
                      <c:pt idx="5">
                        <c:v>4.7838314619367948</c:v>
                      </c:pt>
                      <c:pt idx="6">
                        <c:v>4.1259861740135655</c:v>
                      </c:pt>
                      <c:pt idx="7">
                        <c:v>3.4956121574689982</c:v>
                      </c:pt>
                      <c:pt idx="8">
                        <c:v>4.3795327035587786</c:v>
                      </c:pt>
                      <c:pt idx="9">
                        <c:v>2.5690464175313661</c:v>
                      </c:pt>
                      <c:pt idx="10">
                        <c:v>3.562462285113277</c:v>
                      </c:pt>
                      <c:pt idx="11">
                        <c:v>2.0126190003188968</c:v>
                      </c:pt>
                      <c:pt idx="12">
                        <c:v>3.9617468689023698</c:v>
                      </c:pt>
                      <c:pt idx="13">
                        <c:v>3.675167443630583</c:v>
                      </c:pt>
                      <c:pt idx="14">
                        <c:v>5.0454801594281262</c:v>
                      </c:pt>
                      <c:pt idx="15">
                        <c:v>5.1284810654711652</c:v>
                      </c:pt>
                      <c:pt idx="16">
                        <c:v>2.8412040895069537</c:v>
                      </c:pt>
                      <c:pt idx="17">
                        <c:v>2.7677414013945798</c:v>
                      </c:pt>
                      <c:pt idx="18">
                        <c:v>2.5245624697556188</c:v>
                      </c:pt>
                      <c:pt idx="19">
                        <c:v>1.519889952791825</c:v>
                      </c:pt>
                      <c:pt idx="20">
                        <c:v>1.7853441991606165</c:v>
                      </c:pt>
                      <c:pt idx="21">
                        <c:v>1.3390004436222038</c:v>
                      </c:pt>
                      <c:pt idx="22">
                        <c:v>1.5752870528568004</c:v>
                      </c:pt>
                      <c:pt idx="23">
                        <c:v>1.1347449468764168</c:v>
                      </c:pt>
                      <c:pt idx="24">
                        <c:v>1.6960166484178278</c:v>
                      </c:pt>
                      <c:pt idx="25">
                        <c:v>1.4067794546498491</c:v>
                      </c:pt>
                      <c:pt idx="26">
                        <c:v>1.5428044042094906</c:v>
                      </c:pt>
                      <c:pt idx="27">
                        <c:v>1.8574560320865896</c:v>
                      </c:pt>
                      <c:pt idx="28">
                        <c:v>1.2177696337156767</c:v>
                      </c:pt>
                      <c:pt idx="29">
                        <c:v>1.2309327544886228</c:v>
                      </c:pt>
                      <c:pt idx="30">
                        <c:v>1.9013038489488885</c:v>
                      </c:pt>
                      <c:pt idx="31">
                        <c:v>2.1284386823061348</c:v>
                      </c:pt>
                      <c:pt idx="32">
                        <c:v>1.3698280086911565</c:v>
                      </c:pt>
                      <c:pt idx="33">
                        <c:v>1.5383780169023373</c:v>
                      </c:pt>
                      <c:pt idx="34">
                        <c:v>1.1041196366159973</c:v>
                      </c:pt>
                      <c:pt idx="35">
                        <c:v>1.5602440154962014</c:v>
                      </c:pt>
                      <c:pt idx="36">
                        <c:v>1.7611827568820393</c:v>
                      </c:pt>
                      <c:pt idx="37">
                        <c:v>1.727303806080704</c:v>
                      </c:pt>
                      <c:pt idx="38">
                        <c:v>1.3414092533793005</c:v>
                      </c:pt>
                      <c:pt idx="39">
                        <c:v>1.3587645288112105</c:v>
                      </c:pt>
                      <c:pt idx="40">
                        <c:v>1.2301053505463431</c:v>
                      </c:pt>
                      <c:pt idx="41">
                        <c:v>1.7755422725889514</c:v>
                      </c:pt>
                      <c:pt idx="42">
                        <c:v>1.4220574720733259</c:v>
                      </c:pt>
                      <c:pt idx="43">
                        <c:v>1.216935324675076</c:v>
                      </c:pt>
                      <c:pt idx="44">
                        <c:v>1.2484563651304703</c:v>
                      </c:pt>
                      <c:pt idx="45">
                        <c:v>1.3526336875469978</c:v>
                      </c:pt>
                      <c:pt idx="46">
                        <c:v>1.5786743160576515</c:v>
                      </c:pt>
                      <c:pt idx="47">
                        <c:v>1.6379460516563991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'verifica a liquefazione CPT (5)'!$AM$4:$AM$51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-0.2</c:v>
                      </c:pt>
                      <c:pt idx="1">
                        <c:v>-0.4</c:v>
                      </c:pt>
                      <c:pt idx="2">
                        <c:v>-0.6</c:v>
                      </c:pt>
                      <c:pt idx="3">
                        <c:v>-0.8</c:v>
                      </c:pt>
                      <c:pt idx="4">
                        <c:v>-1</c:v>
                      </c:pt>
                      <c:pt idx="5">
                        <c:v>-1.2</c:v>
                      </c:pt>
                      <c:pt idx="6">
                        <c:v>-1.4</c:v>
                      </c:pt>
                      <c:pt idx="7">
                        <c:v>-1.6</c:v>
                      </c:pt>
                      <c:pt idx="8">
                        <c:v>-1.8</c:v>
                      </c:pt>
                      <c:pt idx="9">
                        <c:v>-2</c:v>
                      </c:pt>
                      <c:pt idx="10">
                        <c:v>-2.2000000000000002</c:v>
                      </c:pt>
                      <c:pt idx="11">
                        <c:v>-2.4</c:v>
                      </c:pt>
                      <c:pt idx="12">
                        <c:v>-2.6</c:v>
                      </c:pt>
                      <c:pt idx="13">
                        <c:v>-2.8</c:v>
                      </c:pt>
                      <c:pt idx="14">
                        <c:v>-3</c:v>
                      </c:pt>
                      <c:pt idx="15">
                        <c:v>-3.2</c:v>
                      </c:pt>
                      <c:pt idx="16">
                        <c:v>-3.4</c:v>
                      </c:pt>
                      <c:pt idx="17">
                        <c:v>-3.6</c:v>
                      </c:pt>
                      <c:pt idx="18">
                        <c:v>-3.8</c:v>
                      </c:pt>
                      <c:pt idx="19">
                        <c:v>-4</c:v>
                      </c:pt>
                      <c:pt idx="20">
                        <c:v>-4.2</c:v>
                      </c:pt>
                      <c:pt idx="21">
                        <c:v>-4.4000000000000004</c:v>
                      </c:pt>
                      <c:pt idx="22">
                        <c:v>-4.5999999999999996</c:v>
                      </c:pt>
                      <c:pt idx="23">
                        <c:v>-4.8</c:v>
                      </c:pt>
                      <c:pt idx="24">
                        <c:v>-5</c:v>
                      </c:pt>
                      <c:pt idx="25">
                        <c:v>-5.2</c:v>
                      </c:pt>
                      <c:pt idx="26">
                        <c:v>-5.4</c:v>
                      </c:pt>
                      <c:pt idx="27">
                        <c:v>-5.6</c:v>
                      </c:pt>
                      <c:pt idx="28">
                        <c:v>-5.8</c:v>
                      </c:pt>
                      <c:pt idx="29">
                        <c:v>-6</c:v>
                      </c:pt>
                      <c:pt idx="30">
                        <c:v>-6.2</c:v>
                      </c:pt>
                      <c:pt idx="31">
                        <c:v>-6.4</c:v>
                      </c:pt>
                      <c:pt idx="32">
                        <c:v>-6.6</c:v>
                      </c:pt>
                      <c:pt idx="33">
                        <c:v>-6.8</c:v>
                      </c:pt>
                      <c:pt idx="34">
                        <c:v>-7</c:v>
                      </c:pt>
                      <c:pt idx="35">
                        <c:v>-7.2</c:v>
                      </c:pt>
                      <c:pt idx="36">
                        <c:v>-7.4</c:v>
                      </c:pt>
                      <c:pt idx="37">
                        <c:v>-7.6</c:v>
                      </c:pt>
                      <c:pt idx="38">
                        <c:v>-7.8</c:v>
                      </c:pt>
                      <c:pt idx="39">
                        <c:v>-8</c:v>
                      </c:pt>
                      <c:pt idx="40">
                        <c:v>-8.1999999999999993</c:v>
                      </c:pt>
                      <c:pt idx="41">
                        <c:v>-8.4</c:v>
                      </c:pt>
                      <c:pt idx="42">
                        <c:v>-8.6</c:v>
                      </c:pt>
                      <c:pt idx="43">
                        <c:v>-8.8000000000000007</c:v>
                      </c:pt>
                      <c:pt idx="44">
                        <c:v>-9</c:v>
                      </c:pt>
                      <c:pt idx="45">
                        <c:v>-9.1999999999999993</c:v>
                      </c:pt>
                      <c:pt idx="46">
                        <c:v>-9.4</c:v>
                      </c:pt>
                      <c:pt idx="47">
                        <c:v>-9.6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F67-49A7-9B24-39BC5FEA6E3B}"/>
                  </c:ext>
                </c:extLst>
              </c15:ser>
            </c15:filteredScatterSeries>
          </c:ext>
        </c:extLst>
      </c:scatterChart>
      <c:valAx>
        <c:axId val="1017223984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818304"/>
        <c:crosses val="autoZero"/>
        <c:crossBetween val="midCat"/>
      </c:valAx>
      <c:valAx>
        <c:axId val="1098818304"/>
        <c:scaling>
          <c:orientation val="minMax"/>
          <c:max val="0"/>
          <c:min val="-9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z [m]</a:t>
                </a:r>
              </a:p>
            </c:rich>
          </c:tx>
          <c:layout>
            <c:manualLayout>
              <c:xMode val="edge"/>
              <c:yMode val="edge"/>
              <c:x val="3.2376749109256997E-3"/>
              <c:y val="0.380502820612817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722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510891674011971E-2"/>
          <c:y val="2.4772045797345051E-2"/>
          <c:w val="0.66385756423647047"/>
          <c:h val="0.93606251470660662"/>
        </c:manualLayout>
      </c:layout>
      <c:scatterChart>
        <c:scatterStyle val="lineMarker"/>
        <c:varyColors val="0"/>
        <c:ser>
          <c:idx val="0"/>
          <c:order val="0"/>
          <c:tx>
            <c:v>FS=1,25</c:v>
          </c:tx>
          <c:spPr>
            <a:ln w="44450" cap="flat" cmpd="sng" algn="ctr">
              <a:solidFill>
                <a:schemeClr val="tx1">
                  <a:alpha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(4)'!$AL$4:$AL$51</c:f>
              <c:numCache>
                <c:formatCode>General</c:formatCode>
                <c:ptCount val="48"/>
                <c:pt idx="0">
                  <c:v>1.25</c:v>
                </c:pt>
                <c:pt idx="1">
                  <c:v>1.25</c:v>
                </c:pt>
                <c:pt idx="2">
                  <c:v>1.25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1.25</c:v>
                </c:pt>
                <c:pt idx="16">
                  <c:v>1.25</c:v>
                </c:pt>
                <c:pt idx="17">
                  <c:v>1.25</c:v>
                </c:pt>
                <c:pt idx="18">
                  <c:v>1.25</c:v>
                </c:pt>
                <c:pt idx="19">
                  <c:v>1.25</c:v>
                </c:pt>
                <c:pt idx="20">
                  <c:v>1.25</c:v>
                </c:pt>
                <c:pt idx="21">
                  <c:v>1.25</c:v>
                </c:pt>
                <c:pt idx="22">
                  <c:v>1.25</c:v>
                </c:pt>
                <c:pt idx="23">
                  <c:v>1.25</c:v>
                </c:pt>
                <c:pt idx="24">
                  <c:v>1.25</c:v>
                </c:pt>
                <c:pt idx="25">
                  <c:v>1.25</c:v>
                </c:pt>
                <c:pt idx="26">
                  <c:v>1.25</c:v>
                </c:pt>
                <c:pt idx="27">
                  <c:v>1.25</c:v>
                </c:pt>
                <c:pt idx="28">
                  <c:v>1.25</c:v>
                </c:pt>
                <c:pt idx="29">
                  <c:v>1.25</c:v>
                </c:pt>
                <c:pt idx="30">
                  <c:v>1.25</c:v>
                </c:pt>
                <c:pt idx="31">
                  <c:v>1.25</c:v>
                </c:pt>
                <c:pt idx="32">
                  <c:v>1.25</c:v>
                </c:pt>
                <c:pt idx="33">
                  <c:v>1.25</c:v>
                </c:pt>
                <c:pt idx="34">
                  <c:v>1.25</c:v>
                </c:pt>
                <c:pt idx="35">
                  <c:v>1.25</c:v>
                </c:pt>
                <c:pt idx="36">
                  <c:v>1.25</c:v>
                </c:pt>
                <c:pt idx="37">
                  <c:v>1.25</c:v>
                </c:pt>
                <c:pt idx="38">
                  <c:v>1.25</c:v>
                </c:pt>
                <c:pt idx="39">
                  <c:v>1.25</c:v>
                </c:pt>
                <c:pt idx="40">
                  <c:v>1.25</c:v>
                </c:pt>
                <c:pt idx="41">
                  <c:v>1.25</c:v>
                </c:pt>
                <c:pt idx="42">
                  <c:v>1.25</c:v>
                </c:pt>
                <c:pt idx="43">
                  <c:v>1.25</c:v>
                </c:pt>
                <c:pt idx="44">
                  <c:v>1.25</c:v>
                </c:pt>
                <c:pt idx="45">
                  <c:v>1.25</c:v>
                </c:pt>
                <c:pt idx="46">
                  <c:v>1.25</c:v>
                </c:pt>
                <c:pt idx="47">
                  <c:v>1.25</c:v>
                </c:pt>
              </c:numCache>
            </c:numRef>
          </c:xVal>
          <c:yVal>
            <c:numRef>
              <c:f>'verifica a liquefazione (4)'!$AM$4:$AM$51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27-429E-9F14-A686CE648948}"/>
            </c:ext>
          </c:extLst>
        </c:ser>
        <c:ser>
          <c:idx val="1"/>
          <c:order val="1"/>
          <c:tx>
            <c:v>FS-(il calcolo di CRR si basa sulla Metodologia Youd aggiornato con Robertson)</c:v>
          </c:tx>
          <c:spPr>
            <a:ln w="31750" cap="rnd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(4)'!$AG$4:$AG$51</c:f>
              <c:numCache>
                <c:formatCode>_(* #,##0.00_);_(* \(#,##0.00\);_(* "-"??_);_(@_)</c:formatCode>
                <c:ptCount val="48"/>
                <c:pt idx="2">
                  <c:v>28.538305351883487</c:v>
                </c:pt>
                <c:pt idx="3">
                  <c:v>26.655696072213985</c:v>
                </c:pt>
                <c:pt idx="4">
                  <c:v>16.845359359609308</c:v>
                </c:pt>
                <c:pt idx="5">
                  <c:v>19.142045035320159</c:v>
                </c:pt>
                <c:pt idx="6">
                  <c:v>12.083160384454064</c:v>
                </c:pt>
                <c:pt idx="7">
                  <c:v>7.7429045869997681</c:v>
                </c:pt>
                <c:pt idx="8">
                  <c:v>5.2592518158917416</c:v>
                </c:pt>
                <c:pt idx="9">
                  <c:v>2.4622124496137237</c:v>
                </c:pt>
                <c:pt idx="10">
                  <c:v>2.7258817819866752</c:v>
                </c:pt>
                <c:pt idx="11">
                  <c:v>2.3345681539555172</c:v>
                </c:pt>
                <c:pt idx="12">
                  <c:v>6.2470740521541499</c:v>
                </c:pt>
                <c:pt idx="13">
                  <c:v>14.215315991445429</c:v>
                </c:pt>
                <c:pt idx="14">
                  <c:v>12.655622792020353</c:v>
                </c:pt>
                <c:pt idx="15">
                  <c:v>5.5603999956670505</c:v>
                </c:pt>
                <c:pt idx="16">
                  <c:v>20.1735421402356</c:v>
                </c:pt>
                <c:pt idx="17">
                  <c:v>9.1142413396397259</c:v>
                </c:pt>
                <c:pt idx="18">
                  <c:v>8.3543552691498046</c:v>
                </c:pt>
                <c:pt idx="19">
                  <c:v>8.4469121231113622</c:v>
                </c:pt>
                <c:pt idx="20">
                  <c:v>6.6564032678133787</c:v>
                </c:pt>
                <c:pt idx="21">
                  <c:v>5.3979144570720985</c:v>
                </c:pt>
                <c:pt idx="22">
                  <c:v>5.1801946825214964</c:v>
                </c:pt>
                <c:pt idx="23">
                  <c:v>5.6103325160627948</c:v>
                </c:pt>
                <c:pt idx="24">
                  <c:v>10.769280420071436</c:v>
                </c:pt>
                <c:pt idx="25">
                  <c:v>5.0582139086061382</c:v>
                </c:pt>
                <c:pt idx="26">
                  <c:v>5.8918926069219841</c:v>
                </c:pt>
                <c:pt idx="27">
                  <c:v>7.2173309093656446</c:v>
                </c:pt>
                <c:pt idx="28">
                  <c:v>4.0642110231177764</c:v>
                </c:pt>
                <c:pt idx="29">
                  <c:v>4.3377162332086634</c:v>
                </c:pt>
                <c:pt idx="30">
                  <c:v>6.8818489629199533</c:v>
                </c:pt>
                <c:pt idx="31">
                  <c:v>4.7312391688339037</c:v>
                </c:pt>
                <c:pt idx="32">
                  <c:v>4.8408122075674491</c:v>
                </c:pt>
                <c:pt idx="33">
                  <c:v>3.3135410151596001</c:v>
                </c:pt>
                <c:pt idx="34">
                  <c:v>6.8058091549152522</c:v>
                </c:pt>
                <c:pt idx="35">
                  <c:v>4.5230775350270065</c:v>
                </c:pt>
                <c:pt idx="36">
                  <c:v>5.0301854860588024</c:v>
                </c:pt>
                <c:pt idx="37">
                  <c:v>4.0255454321563811</c:v>
                </c:pt>
                <c:pt idx="38">
                  <c:v>7.1303810818017199</c:v>
                </c:pt>
                <c:pt idx="39">
                  <c:v>3.5225571562602815</c:v>
                </c:pt>
                <c:pt idx="40">
                  <c:v>5.5044645424474767</c:v>
                </c:pt>
                <c:pt idx="41">
                  <c:v>7.1579449388295586</c:v>
                </c:pt>
                <c:pt idx="42">
                  <c:v>5.8910675521193054</c:v>
                </c:pt>
                <c:pt idx="43">
                  <c:v>6.5275104427114155</c:v>
                </c:pt>
                <c:pt idx="44">
                  <c:v>7.3908564578687992</c:v>
                </c:pt>
                <c:pt idx="45">
                  <c:v>6.8138261478365862</c:v>
                </c:pt>
                <c:pt idx="46">
                  <c:v>7.5613131003454939</c:v>
                </c:pt>
              </c:numCache>
            </c:numRef>
          </c:xVal>
          <c:yVal>
            <c:numRef>
              <c:f>'verifica a liquefazione (4)'!$AM$4:$AM$51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27-429E-9F14-A686CE648948}"/>
            </c:ext>
          </c:extLst>
        </c:ser>
        <c:ser>
          <c:idx val="2"/>
          <c:order val="2"/>
          <c:tx>
            <c:v>FS-il calcolo di CRR si basa sul metodo di Idriss &amp; Boulanger)</c:v>
          </c:tx>
          <c:spPr>
            <a:ln w="28575" cap="flat" cmpd="sng" algn="ctr">
              <a:solidFill>
                <a:srgbClr val="FF0000"/>
              </a:solidFill>
              <a:bevel/>
            </a:ln>
            <a:effectLst>
              <a:outerShdw blurRad="50800" dist="50800" dir="5400000" sx="14000" sy="14000" algn="ctr" rotWithShape="0">
                <a:srgbClr val="000000">
                  <a:alpha val="43137"/>
                </a:srgbClr>
              </a:outerShdw>
            </a:effectLst>
          </c:spPr>
          <c:marker>
            <c:symbol val="none"/>
          </c:marker>
          <c:xVal>
            <c:numRef>
              <c:f>'verifica a liquefazione (4)'!$AI$4:$AI$51</c:f>
              <c:numCache>
                <c:formatCode>General</c:formatCode>
                <c:ptCount val="48"/>
                <c:pt idx="0">
                  <c:v>0</c:v>
                </c:pt>
                <c:pt idx="2" formatCode="0.00">
                  <c:v>22.988274028062001</c:v>
                </c:pt>
                <c:pt idx="3" formatCode="0.00">
                  <c:v>20.359650669813309</c:v>
                </c:pt>
                <c:pt idx="4" formatCode="0.00">
                  <c:v>11.652378638942322</c:v>
                </c:pt>
                <c:pt idx="5" formatCode="0.00">
                  <c:v>13.178929121680664</c:v>
                </c:pt>
                <c:pt idx="6" formatCode="0.00">
                  <c:v>8.9720429908931241</c:v>
                </c:pt>
                <c:pt idx="7" formatCode="0.00">
                  <c:v>6.5558703198265258</c:v>
                </c:pt>
                <c:pt idx="8" formatCode="0.00">
                  <c:v>3.9708166148497122</c:v>
                </c:pt>
                <c:pt idx="9" formatCode="0.00">
                  <c:v>2.1878877963641163</c:v>
                </c:pt>
                <c:pt idx="10" formatCode="0.00">
                  <c:v>2.4222253259291384</c:v>
                </c:pt>
                <c:pt idx="11" formatCode="0.00">
                  <c:v>2.0585119112056347</c:v>
                </c:pt>
                <c:pt idx="12" formatCode="0.00">
                  <c:v>4.5051723592124402</c:v>
                </c:pt>
                <c:pt idx="13" formatCode="0.00">
                  <c:v>12.17798438724923</c:v>
                </c:pt>
                <c:pt idx="14" formatCode="0.00">
                  <c:v>9.7712114976435913</c:v>
                </c:pt>
                <c:pt idx="15" formatCode="0.00">
                  <c:v>4.1435056180275822</c:v>
                </c:pt>
                <c:pt idx="16" formatCode="0.00">
                  <c:v>32.579050504297058</c:v>
                </c:pt>
                <c:pt idx="17" formatCode="0.00">
                  <c:v>6.2797551775120599</c:v>
                </c:pt>
                <c:pt idx="18" formatCode="0.00">
                  <c:v>5.7552175712078979</c:v>
                </c:pt>
                <c:pt idx="19" formatCode="0.00">
                  <c:v>5.816608958777767</c:v>
                </c:pt>
                <c:pt idx="20" formatCode="0.00">
                  <c:v>4.7428019253951792</c:v>
                </c:pt>
                <c:pt idx="21" formatCode="0.00">
                  <c:v>4.0686849846865378</c:v>
                </c:pt>
                <c:pt idx="22" formatCode="0.00">
                  <c:v>3.9548781449997601</c:v>
                </c:pt>
                <c:pt idx="23" formatCode="0.00">
                  <c:v>4.1851656421175587</c:v>
                </c:pt>
                <c:pt idx="24" formatCode="0.00">
                  <c:v>7.6209137688054538</c:v>
                </c:pt>
                <c:pt idx="25" formatCode="0.00">
                  <c:v>3.8954282572574539</c:v>
                </c:pt>
                <c:pt idx="26" formatCode="0.00">
                  <c:v>4.3404632538480383</c:v>
                </c:pt>
                <c:pt idx="27" formatCode="0.00">
                  <c:v>5.0613897813802398</c:v>
                </c:pt>
                <c:pt idx="28" formatCode="0.00">
                  <c:v>3.3313235725731776</c:v>
                </c:pt>
                <c:pt idx="29" formatCode="0.00">
                  <c:v>3.4801881599057665</c:v>
                </c:pt>
                <c:pt idx="30" formatCode="0.00">
                  <c:v>4.8504506337552309</c:v>
                </c:pt>
                <c:pt idx="31" formatCode="0.00">
                  <c:v>3.6819367558814013</c:v>
                </c:pt>
                <c:pt idx="32" formatCode="0.00">
                  <c:v>3.7339548096397781</c:v>
                </c:pt>
                <c:pt idx="33" formatCode="0.00">
                  <c:v>2.8791752460416404</c:v>
                </c:pt>
                <c:pt idx="34" formatCode="0.00">
                  <c:v>4.8494548791646617</c:v>
                </c:pt>
                <c:pt idx="35" formatCode="0.00">
                  <c:v>3.622224327666467</c:v>
                </c:pt>
                <c:pt idx="36" formatCode="0.00">
                  <c:v>3.8096774945625707</c:v>
                </c:pt>
                <c:pt idx="37" formatCode="0.00">
                  <c:v>3.2575320551086286</c:v>
                </c:pt>
                <c:pt idx="38" formatCode="0.00">
                  <c:v>4.9585551587899301</c:v>
                </c:pt>
                <c:pt idx="39" formatCode="0.00">
                  <c:v>2.9533851032654943</c:v>
                </c:pt>
                <c:pt idx="40" formatCode="0.00">
                  <c:v>4.0399153050508403</c:v>
                </c:pt>
                <c:pt idx="41" formatCode="0.00">
                  <c:v>4.9662795879412895</c:v>
                </c:pt>
                <c:pt idx="42" formatCode="0.00">
                  <c:v>4.2385418824736902</c:v>
                </c:pt>
                <c:pt idx="43" formatCode="0.00">
                  <c:v>4.5887910124781044</c:v>
                </c:pt>
                <c:pt idx="44" formatCode="0.00">
                  <c:v>5.1040449167190323</c:v>
                </c:pt>
                <c:pt idx="45" formatCode="0.00">
                  <c:v>4.7501042118418564</c:v>
                </c:pt>
                <c:pt idx="46" formatCode="0.00">
                  <c:v>5.2123013199815711</c:v>
                </c:pt>
              </c:numCache>
            </c:numRef>
          </c:xVal>
          <c:yVal>
            <c:numRef>
              <c:f>'verifica a liquefazione (4)'!$AM$4:$AM$51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127-429E-9F14-A686CE648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223984"/>
        <c:axId val="1098818304"/>
        <c:extLst/>
      </c:scatterChart>
      <c:valAx>
        <c:axId val="101722398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000"/>
                  <a:t>FS</a:t>
                </a:r>
              </a:p>
            </c:rich>
          </c:tx>
          <c:layout>
            <c:manualLayout>
              <c:xMode val="edge"/>
              <c:yMode val="edge"/>
              <c:x val="0.77664245027832235"/>
              <c:y val="0.937141480602596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818304"/>
        <c:crosses val="autoZero"/>
        <c:crossBetween val="midCat"/>
      </c:valAx>
      <c:valAx>
        <c:axId val="1098818304"/>
        <c:scaling>
          <c:orientation val="minMax"/>
          <c:max val="0"/>
          <c:min val="-9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thickThin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400" baseline="0"/>
                  <a:t> z [m]</a:t>
                </a:r>
                <a:endParaRPr lang="it-IT" sz="1400"/>
              </a:p>
            </c:rich>
          </c:tx>
          <c:layout>
            <c:manualLayout>
              <c:xMode val="edge"/>
              <c:yMode val="edge"/>
              <c:x val="4.0905965833729682E-3"/>
              <c:y val="0.186951679382871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7223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28010094002309"/>
          <c:y val="0.13058098620451894"/>
          <c:w val="0.19805423229302713"/>
          <c:h val="0.51391313388894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Indice di comportamento</a:t>
            </a:r>
          </a:p>
        </c:rich>
      </c:tx>
      <c:layout>
        <c:manualLayout>
          <c:xMode val="edge"/>
          <c:yMode val="edge"/>
          <c:x val="0.29429522580582701"/>
          <c:y val="2.646457180479106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5282316865199404E-2"/>
          <c:y val="4.1988393928902114E-2"/>
          <c:w val="0.86361679986499007"/>
          <c:h val="0.88775969671936039"/>
        </c:manualLayout>
      </c:layout>
      <c:scatterChart>
        <c:scatterStyle val="lineMarker"/>
        <c:varyColors val="0"/>
        <c:ser>
          <c:idx val="2"/>
          <c:order val="2"/>
          <c:tx>
            <c:v>Ic</c:v>
          </c:tx>
          <c:spPr>
            <a:ln w="53975" cap="flat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(4)'!$V$4:$V$51</c:f>
              <c:numCache>
                <c:formatCode>0.00</c:formatCode>
                <c:ptCount val="48"/>
                <c:pt idx="1">
                  <c:v>2.2216835546277793</c:v>
                </c:pt>
                <c:pt idx="2">
                  <c:v>2.0938284127056868</c:v>
                </c:pt>
                <c:pt idx="3">
                  <c:v>2.2635204586554654</c:v>
                </c:pt>
                <c:pt idx="4">
                  <c:v>2.4222274385234632</c:v>
                </c:pt>
                <c:pt idx="5">
                  <c:v>2.6575102612778512</c:v>
                </c:pt>
                <c:pt idx="6">
                  <c:v>2.30361448607984</c:v>
                </c:pt>
                <c:pt idx="7">
                  <c:v>2.3136417010289008</c:v>
                </c:pt>
                <c:pt idx="8">
                  <c:v>2.5535436274770644</c:v>
                </c:pt>
                <c:pt idx="9">
                  <c:v>2.2993231102347256</c:v>
                </c:pt>
                <c:pt idx="10">
                  <c:v>2.3383162888938989</c:v>
                </c:pt>
                <c:pt idx="11">
                  <c:v>2.5480540812549486</c:v>
                </c:pt>
                <c:pt idx="12">
                  <c:v>2.9807184325632616</c:v>
                </c:pt>
                <c:pt idx="13">
                  <c:v>2.9522324866028939</c:v>
                </c:pt>
                <c:pt idx="14">
                  <c:v>2.2711463465543522</c:v>
                </c:pt>
                <c:pt idx="15">
                  <c:v>2.0663767301681197</c:v>
                </c:pt>
                <c:pt idx="16">
                  <c:v>2.2157191913017913</c:v>
                </c:pt>
                <c:pt idx="17">
                  <c:v>2.266808419833235</c:v>
                </c:pt>
                <c:pt idx="18">
                  <c:v>2.3261578962875196</c:v>
                </c:pt>
                <c:pt idx="19">
                  <c:v>2.2728629680592807</c:v>
                </c:pt>
                <c:pt idx="20">
                  <c:v>2.4914666560900218</c:v>
                </c:pt>
                <c:pt idx="21">
                  <c:v>2.3792140645190463</c:v>
                </c:pt>
                <c:pt idx="22">
                  <c:v>2.3655299365686564</c:v>
                </c:pt>
                <c:pt idx="23">
                  <c:v>2.3824576121258687</c:v>
                </c:pt>
                <c:pt idx="24">
                  <c:v>2.5719851472878101</c:v>
                </c:pt>
                <c:pt idx="25">
                  <c:v>2.2223894711307626</c:v>
                </c:pt>
                <c:pt idx="26">
                  <c:v>2.1434885027304289</c:v>
                </c:pt>
                <c:pt idx="27">
                  <c:v>2.2917773609155683</c:v>
                </c:pt>
                <c:pt idx="28">
                  <c:v>2.3287483986170807</c:v>
                </c:pt>
                <c:pt idx="29">
                  <c:v>2.329891315740543</c:v>
                </c:pt>
                <c:pt idx="30">
                  <c:v>2.3897575623182523</c:v>
                </c:pt>
                <c:pt idx="31">
                  <c:v>2.2490096089342213</c:v>
                </c:pt>
                <c:pt idx="32">
                  <c:v>2.3867472926955076</c:v>
                </c:pt>
                <c:pt idx="33">
                  <c:v>2.3808672423832116</c:v>
                </c:pt>
                <c:pt idx="34">
                  <c:v>2.7335210979981492</c:v>
                </c:pt>
                <c:pt idx="35">
                  <c:v>3.0029105432857723</c:v>
                </c:pt>
                <c:pt idx="36">
                  <c:v>2.345046609645542</c:v>
                </c:pt>
                <c:pt idx="37">
                  <c:v>2.3629742128980333</c:v>
                </c:pt>
                <c:pt idx="38">
                  <c:v>2.4050778956416776</c:v>
                </c:pt>
                <c:pt idx="39">
                  <c:v>2.310108429011398</c:v>
                </c:pt>
                <c:pt idx="40">
                  <c:v>2.3028799455853948</c:v>
                </c:pt>
                <c:pt idx="41">
                  <c:v>2.3064375156664836</c:v>
                </c:pt>
                <c:pt idx="42">
                  <c:v>2.2763945933360139</c:v>
                </c:pt>
                <c:pt idx="43">
                  <c:v>2.2045873063226424</c:v>
                </c:pt>
                <c:pt idx="44">
                  <c:v>2.4070121992812763</c:v>
                </c:pt>
                <c:pt idx="45">
                  <c:v>2.2561469942730654</c:v>
                </c:pt>
                <c:pt idx="46">
                  <c:v>2.2557559651783525</c:v>
                </c:pt>
              </c:numCache>
            </c:numRef>
          </c:xVal>
          <c:yVal>
            <c:numRef>
              <c:f>'verifica a liquefazione (4)'!$AM$4:$AM$51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E6-4E58-8CD9-21F4514CD36F}"/>
            </c:ext>
          </c:extLst>
        </c:ser>
        <c:ser>
          <c:idx val="3"/>
          <c:order val="3"/>
          <c:tx>
            <c:v>1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(4)'!$AN$4:$AN$51</c:f>
              <c:numCache>
                <c:formatCode>General</c:formatCode>
                <c:ptCount val="48"/>
                <c:pt idx="0">
                  <c:v>1.31</c:v>
                </c:pt>
                <c:pt idx="1">
                  <c:v>1.31</c:v>
                </c:pt>
                <c:pt idx="2">
                  <c:v>1.31</c:v>
                </c:pt>
                <c:pt idx="3">
                  <c:v>1.31</c:v>
                </c:pt>
                <c:pt idx="4">
                  <c:v>1.31</c:v>
                </c:pt>
                <c:pt idx="5">
                  <c:v>1.31</c:v>
                </c:pt>
                <c:pt idx="6">
                  <c:v>1.31</c:v>
                </c:pt>
                <c:pt idx="7">
                  <c:v>1.31</c:v>
                </c:pt>
                <c:pt idx="8">
                  <c:v>1.31</c:v>
                </c:pt>
                <c:pt idx="9">
                  <c:v>1.31</c:v>
                </c:pt>
                <c:pt idx="10">
                  <c:v>1.31</c:v>
                </c:pt>
                <c:pt idx="11">
                  <c:v>1.31</c:v>
                </c:pt>
                <c:pt idx="12">
                  <c:v>1.31</c:v>
                </c:pt>
                <c:pt idx="13">
                  <c:v>1.31</c:v>
                </c:pt>
                <c:pt idx="14">
                  <c:v>1.31</c:v>
                </c:pt>
                <c:pt idx="15">
                  <c:v>1.31</c:v>
                </c:pt>
                <c:pt idx="16">
                  <c:v>1.31</c:v>
                </c:pt>
                <c:pt idx="17">
                  <c:v>1.31</c:v>
                </c:pt>
                <c:pt idx="18">
                  <c:v>1.31</c:v>
                </c:pt>
                <c:pt idx="19">
                  <c:v>1.31</c:v>
                </c:pt>
                <c:pt idx="20">
                  <c:v>1.31</c:v>
                </c:pt>
                <c:pt idx="21">
                  <c:v>1.31</c:v>
                </c:pt>
                <c:pt idx="22">
                  <c:v>1.31</c:v>
                </c:pt>
                <c:pt idx="23">
                  <c:v>1.31</c:v>
                </c:pt>
                <c:pt idx="24">
                  <c:v>1.31</c:v>
                </c:pt>
                <c:pt idx="25">
                  <c:v>1.31</c:v>
                </c:pt>
                <c:pt idx="26">
                  <c:v>1.31</c:v>
                </c:pt>
                <c:pt idx="27">
                  <c:v>1.31</c:v>
                </c:pt>
                <c:pt idx="28">
                  <c:v>1.31</c:v>
                </c:pt>
                <c:pt idx="29">
                  <c:v>1.31</c:v>
                </c:pt>
                <c:pt idx="30">
                  <c:v>1.31</c:v>
                </c:pt>
                <c:pt idx="31">
                  <c:v>1.31</c:v>
                </c:pt>
                <c:pt idx="32">
                  <c:v>1.31</c:v>
                </c:pt>
                <c:pt idx="33">
                  <c:v>1.31</c:v>
                </c:pt>
                <c:pt idx="34">
                  <c:v>1.31</c:v>
                </c:pt>
                <c:pt idx="35">
                  <c:v>1.31</c:v>
                </c:pt>
                <c:pt idx="36">
                  <c:v>1.31</c:v>
                </c:pt>
                <c:pt idx="37">
                  <c:v>1.31</c:v>
                </c:pt>
                <c:pt idx="38">
                  <c:v>1.31</c:v>
                </c:pt>
                <c:pt idx="39">
                  <c:v>1.31</c:v>
                </c:pt>
                <c:pt idx="40">
                  <c:v>1.31</c:v>
                </c:pt>
                <c:pt idx="41">
                  <c:v>1.31</c:v>
                </c:pt>
                <c:pt idx="42">
                  <c:v>1.31</c:v>
                </c:pt>
                <c:pt idx="43">
                  <c:v>1.31</c:v>
                </c:pt>
                <c:pt idx="44">
                  <c:v>1.31</c:v>
                </c:pt>
                <c:pt idx="45">
                  <c:v>1.31</c:v>
                </c:pt>
                <c:pt idx="46">
                  <c:v>1.31</c:v>
                </c:pt>
                <c:pt idx="47">
                  <c:v>1.31</c:v>
                </c:pt>
              </c:numCache>
            </c:numRef>
          </c:xVal>
          <c:yVal>
            <c:numRef>
              <c:f>'verifica a liquefazione (4)'!$AM$4:$AM$51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E6-4E58-8CD9-21F4514CD36F}"/>
            </c:ext>
          </c:extLst>
        </c:ser>
        <c:ser>
          <c:idx val="4"/>
          <c:order val="4"/>
          <c:tx>
            <c:v>2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(4)'!$AO$4:$AO$51</c:f>
              <c:numCache>
                <c:formatCode>General</c:formatCode>
                <c:ptCount val="48"/>
                <c:pt idx="0">
                  <c:v>2.0499999999999998</c:v>
                </c:pt>
                <c:pt idx="1">
                  <c:v>2.0499999999999998</c:v>
                </c:pt>
                <c:pt idx="2">
                  <c:v>2.0499999999999998</c:v>
                </c:pt>
                <c:pt idx="3">
                  <c:v>2.0499999999999998</c:v>
                </c:pt>
                <c:pt idx="4">
                  <c:v>2.0499999999999998</c:v>
                </c:pt>
                <c:pt idx="5">
                  <c:v>2.0499999999999998</c:v>
                </c:pt>
                <c:pt idx="6">
                  <c:v>2.0499999999999998</c:v>
                </c:pt>
                <c:pt idx="7">
                  <c:v>2.0499999999999998</c:v>
                </c:pt>
                <c:pt idx="8">
                  <c:v>2.0499999999999998</c:v>
                </c:pt>
                <c:pt idx="9">
                  <c:v>2.0499999999999998</c:v>
                </c:pt>
                <c:pt idx="10">
                  <c:v>2.0499999999999998</c:v>
                </c:pt>
                <c:pt idx="11">
                  <c:v>2.0499999999999998</c:v>
                </c:pt>
                <c:pt idx="12">
                  <c:v>2.0499999999999998</c:v>
                </c:pt>
                <c:pt idx="13">
                  <c:v>2.0499999999999998</c:v>
                </c:pt>
                <c:pt idx="14">
                  <c:v>2.0499999999999998</c:v>
                </c:pt>
                <c:pt idx="15">
                  <c:v>2.0499999999999998</c:v>
                </c:pt>
                <c:pt idx="16">
                  <c:v>2.0499999999999998</c:v>
                </c:pt>
                <c:pt idx="17">
                  <c:v>2.0499999999999998</c:v>
                </c:pt>
                <c:pt idx="18">
                  <c:v>2.0499999999999998</c:v>
                </c:pt>
                <c:pt idx="19">
                  <c:v>2.0499999999999998</c:v>
                </c:pt>
                <c:pt idx="20">
                  <c:v>2.0499999999999998</c:v>
                </c:pt>
                <c:pt idx="21">
                  <c:v>2.0499999999999998</c:v>
                </c:pt>
                <c:pt idx="22">
                  <c:v>2.0499999999999998</c:v>
                </c:pt>
                <c:pt idx="23">
                  <c:v>2.0499999999999998</c:v>
                </c:pt>
                <c:pt idx="24">
                  <c:v>2.0499999999999998</c:v>
                </c:pt>
                <c:pt idx="25">
                  <c:v>2.0499999999999998</c:v>
                </c:pt>
                <c:pt idx="26">
                  <c:v>2.0499999999999998</c:v>
                </c:pt>
                <c:pt idx="27">
                  <c:v>2.0499999999999998</c:v>
                </c:pt>
                <c:pt idx="28">
                  <c:v>2.0499999999999998</c:v>
                </c:pt>
                <c:pt idx="29">
                  <c:v>2.0499999999999998</c:v>
                </c:pt>
                <c:pt idx="30">
                  <c:v>2.0499999999999998</c:v>
                </c:pt>
                <c:pt idx="31">
                  <c:v>2.0499999999999998</c:v>
                </c:pt>
                <c:pt idx="32">
                  <c:v>2.0499999999999998</c:v>
                </c:pt>
                <c:pt idx="33">
                  <c:v>2.0499999999999998</c:v>
                </c:pt>
                <c:pt idx="34">
                  <c:v>2.0499999999999998</c:v>
                </c:pt>
                <c:pt idx="35">
                  <c:v>2.0499999999999998</c:v>
                </c:pt>
                <c:pt idx="36">
                  <c:v>2.0499999999999998</c:v>
                </c:pt>
                <c:pt idx="37">
                  <c:v>2.0499999999999998</c:v>
                </c:pt>
                <c:pt idx="38">
                  <c:v>2.0499999999999998</c:v>
                </c:pt>
                <c:pt idx="39">
                  <c:v>2.0499999999999998</c:v>
                </c:pt>
                <c:pt idx="40">
                  <c:v>2.0499999999999998</c:v>
                </c:pt>
                <c:pt idx="41">
                  <c:v>2.0499999999999998</c:v>
                </c:pt>
                <c:pt idx="42">
                  <c:v>2.0499999999999998</c:v>
                </c:pt>
                <c:pt idx="43">
                  <c:v>2.0499999999999998</c:v>
                </c:pt>
                <c:pt idx="44">
                  <c:v>2.0499999999999998</c:v>
                </c:pt>
                <c:pt idx="45">
                  <c:v>2.0499999999999998</c:v>
                </c:pt>
                <c:pt idx="46">
                  <c:v>2.0499999999999998</c:v>
                </c:pt>
                <c:pt idx="47">
                  <c:v>2.0499999999999998</c:v>
                </c:pt>
              </c:numCache>
            </c:numRef>
          </c:xVal>
          <c:yVal>
            <c:numRef>
              <c:f>'verifica a liquefazione (4)'!$AM$4:$AM$51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E6-4E58-8CD9-21F4514CD36F}"/>
            </c:ext>
          </c:extLst>
        </c:ser>
        <c:ser>
          <c:idx val="5"/>
          <c:order val="5"/>
          <c:tx>
            <c:v>3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(4)'!$AP$4:$AP$51</c:f>
              <c:numCache>
                <c:formatCode>General</c:formatCode>
                <c:ptCount val="48"/>
                <c:pt idx="0">
                  <c:v>2.6</c:v>
                </c:pt>
                <c:pt idx="1">
                  <c:v>2.6</c:v>
                </c:pt>
                <c:pt idx="2">
                  <c:v>2.6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2.6</c:v>
                </c:pt>
                <c:pt idx="7">
                  <c:v>2.6</c:v>
                </c:pt>
                <c:pt idx="8">
                  <c:v>2.6</c:v>
                </c:pt>
                <c:pt idx="9">
                  <c:v>2.6</c:v>
                </c:pt>
                <c:pt idx="10">
                  <c:v>2.6</c:v>
                </c:pt>
                <c:pt idx="11">
                  <c:v>2.6</c:v>
                </c:pt>
                <c:pt idx="12">
                  <c:v>2.6</c:v>
                </c:pt>
                <c:pt idx="13">
                  <c:v>2.6</c:v>
                </c:pt>
                <c:pt idx="14">
                  <c:v>2.6</c:v>
                </c:pt>
                <c:pt idx="15">
                  <c:v>2.6</c:v>
                </c:pt>
                <c:pt idx="16">
                  <c:v>2.6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2.6</c:v>
                </c:pt>
                <c:pt idx="21">
                  <c:v>2.6</c:v>
                </c:pt>
                <c:pt idx="22">
                  <c:v>2.6</c:v>
                </c:pt>
                <c:pt idx="23">
                  <c:v>2.6</c:v>
                </c:pt>
                <c:pt idx="24">
                  <c:v>2.6</c:v>
                </c:pt>
                <c:pt idx="25">
                  <c:v>2.6</c:v>
                </c:pt>
                <c:pt idx="26">
                  <c:v>2.6</c:v>
                </c:pt>
                <c:pt idx="27">
                  <c:v>2.6</c:v>
                </c:pt>
                <c:pt idx="28">
                  <c:v>2.6</c:v>
                </c:pt>
                <c:pt idx="29">
                  <c:v>2.6</c:v>
                </c:pt>
                <c:pt idx="30">
                  <c:v>2.6</c:v>
                </c:pt>
                <c:pt idx="31">
                  <c:v>2.6</c:v>
                </c:pt>
                <c:pt idx="32">
                  <c:v>2.6</c:v>
                </c:pt>
                <c:pt idx="33">
                  <c:v>2.6</c:v>
                </c:pt>
                <c:pt idx="34">
                  <c:v>2.6</c:v>
                </c:pt>
                <c:pt idx="35">
                  <c:v>2.6</c:v>
                </c:pt>
                <c:pt idx="36">
                  <c:v>2.6</c:v>
                </c:pt>
                <c:pt idx="37">
                  <c:v>2.6</c:v>
                </c:pt>
                <c:pt idx="38">
                  <c:v>2.6</c:v>
                </c:pt>
                <c:pt idx="39">
                  <c:v>2.6</c:v>
                </c:pt>
                <c:pt idx="40">
                  <c:v>2.6</c:v>
                </c:pt>
                <c:pt idx="41">
                  <c:v>2.6</c:v>
                </c:pt>
                <c:pt idx="42">
                  <c:v>2.6</c:v>
                </c:pt>
                <c:pt idx="43">
                  <c:v>2.6</c:v>
                </c:pt>
                <c:pt idx="44">
                  <c:v>2.6</c:v>
                </c:pt>
                <c:pt idx="45">
                  <c:v>2.6</c:v>
                </c:pt>
                <c:pt idx="46">
                  <c:v>2.6</c:v>
                </c:pt>
                <c:pt idx="47">
                  <c:v>2.6</c:v>
                </c:pt>
              </c:numCache>
            </c:numRef>
          </c:xVal>
          <c:yVal>
            <c:numRef>
              <c:f>'verifica a liquefazione (4)'!$AM$4:$AM$51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E6-4E58-8CD9-21F4514CD36F}"/>
            </c:ext>
          </c:extLst>
        </c:ser>
        <c:ser>
          <c:idx val="6"/>
          <c:order val="6"/>
          <c:tx>
            <c:v>4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(4)'!$AQ$4:$AQ$51</c:f>
              <c:numCache>
                <c:formatCode>General</c:formatCode>
                <c:ptCount val="48"/>
                <c:pt idx="0">
                  <c:v>2.95</c:v>
                </c:pt>
                <c:pt idx="1">
                  <c:v>2.95</c:v>
                </c:pt>
                <c:pt idx="2">
                  <c:v>2.95</c:v>
                </c:pt>
                <c:pt idx="3">
                  <c:v>2.95</c:v>
                </c:pt>
                <c:pt idx="4">
                  <c:v>2.95</c:v>
                </c:pt>
                <c:pt idx="5">
                  <c:v>2.95</c:v>
                </c:pt>
                <c:pt idx="6">
                  <c:v>2.95</c:v>
                </c:pt>
                <c:pt idx="7">
                  <c:v>2.95</c:v>
                </c:pt>
                <c:pt idx="8">
                  <c:v>2.95</c:v>
                </c:pt>
                <c:pt idx="9">
                  <c:v>2.95</c:v>
                </c:pt>
                <c:pt idx="10">
                  <c:v>2.95</c:v>
                </c:pt>
                <c:pt idx="11">
                  <c:v>2.95</c:v>
                </c:pt>
                <c:pt idx="12">
                  <c:v>2.95</c:v>
                </c:pt>
                <c:pt idx="13">
                  <c:v>2.95</c:v>
                </c:pt>
                <c:pt idx="14">
                  <c:v>2.95</c:v>
                </c:pt>
                <c:pt idx="15">
                  <c:v>2.95</c:v>
                </c:pt>
                <c:pt idx="16">
                  <c:v>2.95</c:v>
                </c:pt>
                <c:pt idx="17">
                  <c:v>2.95</c:v>
                </c:pt>
                <c:pt idx="18">
                  <c:v>2.95</c:v>
                </c:pt>
                <c:pt idx="19">
                  <c:v>2.95</c:v>
                </c:pt>
                <c:pt idx="20">
                  <c:v>2.95</c:v>
                </c:pt>
                <c:pt idx="21">
                  <c:v>2.95</c:v>
                </c:pt>
                <c:pt idx="22">
                  <c:v>2.95</c:v>
                </c:pt>
                <c:pt idx="23">
                  <c:v>2.95</c:v>
                </c:pt>
                <c:pt idx="24">
                  <c:v>2.95</c:v>
                </c:pt>
                <c:pt idx="25">
                  <c:v>2.95</c:v>
                </c:pt>
                <c:pt idx="26">
                  <c:v>2.95</c:v>
                </c:pt>
                <c:pt idx="27">
                  <c:v>2.95</c:v>
                </c:pt>
                <c:pt idx="28">
                  <c:v>2.95</c:v>
                </c:pt>
                <c:pt idx="29">
                  <c:v>2.95</c:v>
                </c:pt>
                <c:pt idx="30">
                  <c:v>2.95</c:v>
                </c:pt>
                <c:pt idx="31">
                  <c:v>2.95</c:v>
                </c:pt>
                <c:pt idx="32">
                  <c:v>2.95</c:v>
                </c:pt>
                <c:pt idx="33">
                  <c:v>2.95</c:v>
                </c:pt>
                <c:pt idx="34">
                  <c:v>2.95</c:v>
                </c:pt>
                <c:pt idx="35">
                  <c:v>2.95</c:v>
                </c:pt>
                <c:pt idx="36">
                  <c:v>2.95</c:v>
                </c:pt>
                <c:pt idx="37">
                  <c:v>2.95</c:v>
                </c:pt>
                <c:pt idx="38">
                  <c:v>2.95</c:v>
                </c:pt>
                <c:pt idx="39">
                  <c:v>2.95</c:v>
                </c:pt>
                <c:pt idx="40">
                  <c:v>2.95</c:v>
                </c:pt>
                <c:pt idx="41">
                  <c:v>2.95</c:v>
                </c:pt>
                <c:pt idx="42">
                  <c:v>2.95</c:v>
                </c:pt>
                <c:pt idx="43">
                  <c:v>2.95</c:v>
                </c:pt>
                <c:pt idx="44">
                  <c:v>2.95</c:v>
                </c:pt>
                <c:pt idx="45">
                  <c:v>2.95</c:v>
                </c:pt>
                <c:pt idx="46">
                  <c:v>2.95</c:v>
                </c:pt>
                <c:pt idx="47">
                  <c:v>2.95</c:v>
                </c:pt>
              </c:numCache>
            </c:numRef>
          </c:xVal>
          <c:yVal>
            <c:numRef>
              <c:f>'verifica a liquefazione (4)'!$AM$4:$AM$51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E6-4E58-8CD9-21F4514CD36F}"/>
            </c:ext>
          </c:extLst>
        </c:ser>
        <c:ser>
          <c:idx val="7"/>
          <c:order val="7"/>
          <c:tx>
            <c:v>5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(4)'!$AR$4:$AR$51</c:f>
              <c:numCache>
                <c:formatCode>General</c:formatCode>
                <c:ptCount val="48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3.6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3.6</c:v>
                </c:pt>
                <c:pt idx="22">
                  <c:v>3.6</c:v>
                </c:pt>
                <c:pt idx="23">
                  <c:v>3.6</c:v>
                </c:pt>
                <c:pt idx="24">
                  <c:v>3.6</c:v>
                </c:pt>
                <c:pt idx="25">
                  <c:v>3.6</c:v>
                </c:pt>
                <c:pt idx="26">
                  <c:v>3.6</c:v>
                </c:pt>
                <c:pt idx="27">
                  <c:v>3.6</c:v>
                </c:pt>
                <c:pt idx="28">
                  <c:v>3.6</c:v>
                </c:pt>
                <c:pt idx="29">
                  <c:v>3.6</c:v>
                </c:pt>
                <c:pt idx="30">
                  <c:v>3.6</c:v>
                </c:pt>
                <c:pt idx="31">
                  <c:v>3.6</c:v>
                </c:pt>
                <c:pt idx="32">
                  <c:v>3.6</c:v>
                </c:pt>
                <c:pt idx="33">
                  <c:v>3.6</c:v>
                </c:pt>
                <c:pt idx="34">
                  <c:v>3.6</c:v>
                </c:pt>
                <c:pt idx="35">
                  <c:v>3.6</c:v>
                </c:pt>
                <c:pt idx="36">
                  <c:v>3.6</c:v>
                </c:pt>
                <c:pt idx="37">
                  <c:v>3.6</c:v>
                </c:pt>
                <c:pt idx="38">
                  <c:v>3.6</c:v>
                </c:pt>
                <c:pt idx="39">
                  <c:v>3.6</c:v>
                </c:pt>
                <c:pt idx="40">
                  <c:v>3.6</c:v>
                </c:pt>
                <c:pt idx="41">
                  <c:v>3.6</c:v>
                </c:pt>
                <c:pt idx="42">
                  <c:v>3.6</c:v>
                </c:pt>
                <c:pt idx="43">
                  <c:v>3.6</c:v>
                </c:pt>
                <c:pt idx="44">
                  <c:v>3.6</c:v>
                </c:pt>
                <c:pt idx="45">
                  <c:v>3.6</c:v>
                </c:pt>
                <c:pt idx="46">
                  <c:v>3.6</c:v>
                </c:pt>
                <c:pt idx="47">
                  <c:v>3.6</c:v>
                </c:pt>
              </c:numCache>
            </c:numRef>
          </c:xVal>
          <c:yVal>
            <c:numRef>
              <c:f>'verifica a liquefazione (4)'!$AM$4:$AM$51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E6-4E58-8CD9-21F4514CD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223984"/>
        <c:axId val="109881830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FS=1,25</c:v>
                </c:tx>
                <c:spPr>
                  <a:ln w="25400" cap="flat" cmpd="dbl" algn="ctr">
                    <a:solidFill>
                      <a:schemeClr val="accent1">
                        <a:alpha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'verifica a liquefazione (4)'!$AL$4:$AL$51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1.25</c:v>
                      </c:pt>
                      <c:pt idx="1">
                        <c:v>1.25</c:v>
                      </c:pt>
                      <c:pt idx="2">
                        <c:v>1.25</c:v>
                      </c:pt>
                      <c:pt idx="3">
                        <c:v>1.25</c:v>
                      </c:pt>
                      <c:pt idx="4">
                        <c:v>1.25</c:v>
                      </c:pt>
                      <c:pt idx="5">
                        <c:v>1.25</c:v>
                      </c:pt>
                      <c:pt idx="6">
                        <c:v>1.25</c:v>
                      </c:pt>
                      <c:pt idx="7">
                        <c:v>1.25</c:v>
                      </c:pt>
                      <c:pt idx="8">
                        <c:v>1.25</c:v>
                      </c:pt>
                      <c:pt idx="9">
                        <c:v>1.25</c:v>
                      </c:pt>
                      <c:pt idx="10">
                        <c:v>1.25</c:v>
                      </c:pt>
                      <c:pt idx="11">
                        <c:v>1.25</c:v>
                      </c:pt>
                      <c:pt idx="12">
                        <c:v>1.25</c:v>
                      </c:pt>
                      <c:pt idx="13">
                        <c:v>1.25</c:v>
                      </c:pt>
                      <c:pt idx="14">
                        <c:v>1.25</c:v>
                      </c:pt>
                      <c:pt idx="15">
                        <c:v>1.25</c:v>
                      </c:pt>
                      <c:pt idx="16">
                        <c:v>1.25</c:v>
                      </c:pt>
                      <c:pt idx="17">
                        <c:v>1.25</c:v>
                      </c:pt>
                      <c:pt idx="18">
                        <c:v>1.25</c:v>
                      </c:pt>
                      <c:pt idx="19">
                        <c:v>1.25</c:v>
                      </c:pt>
                      <c:pt idx="20">
                        <c:v>1.25</c:v>
                      </c:pt>
                      <c:pt idx="21">
                        <c:v>1.25</c:v>
                      </c:pt>
                      <c:pt idx="22">
                        <c:v>1.25</c:v>
                      </c:pt>
                      <c:pt idx="23">
                        <c:v>1.25</c:v>
                      </c:pt>
                      <c:pt idx="24">
                        <c:v>1.25</c:v>
                      </c:pt>
                      <c:pt idx="25">
                        <c:v>1.25</c:v>
                      </c:pt>
                      <c:pt idx="26">
                        <c:v>1.25</c:v>
                      </c:pt>
                      <c:pt idx="27">
                        <c:v>1.25</c:v>
                      </c:pt>
                      <c:pt idx="28">
                        <c:v>1.25</c:v>
                      </c:pt>
                      <c:pt idx="29">
                        <c:v>1.25</c:v>
                      </c:pt>
                      <c:pt idx="30">
                        <c:v>1.25</c:v>
                      </c:pt>
                      <c:pt idx="31">
                        <c:v>1.25</c:v>
                      </c:pt>
                      <c:pt idx="32">
                        <c:v>1.25</c:v>
                      </c:pt>
                      <c:pt idx="33">
                        <c:v>1.25</c:v>
                      </c:pt>
                      <c:pt idx="34">
                        <c:v>1.25</c:v>
                      </c:pt>
                      <c:pt idx="35">
                        <c:v>1.25</c:v>
                      </c:pt>
                      <c:pt idx="36">
                        <c:v>1.25</c:v>
                      </c:pt>
                      <c:pt idx="37">
                        <c:v>1.25</c:v>
                      </c:pt>
                      <c:pt idx="38">
                        <c:v>1.25</c:v>
                      </c:pt>
                      <c:pt idx="39">
                        <c:v>1.25</c:v>
                      </c:pt>
                      <c:pt idx="40">
                        <c:v>1.25</c:v>
                      </c:pt>
                      <c:pt idx="41">
                        <c:v>1.25</c:v>
                      </c:pt>
                      <c:pt idx="42">
                        <c:v>1.25</c:v>
                      </c:pt>
                      <c:pt idx="43">
                        <c:v>1.25</c:v>
                      </c:pt>
                      <c:pt idx="44">
                        <c:v>1.25</c:v>
                      </c:pt>
                      <c:pt idx="45">
                        <c:v>1.25</c:v>
                      </c:pt>
                      <c:pt idx="46">
                        <c:v>1.25</c:v>
                      </c:pt>
                      <c:pt idx="47">
                        <c:v>1.25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'verifica a liquefazione (4)'!$AM$4:$AM$51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-0.2</c:v>
                      </c:pt>
                      <c:pt idx="1">
                        <c:v>-0.4</c:v>
                      </c:pt>
                      <c:pt idx="2">
                        <c:v>-0.6</c:v>
                      </c:pt>
                      <c:pt idx="3">
                        <c:v>-0.8</c:v>
                      </c:pt>
                      <c:pt idx="4">
                        <c:v>-1</c:v>
                      </c:pt>
                      <c:pt idx="5">
                        <c:v>-1.2</c:v>
                      </c:pt>
                      <c:pt idx="6">
                        <c:v>-1.4</c:v>
                      </c:pt>
                      <c:pt idx="7">
                        <c:v>-1.6</c:v>
                      </c:pt>
                      <c:pt idx="8">
                        <c:v>-1.8</c:v>
                      </c:pt>
                      <c:pt idx="9">
                        <c:v>-2</c:v>
                      </c:pt>
                      <c:pt idx="10">
                        <c:v>-2.2000000000000002</c:v>
                      </c:pt>
                      <c:pt idx="11">
                        <c:v>-2.4</c:v>
                      </c:pt>
                      <c:pt idx="12">
                        <c:v>-2.6</c:v>
                      </c:pt>
                      <c:pt idx="13">
                        <c:v>-2.8</c:v>
                      </c:pt>
                      <c:pt idx="14">
                        <c:v>-3</c:v>
                      </c:pt>
                      <c:pt idx="15">
                        <c:v>-3.2</c:v>
                      </c:pt>
                      <c:pt idx="16">
                        <c:v>-3.4</c:v>
                      </c:pt>
                      <c:pt idx="17">
                        <c:v>-3.6</c:v>
                      </c:pt>
                      <c:pt idx="18">
                        <c:v>-3.8</c:v>
                      </c:pt>
                      <c:pt idx="19">
                        <c:v>-4</c:v>
                      </c:pt>
                      <c:pt idx="20">
                        <c:v>-4.2</c:v>
                      </c:pt>
                      <c:pt idx="21">
                        <c:v>-4.4000000000000004</c:v>
                      </c:pt>
                      <c:pt idx="22">
                        <c:v>-4.5999999999999996</c:v>
                      </c:pt>
                      <c:pt idx="23">
                        <c:v>-4.8</c:v>
                      </c:pt>
                      <c:pt idx="24">
                        <c:v>-5</c:v>
                      </c:pt>
                      <c:pt idx="25">
                        <c:v>-5.2</c:v>
                      </c:pt>
                      <c:pt idx="26">
                        <c:v>-5.4</c:v>
                      </c:pt>
                      <c:pt idx="27">
                        <c:v>-5.6</c:v>
                      </c:pt>
                      <c:pt idx="28">
                        <c:v>-5.8</c:v>
                      </c:pt>
                      <c:pt idx="29">
                        <c:v>-6</c:v>
                      </c:pt>
                      <c:pt idx="30">
                        <c:v>-6.2</c:v>
                      </c:pt>
                      <c:pt idx="31">
                        <c:v>-6.4</c:v>
                      </c:pt>
                      <c:pt idx="32">
                        <c:v>-6.6</c:v>
                      </c:pt>
                      <c:pt idx="33">
                        <c:v>-6.8</c:v>
                      </c:pt>
                      <c:pt idx="34">
                        <c:v>-7</c:v>
                      </c:pt>
                      <c:pt idx="35">
                        <c:v>-7.2</c:v>
                      </c:pt>
                      <c:pt idx="36">
                        <c:v>-7.4</c:v>
                      </c:pt>
                      <c:pt idx="37">
                        <c:v>-7.6</c:v>
                      </c:pt>
                      <c:pt idx="38">
                        <c:v>-7.8</c:v>
                      </c:pt>
                      <c:pt idx="39">
                        <c:v>-8</c:v>
                      </c:pt>
                      <c:pt idx="40">
                        <c:v>-8.1999999999999993</c:v>
                      </c:pt>
                      <c:pt idx="41">
                        <c:v>-8.4</c:v>
                      </c:pt>
                      <c:pt idx="42">
                        <c:v>-8.6</c:v>
                      </c:pt>
                      <c:pt idx="43">
                        <c:v>-8.8000000000000007</c:v>
                      </c:pt>
                      <c:pt idx="44">
                        <c:v>-9</c:v>
                      </c:pt>
                      <c:pt idx="45">
                        <c:v>-9.1999999999999993</c:v>
                      </c:pt>
                      <c:pt idx="46">
                        <c:v>-9.4</c:v>
                      </c:pt>
                      <c:pt idx="47">
                        <c:v>-9.6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26E6-4E58-8CD9-21F4514CD36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FS</c:v>
                </c:tx>
                <c:spPr>
                  <a:ln w="25400" cap="flat" cmpd="dbl" algn="ctr">
                    <a:solidFill>
                      <a:schemeClr val="accent2">
                        <a:alpha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'verifica a liquefazione (4)'!$AG$4:$AG$51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48"/>
                      <c:pt idx="2">
                        <c:v>28.538305351883487</c:v>
                      </c:pt>
                      <c:pt idx="3">
                        <c:v>26.655696072213985</c:v>
                      </c:pt>
                      <c:pt idx="4">
                        <c:v>16.845359359609308</c:v>
                      </c:pt>
                      <c:pt idx="5">
                        <c:v>19.142045035320159</c:v>
                      </c:pt>
                      <c:pt idx="6">
                        <c:v>12.083160384454064</c:v>
                      </c:pt>
                      <c:pt idx="7">
                        <c:v>7.7429045869997681</c:v>
                      </c:pt>
                      <c:pt idx="8">
                        <c:v>5.2592518158917416</c:v>
                      </c:pt>
                      <c:pt idx="9">
                        <c:v>2.4622124496137237</c:v>
                      </c:pt>
                      <c:pt idx="10">
                        <c:v>2.7258817819866752</c:v>
                      </c:pt>
                      <c:pt idx="11">
                        <c:v>2.3345681539555172</c:v>
                      </c:pt>
                      <c:pt idx="12">
                        <c:v>6.2470740521541499</c:v>
                      </c:pt>
                      <c:pt idx="13">
                        <c:v>14.215315991445429</c:v>
                      </c:pt>
                      <c:pt idx="14">
                        <c:v>12.655622792020353</c:v>
                      </c:pt>
                      <c:pt idx="15">
                        <c:v>5.5603999956670505</c:v>
                      </c:pt>
                      <c:pt idx="16">
                        <c:v>20.1735421402356</c:v>
                      </c:pt>
                      <c:pt idx="17">
                        <c:v>9.1142413396397259</c:v>
                      </c:pt>
                      <c:pt idx="18">
                        <c:v>8.3543552691498046</c:v>
                      </c:pt>
                      <c:pt idx="19">
                        <c:v>8.4469121231113622</c:v>
                      </c:pt>
                      <c:pt idx="20">
                        <c:v>6.6564032678133787</c:v>
                      </c:pt>
                      <c:pt idx="21">
                        <c:v>5.3979144570720985</c:v>
                      </c:pt>
                      <c:pt idx="22">
                        <c:v>5.1801946825214964</c:v>
                      </c:pt>
                      <c:pt idx="23">
                        <c:v>5.6103325160627948</c:v>
                      </c:pt>
                      <c:pt idx="24">
                        <c:v>10.769280420071436</c:v>
                      </c:pt>
                      <c:pt idx="25">
                        <c:v>5.0582139086061382</c:v>
                      </c:pt>
                      <c:pt idx="26">
                        <c:v>5.8918926069219841</c:v>
                      </c:pt>
                      <c:pt idx="27">
                        <c:v>7.2173309093656446</c:v>
                      </c:pt>
                      <c:pt idx="28">
                        <c:v>4.0642110231177764</c:v>
                      </c:pt>
                      <c:pt idx="29">
                        <c:v>4.3377162332086634</c:v>
                      </c:pt>
                      <c:pt idx="30">
                        <c:v>6.8818489629199533</c:v>
                      </c:pt>
                      <c:pt idx="31">
                        <c:v>4.7312391688339037</c:v>
                      </c:pt>
                      <c:pt idx="32">
                        <c:v>4.8408122075674491</c:v>
                      </c:pt>
                      <c:pt idx="33">
                        <c:v>3.3135410151596001</c:v>
                      </c:pt>
                      <c:pt idx="34">
                        <c:v>6.8058091549152522</c:v>
                      </c:pt>
                      <c:pt idx="35">
                        <c:v>4.5230775350270065</c:v>
                      </c:pt>
                      <c:pt idx="36">
                        <c:v>5.0301854860588024</c:v>
                      </c:pt>
                      <c:pt idx="37">
                        <c:v>4.0255454321563811</c:v>
                      </c:pt>
                      <c:pt idx="38">
                        <c:v>7.1303810818017199</c:v>
                      </c:pt>
                      <c:pt idx="39">
                        <c:v>3.5225571562602815</c:v>
                      </c:pt>
                      <c:pt idx="40">
                        <c:v>5.5044645424474767</c:v>
                      </c:pt>
                      <c:pt idx="41">
                        <c:v>7.1579449388295586</c:v>
                      </c:pt>
                      <c:pt idx="42">
                        <c:v>5.8910675521193054</c:v>
                      </c:pt>
                      <c:pt idx="43">
                        <c:v>6.5275104427114155</c:v>
                      </c:pt>
                      <c:pt idx="44">
                        <c:v>7.3908564578687992</c:v>
                      </c:pt>
                      <c:pt idx="45">
                        <c:v>6.8138261478365862</c:v>
                      </c:pt>
                      <c:pt idx="46">
                        <c:v>7.5613131003454939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'verifica a liquefazione (4)'!$AM$4:$AM$51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-0.2</c:v>
                      </c:pt>
                      <c:pt idx="1">
                        <c:v>-0.4</c:v>
                      </c:pt>
                      <c:pt idx="2">
                        <c:v>-0.6</c:v>
                      </c:pt>
                      <c:pt idx="3">
                        <c:v>-0.8</c:v>
                      </c:pt>
                      <c:pt idx="4">
                        <c:v>-1</c:v>
                      </c:pt>
                      <c:pt idx="5">
                        <c:v>-1.2</c:v>
                      </c:pt>
                      <c:pt idx="6">
                        <c:v>-1.4</c:v>
                      </c:pt>
                      <c:pt idx="7">
                        <c:v>-1.6</c:v>
                      </c:pt>
                      <c:pt idx="8">
                        <c:v>-1.8</c:v>
                      </c:pt>
                      <c:pt idx="9">
                        <c:v>-2</c:v>
                      </c:pt>
                      <c:pt idx="10">
                        <c:v>-2.2000000000000002</c:v>
                      </c:pt>
                      <c:pt idx="11">
                        <c:v>-2.4</c:v>
                      </c:pt>
                      <c:pt idx="12">
                        <c:v>-2.6</c:v>
                      </c:pt>
                      <c:pt idx="13">
                        <c:v>-2.8</c:v>
                      </c:pt>
                      <c:pt idx="14">
                        <c:v>-3</c:v>
                      </c:pt>
                      <c:pt idx="15">
                        <c:v>-3.2</c:v>
                      </c:pt>
                      <c:pt idx="16">
                        <c:v>-3.4</c:v>
                      </c:pt>
                      <c:pt idx="17">
                        <c:v>-3.6</c:v>
                      </c:pt>
                      <c:pt idx="18">
                        <c:v>-3.8</c:v>
                      </c:pt>
                      <c:pt idx="19">
                        <c:v>-4</c:v>
                      </c:pt>
                      <c:pt idx="20">
                        <c:v>-4.2</c:v>
                      </c:pt>
                      <c:pt idx="21">
                        <c:v>-4.4000000000000004</c:v>
                      </c:pt>
                      <c:pt idx="22">
                        <c:v>-4.5999999999999996</c:v>
                      </c:pt>
                      <c:pt idx="23">
                        <c:v>-4.8</c:v>
                      </c:pt>
                      <c:pt idx="24">
                        <c:v>-5</c:v>
                      </c:pt>
                      <c:pt idx="25">
                        <c:v>-5.2</c:v>
                      </c:pt>
                      <c:pt idx="26">
                        <c:v>-5.4</c:v>
                      </c:pt>
                      <c:pt idx="27">
                        <c:v>-5.6</c:v>
                      </c:pt>
                      <c:pt idx="28">
                        <c:v>-5.8</c:v>
                      </c:pt>
                      <c:pt idx="29">
                        <c:v>-6</c:v>
                      </c:pt>
                      <c:pt idx="30">
                        <c:v>-6.2</c:v>
                      </c:pt>
                      <c:pt idx="31">
                        <c:v>-6.4</c:v>
                      </c:pt>
                      <c:pt idx="32">
                        <c:v>-6.6</c:v>
                      </c:pt>
                      <c:pt idx="33">
                        <c:v>-6.8</c:v>
                      </c:pt>
                      <c:pt idx="34">
                        <c:v>-7</c:v>
                      </c:pt>
                      <c:pt idx="35">
                        <c:v>-7.2</c:v>
                      </c:pt>
                      <c:pt idx="36">
                        <c:v>-7.4</c:v>
                      </c:pt>
                      <c:pt idx="37">
                        <c:v>-7.6</c:v>
                      </c:pt>
                      <c:pt idx="38">
                        <c:v>-7.8</c:v>
                      </c:pt>
                      <c:pt idx="39">
                        <c:v>-8</c:v>
                      </c:pt>
                      <c:pt idx="40">
                        <c:v>-8.1999999999999993</c:v>
                      </c:pt>
                      <c:pt idx="41">
                        <c:v>-8.4</c:v>
                      </c:pt>
                      <c:pt idx="42">
                        <c:v>-8.6</c:v>
                      </c:pt>
                      <c:pt idx="43">
                        <c:v>-8.8000000000000007</c:v>
                      </c:pt>
                      <c:pt idx="44">
                        <c:v>-9</c:v>
                      </c:pt>
                      <c:pt idx="45">
                        <c:v>-9.1999999999999993</c:v>
                      </c:pt>
                      <c:pt idx="46">
                        <c:v>-9.4</c:v>
                      </c:pt>
                      <c:pt idx="47">
                        <c:v>-9.6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6E6-4E58-8CD9-21F4514CD36F}"/>
                  </c:ext>
                </c:extLst>
              </c15:ser>
            </c15:filteredScatterSeries>
          </c:ext>
        </c:extLst>
      </c:scatterChart>
      <c:valAx>
        <c:axId val="1017223984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818304"/>
        <c:crosses val="autoZero"/>
        <c:crossBetween val="midCat"/>
      </c:valAx>
      <c:valAx>
        <c:axId val="1098818304"/>
        <c:scaling>
          <c:orientation val="minMax"/>
          <c:max val="0"/>
          <c:min val="-9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z [m]</a:t>
                </a:r>
              </a:p>
            </c:rich>
          </c:tx>
          <c:layout>
            <c:manualLayout>
              <c:xMode val="edge"/>
              <c:yMode val="edge"/>
              <c:x val="3.2376749109256997E-3"/>
              <c:y val="0.380502820612817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722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800" b="1" i="0" baseline="0">
                <a:effectLst/>
              </a:rPr>
              <a:t>Grafico z-FSL con M=6</a:t>
            </a:r>
            <a:endParaRPr lang="it-IT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9510891674011971E-2"/>
          <c:y val="2.4772045797345051E-2"/>
          <c:w val="0.82909975996590168"/>
          <c:h val="0.93606251470660662"/>
        </c:manualLayout>
      </c:layout>
      <c:scatterChart>
        <c:scatterStyle val="lineMarker"/>
        <c:varyColors val="0"/>
        <c:ser>
          <c:idx val="0"/>
          <c:order val="0"/>
          <c:tx>
            <c:v>FS=1,25</c:v>
          </c:tx>
          <c:spPr>
            <a:ln w="44450" cap="flat" cmpd="sng" algn="ctr">
              <a:solidFill>
                <a:schemeClr val="tx1">
                  <a:alpha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(3)'!$AL$4:$AL$51</c:f>
              <c:numCache>
                <c:formatCode>General</c:formatCode>
                <c:ptCount val="48"/>
                <c:pt idx="0">
                  <c:v>1.25</c:v>
                </c:pt>
                <c:pt idx="1">
                  <c:v>1.25</c:v>
                </c:pt>
                <c:pt idx="2">
                  <c:v>1.25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1.25</c:v>
                </c:pt>
                <c:pt idx="16">
                  <c:v>1.25</c:v>
                </c:pt>
                <c:pt idx="17">
                  <c:v>1.25</c:v>
                </c:pt>
                <c:pt idx="18">
                  <c:v>1.25</c:v>
                </c:pt>
                <c:pt idx="19">
                  <c:v>1.25</c:v>
                </c:pt>
                <c:pt idx="20">
                  <c:v>1.25</c:v>
                </c:pt>
                <c:pt idx="21">
                  <c:v>1.25</c:v>
                </c:pt>
                <c:pt idx="22">
                  <c:v>1.25</c:v>
                </c:pt>
                <c:pt idx="23">
                  <c:v>1.25</c:v>
                </c:pt>
                <c:pt idx="24">
                  <c:v>1.25</c:v>
                </c:pt>
                <c:pt idx="25">
                  <c:v>1.25</c:v>
                </c:pt>
                <c:pt idx="26">
                  <c:v>1.25</c:v>
                </c:pt>
                <c:pt idx="27">
                  <c:v>1.25</c:v>
                </c:pt>
                <c:pt idx="28">
                  <c:v>1.25</c:v>
                </c:pt>
                <c:pt idx="29">
                  <c:v>1.25</c:v>
                </c:pt>
                <c:pt idx="30">
                  <c:v>1.25</c:v>
                </c:pt>
                <c:pt idx="31">
                  <c:v>1.25</c:v>
                </c:pt>
                <c:pt idx="32">
                  <c:v>1.25</c:v>
                </c:pt>
                <c:pt idx="33">
                  <c:v>1.25</c:v>
                </c:pt>
                <c:pt idx="34">
                  <c:v>1.25</c:v>
                </c:pt>
                <c:pt idx="35">
                  <c:v>1.25</c:v>
                </c:pt>
                <c:pt idx="36">
                  <c:v>1.25</c:v>
                </c:pt>
                <c:pt idx="37">
                  <c:v>1.25</c:v>
                </c:pt>
                <c:pt idx="38">
                  <c:v>1.25</c:v>
                </c:pt>
                <c:pt idx="39">
                  <c:v>1.25</c:v>
                </c:pt>
                <c:pt idx="40">
                  <c:v>1.25</c:v>
                </c:pt>
                <c:pt idx="41">
                  <c:v>1.25</c:v>
                </c:pt>
                <c:pt idx="42">
                  <c:v>1.25</c:v>
                </c:pt>
                <c:pt idx="43">
                  <c:v>1.25</c:v>
                </c:pt>
                <c:pt idx="44">
                  <c:v>1.25</c:v>
                </c:pt>
                <c:pt idx="45">
                  <c:v>1.25</c:v>
                </c:pt>
                <c:pt idx="46">
                  <c:v>1.25</c:v>
                </c:pt>
                <c:pt idx="47">
                  <c:v>1.25</c:v>
                </c:pt>
              </c:numCache>
            </c:numRef>
          </c:xVal>
          <c:yVal>
            <c:numRef>
              <c:f>'verifica a liquefazione (3)'!$AM$4:$AM$51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D-4E4A-87E4-97081C4F0DEE}"/>
            </c:ext>
          </c:extLst>
        </c:ser>
        <c:ser>
          <c:idx val="1"/>
          <c:order val="1"/>
          <c:tx>
            <c:v>FS-(il calcolo di CRR si basa sulla Metodologia Youd aggiornato con Robertson)</c:v>
          </c:tx>
          <c:spPr>
            <a:ln w="31750" cap="rnd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(3)'!$AG$4:$AG$51</c:f>
              <c:numCache>
                <c:formatCode>_(* #,##0.00_);_(* \(#,##0.00\);_(* "-"??_);_(@_)</c:formatCode>
                <c:ptCount val="48"/>
                <c:pt idx="2">
                  <c:v>8.4977805539027607</c:v>
                </c:pt>
                <c:pt idx="3">
                  <c:v>7.9372006480494353</c:v>
                </c:pt>
                <c:pt idx="4">
                  <c:v>5.0160009651779935</c:v>
                </c:pt>
                <c:pt idx="5">
                  <c:v>5.6998793746643726</c:v>
                </c:pt>
                <c:pt idx="6">
                  <c:v>3.5979727625251319</c:v>
                </c:pt>
                <c:pt idx="7">
                  <c:v>2.3055855356102493</c:v>
                </c:pt>
                <c:pt idx="8">
                  <c:v>1.5660343968606751</c:v>
                </c:pt>
                <c:pt idx="9">
                  <c:v>0.73316690728182554</c:v>
                </c:pt>
                <c:pt idx="10">
                  <c:v>0.81167907181550247</c:v>
                </c:pt>
                <c:pt idx="11">
                  <c:v>0.69515858127625452</c:v>
                </c:pt>
                <c:pt idx="12">
                  <c:v>1.8601757793471239</c:v>
                </c:pt>
                <c:pt idx="13">
                  <c:v>4.2328594606517305</c:v>
                </c:pt>
                <c:pt idx="14">
                  <c:v>3.7684334768133438</c:v>
                </c:pt>
                <c:pt idx="15">
                  <c:v>1.6557065450272774</c:v>
                </c:pt>
                <c:pt idx="16">
                  <c:v>6.0070257146967494</c:v>
                </c:pt>
                <c:pt idx="17">
                  <c:v>2.7139250864612219</c:v>
                </c:pt>
                <c:pt idx="18">
                  <c:v>2.4876556919274404</c:v>
                </c:pt>
                <c:pt idx="19">
                  <c:v>2.5152161172584777</c:v>
                </c:pt>
                <c:pt idx="20">
                  <c:v>1.9820607268267998</c:v>
                </c:pt>
                <c:pt idx="21">
                  <c:v>1.6073236283425811</c:v>
                </c:pt>
                <c:pt idx="22">
                  <c:v>1.5424937499190505</c:v>
                </c:pt>
                <c:pt idx="23">
                  <c:v>1.6705748280452914</c:v>
                </c:pt>
                <c:pt idx="24">
                  <c:v>3.2067419773111707</c:v>
                </c:pt>
                <c:pt idx="25">
                  <c:v>1.506171836765944</c:v>
                </c:pt>
                <c:pt idx="26">
                  <c:v>1.7544142794547777</c:v>
                </c:pt>
                <c:pt idx="27">
                  <c:v>2.1490867623869243</c:v>
                </c:pt>
                <c:pt idx="28">
                  <c:v>1.2101900576562483</c:v>
                </c:pt>
                <c:pt idx="29">
                  <c:v>1.2916310271547413</c:v>
                </c:pt>
                <c:pt idx="30">
                  <c:v>2.0491911334930561</c:v>
                </c:pt>
                <c:pt idx="31">
                  <c:v>1.4088093777483652</c:v>
                </c:pt>
                <c:pt idx="32">
                  <c:v>1.4414366703048416</c:v>
                </c:pt>
                <c:pt idx="33">
                  <c:v>0.98666490725329981</c:v>
                </c:pt>
                <c:pt idx="34">
                  <c:v>2.0265489480578158</c:v>
                </c:pt>
                <c:pt idx="35">
                  <c:v>1.3468256032382178</c:v>
                </c:pt>
                <c:pt idx="36">
                  <c:v>1.4978258827528199</c:v>
                </c:pt>
                <c:pt idx="37">
                  <c:v>1.1986767003308729</c:v>
                </c:pt>
                <c:pt idx="38">
                  <c:v>2.1231959274292294</c:v>
                </c:pt>
                <c:pt idx="39">
                  <c:v>1.0489031262854589</c:v>
                </c:pt>
                <c:pt idx="40">
                  <c:v>1.6390507835592387</c:v>
                </c:pt>
                <c:pt idx="41">
                  <c:v>2.1314035489173868</c:v>
                </c:pt>
                <c:pt idx="42">
                  <c:v>1.7541686049281489</c:v>
                </c:pt>
                <c:pt idx="43">
                  <c:v>1.9436806292988027</c:v>
                </c:pt>
                <c:pt idx="44">
                  <c:v>2.2007570354985724</c:v>
                </c:pt>
                <c:pt idx="45">
                  <c:v>2.0289361481983876</c:v>
                </c:pt>
                <c:pt idx="46">
                  <c:v>2.251513488058094</c:v>
                </c:pt>
              </c:numCache>
            </c:numRef>
          </c:xVal>
          <c:yVal>
            <c:numRef>
              <c:f>'verifica a liquefazione (3)'!$AM$4:$AM$51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ED-4E4A-87E4-97081C4F0DEE}"/>
            </c:ext>
          </c:extLst>
        </c:ser>
        <c:ser>
          <c:idx val="2"/>
          <c:order val="2"/>
          <c:tx>
            <c:v>FS-il calcolo di CRR si basa sul metodo di Idriss &amp; Boulanger)</c:v>
          </c:tx>
          <c:spPr>
            <a:ln w="28575" cap="flat" cmpd="sng" algn="ctr">
              <a:solidFill>
                <a:srgbClr val="FF0000"/>
              </a:solidFill>
              <a:bevel/>
            </a:ln>
            <a:effectLst>
              <a:outerShdw blurRad="50800" dist="50800" dir="5400000" sx="14000" sy="14000" algn="ctr" rotWithShape="0">
                <a:srgbClr val="000000">
                  <a:alpha val="43137"/>
                </a:srgbClr>
              </a:outerShdw>
            </a:effectLst>
          </c:spPr>
          <c:marker>
            <c:symbol val="none"/>
          </c:marker>
          <c:xVal>
            <c:numRef>
              <c:f>'verifica a liquefazione (3)'!$AI$4:$AI$51</c:f>
              <c:numCache>
                <c:formatCode>General</c:formatCode>
                <c:ptCount val="48"/>
                <c:pt idx="0">
                  <c:v>0</c:v>
                </c:pt>
                <c:pt idx="2" formatCode="0.00">
                  <c:v>6.8451614626290498</c:v>
                </c:pt>
                <c:pt idx="3" formatCode="0.00">
                  <c:v>6.0624427909407865</c:v>
                </c:pt>
                <c:pt idx="4" formatCode="0.00">
                  <c:v>3.4696999483250979</c:v>
                </c:pt>
                <c:pt idx="5" formatCode="0.00">
                  <c:v>3.9242571074420671</c:v>
                </c:pt>
                <c:pt idx="6" formatCode="0.00">
                  <c:v>2.6715830360879953</c:v>
                </c:pt>
                <c:pt idx="7" formatCode="0.00">
                  <c:v>1.9521252797182413</c:v>
                </c:pt>
                <c:pt idx="8" formatCode="0.00">
                  <c:v>1.1823802358522624</c:v>
                </c:pt>
                <c:pt idx="9" formatCode="0.00">
                  <c:v>0.65148193422203671</c:v>
                </c:pt>
                <c:pt idx="10" formatCode="0.00">
                  <c:v>0.72126004042818637</c:v>
                </c:pt>
                <c:pt idx="11" formatCode="0.00">
                  <c:v>0.61295799709655685</c:v>
                </c:pt>
                <c:pt idx="12" formatCode="0.00">
                  <c:v>1.3414940233502344</c:v>
                </c:pt>
                <c:pt idx="13" formatCode="0.00">
                  <c:v>3.6262082711532848</c:v>
                </c:pt>
                <c:pt idx="14" formatCode="0.00">
                  <c:v>2.9095494644452216</c:v>
                </c:pt>
                <c:pt idx="15" formatCode="0.00">
                  <c:v>1.2338014129328034</c:v>
                </c:pt>
                <c:pt idx="16" formatCode="0.00">
                  <c:v>9.7009832373161515</c:v>
                </c:pt>
                <c:pt idx="17" formatCode="0.00">
                  <c:v>1.8699071571609713</c:v>
                </c:pt>
                <c:pt idx="18" formatCode="0.00">
                  <c:v>1.7137168923333495</c:v>
                </c:pt>
                <c:pt idx="19" formatCode="0.00">
                  <c:v>1.7319972538697399</c:v>
                </c:pt>
                <c:pt idx="20" formatCode="0.00">
                  <c:v>1.4122523911524332</c:v>
                </c:pt>
                <c:pt idx="21" formatCode="0.00">
                  <c:v>1.2115222581197707</c:v>
                </c:pt>
                <c:pt idx="22" formatCode="0.00">
                  <c:v>1.1776342771318737</c:v>
                </c:pt>
                <c:pt idx="23" formatCode="0.00">
                  <c:v>1.2462064151998202</c:v>
                </c:pt>
                <c:pt idx="24" formatCode="0.00">
                  <c:v>2.2692606315970569</c:v>
                </c:pt>
                <c:pt idx="25" formatCode="0.00">
                  <c:v>1.1599320311940315</c:v>
                </c:pt>
                <c:pt idx="26" formatCode="0.00">
                  <c:v>1.2924490006918041</c:v>
                </c:pt>
                <c:pt idx="27" formatCode="0.00">
                  <c:v>1.5071175085417792</c:v>
                </c:pt>
                <c:pt idx="28" formatCode="0.00">
                  <c:v>0.99195997536349456</c:v>
                </c:pt>
                <c:pt idx="29" formatCode="0.00">
                  <c:v>1.0362870151018981</c:v>
                </c:pt>
                <c:pt idx="30" formatCode="0.00">
                  <c:v>1.4443066806162057</c:v>
                </c:pt>
                <c:pt idx="31" formatCode="0.00">
                  <c:v>1.0963611952089443</c:v>
                </c:pt>
                <c:pt idx="32" formatCode="0.00">
                  <c:v>1.1118504823347699</c:v>
                </c:pt>
                <c:pt idx="33" formatCode="0.00">
                  <c:v>0.85732488721430311</c:v>
                </c:pt>
                <c:pt idx="34" formatCode="0.00">
                  <c:v>1.4440101772362091</c:v>
                </c:pt>
                <c:pt idx="35" formatCode="0.00">
                  <c:v>1.0785807732443411</c:v>
                </c:pt>
                <c:pt idx="36" formatCode="0.00">
                  <c:v>1.134398238814772</c:v>
                </c:pt>
                <c:pt idx="37" formatCode="0.00">
                  <c:v>0.96998725783800088</c:v>
                </c:pt>
                <c:pt idx="38" formatCode="0.00">
                  <c:v>1.4764966974830664</c:v>
                </c:pt>
                <c:pt idx="39" formatCode="0.00">
                  <c:v>0.87942217273455714</c:v>
                </c:pt>
                <c:pt idx="40" formatCode="0.00">
                  <c:v>1.2029555818180155</c:v>
                </c:pt>
                <c:pt idx="41" formatCode="0.00">
                  <c:v>1.478796781633932</c:v>
                </c:pt>
                <c:pt idx="42" formatCode="0.00">
                  <c:v>1.2621001261874221</c:v>
                </c:pt>
                <c:pt idx="43" formatCode="0.00">
                  <c:v>1.3663929427816086</c:v>
                </c:pt>
                <c:pt idx="44" formatCode="0.00">
                  <c:v>1.51981882262251</c:v>
                </c:pt>
                <c:pt idx="45" formatCode="0.00">
                  <c:v>1.4144267749149051</c:v>
                </c:pt>
                <c:pt idx="46" formatCode="0.00">
                  <c:v>1.5520540638933851</c:v>
                </c:pt>
              </c:numCache>
            </c:numRef>
          </c:xVal>
          <c:yVal>
            <c:numRef>
              <c:f>'verifica a liquefazione (3)'!$AM$4:$AM$51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9DED-4E4A-87E4-97081C4F0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223984"/>
        <c:axId val="1098818304"/>
        <c:extLst/>
      </c:scatterChart>
      <c:valAx>
        <c:axId val="101722398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000"/>
                  <a:t>FSL</a:t>
                </a:r>
              </a:p>
            </c:rich>
          </c:tx>
          <c:layout>
            <c:manualLayout>
              <c:xMode val="edge"/>
              <c:yMode val="edge"/>
              <c:x val="0.77664245027832235"/>
              <c:y val="0.937141480602596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818304"/>
        <c:crosses val="autoZero"/>
        <c:crossBetween val="midCat"/>
      </c:valAx>
      <c:valAx>
        <c:axId val="1098818304"/>
        <c:scaling>
          <c:orientation val="minMax"/>
          <c:max val="0"/>
          <c:min val="-9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thickThin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400" baseline="0"/>
                  <a:t> z [m]</a:t>
                </a:r>
                <a:endParaRPr lang="it-IT" sz="1400"/>
              </a:p>
            </c:rich>
          </c:tx>
          <c:layout>
            <c:manualLayout>
              <c:xMode val="edge"/>
              <c:yMode val="edge"/>
              <c:x val="4.0905965833729682E-3"/>
              <c:y val="0.186951679382871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722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Indice di comportamento</a:t>
            </a:r>
          </a:p>
        </c:rich>
      </c:tx>
      <c:layout>
        <c:manualLayout>
          <c:xMode val="edge"/>
          <c:yMode val="edge"/>
          <c:x val="0.32608472548998685"/>
          <c:y val="2.646457180479106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5282316865199404E-2"/>
          <c:y val="4.1988393928902114E-2"/>
          <c:w val="0.86361679986499007"/>
          <c:h val="0.88775969671936039"/>
        </c:manualLayout>
      </c:layout>
      <c:scatterChart>
        <c:scatterStyle val="lineMarker"/>
        <c:varyColors val="0"/>
        <c:ser>
          <c:idx val="2"/>
          <c:order val="2"/>
          <c:tx>
            <c:v>Ic</c:v>
          </c:tx>
          <c:spPr>
            <a:ln w="38100" cap="flat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(3)'!$V$4:$V$51</c:f>
              <c:numCache>
                <c:formatCode>0.00</c:formatCode>
                <c:ptCount val="48"/>
                <c:pt idx="1">
                  <c:v>2.2216835546277793</c:v>
                </c:pt>
                <c:pt idx="2">
                  <c:v>2.0938284127056868</c:v>
                </c:pt>
                <c:pt idx="3">
                  <c:v>2.2635204586554654</c:v>
                </c:pt>
                <c:pt idx="4">
                  <c:v>2.4222274385234632</c:v>
                </c:pt>
                <c:pt idx="5">
                  <c:v>2.6575102612778512</c:v>
                </c:pt>
                <c:pt idx="6">
                  <c:v>2.30361448607984</c:v>
                </c:pt>
                <c:pt idx="7">
                  <c:v>2.3136417010289008</c:v>
                </c:pt>
                <c:pt idx="8">
                  <c:v>2.5535436274770644</c:v>
                </c:pt>
                <c:pt idx="9">
                  <c:v>2.2993231102347256</c:v>
                </c:pt>
                <c:pt idx="10">
                  <c:v>2.3383162888938989</c:v>
                </c:pt>
                <c:pt idx="11">
                  <c:v>2.5480540812549486</c:v>
                </c:pt>
                <c:pt idx="12">
                  <c:v>2.9807184325632616</c:v>
                </c:pt>
                <c:pt idx="13">
                  <c:v>2.9522324866028939</c:v>
                </c:pt>
                <c:pt idx="14">
                  <c:v>2.2711463465543522</c:v>
                </c:pt>
                <c:pt idx="15">
                  <c:v>2.0663767301681197</c:v>
                </c:pt>
                <c:pt idx="16">
                  <c:v>2.2157191913017913</c:v>
                </c:pt>
                <c:pt idx="17">
                  <c:v>2.266808419833235</c:v>
                </c:pt>
                <c:pt idx="18">
                  <c:v>2.3261578962875196</c:v>
                </c:pt>
                <c:pt idx="19">
                  <c:v>2.2728629680592807</c:v>
                </c:pt>
                <c:pt idx="20">
                  <c:v>2.4914666560900218</c:v>
                </c:pt>
                <c:pt idx="21">
                  <c:v>2.3792140645190463</c:v>
                </c:pt>
                <c:pt idx="22">
                  <c:v>2.3655299365686564</c:v>
                </c:pt>
                <c:pt idx="23">
                  <c:v>2.3824576121258687</c:v>
                </c:pt>
                <c:pt idx="24">
                  <c:v>2.5719851472878101</c:v>
                </c:pt>
                <c:pt idx="25">
                  <c:v>2.2223894711307626</c:v>
                </c:pt>
                <c:pt idx="26">
                  <c:v>2.1434885027304289</c:v>
                </c:pt>
                <c:pt idx="27">
                  <c:v>2.2917773609155683</c:v>
                </c:pt>
                <c:pt idx="28">
                  <c:v>2.3287483986170807</c:v>
                </c:pt>
                <c:pt idx="29">
                  <c:v>2.329891315740543</c:v>
                </c:pt>
                <c:pt idx="30">
                  <c:v>2.3897575623182523</c:v>
                </c:pt>
                <c:pt idx="31">
                  <c:v>2.2490096089342213</c:v>
                </c:pt>
                <c:pt idx="32">
                  <c:v>2.3867472926955076</c:v>
                </c:pt>
                <c:pt idx="33">
                  <c:v>2.3808672423832116</c:v>
                </c:pt>
                <c:pt idx="34">
                  <c:v>2.7335210979981492</c:v>
                </c:pt>
                <c:pt idx="35">
                  <c:v>3.0029105432857723</c:v>
                </c:pt>
                <c:pt idx="36">
                  <c:v>2.345046609645542</c:v>
                </c:pt>
                <c:pt idx="37">
                  <c:v>2.3629742128980333</c:v>
                </c:pt>
                <c:pt idx="38">
                  <c:v>2.4050778956416776</c:v>
                </c:pt>
                <c:pt idx="39">
                  <c:v>2.310108429011398</c:v>
                </c:pt>
                <c:pt idx="40">
                  <c:v>2.3028799455853948</c:v>
                </c:pt>
                <c:pt idx="41">
                  <c:v>2.3064375156664836</c:v>
                </c:pt>
                <c:pt idx="42">
                  <c:v>2.2763945933360139</c:v>
                </c:pt>
                <c:pt idx="43">
                  <c:v>2.2045873063226424</c:v>
                </c:pt>
                <c:pt idx="44">
                  <c:v>2.4070121992812763</c:v>
                </c:pt>
                <c:pt idx="45">
                  <c:v>2.2561469942730654</c:v>
                </c:pt>
                <c:pt idx="46">
                  <c:v>2.2557559651783525</c:v>
                </c:pt>
              </c:numCache>
            </c:numRef>
          </c:xVal>
          <c:yVal>
            <c:numRef>
              <c:f>'verifica a liquefazione (3)'!$AM$4:$AM$51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A7-4B8B-98B1-C341EE5F88D1}"/>
            </c:ext>
          </c:extLst>
        </c:ser>
        <c:ser>
          <c:idx val="3"/>
          <c:order val="3"/>
          <c:tx>
            <c:v>1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(3)'!$AN$4:$AN$51</c:f>
              <c:numCache>
                <c:formatCode>General</c:formatCode>
                <c:ptCount val="48"/>
                <c:pt idx="0">
                  <c:v>1.31</c:v>
                </c:pt>
                <c:pt idx="1">
                  <c:v>1.31</c:v>
                </c:pt>
                <c:pt idx="2">
                  <c:v>1.31</c:v>
                </c:pt>
                <c:pt idx="3">
                  <c:v>1.31</c:v>
                </c:pt>
                <c:pt idx="4">
                  <c:v>1.31</c:v>
                </c:pt>
                <c:pt idx="5">
                  <c:v>1.31</c:v>
                </c:pt>
                <c:pt idx="6">
                  <c:v>1.31</c:v>
                </c:pt>
                <c:pt idx="7">
                  <c:v>1.31</c:v>
                </c:pt>
                <c:pt idx="8">
                  <c:v>1.31</c:v>
                </c:pt>
                <c:pt idx="9">
                  <c:v>1.31</c:v>
                </c:pt>
                <c:pt idx="10">
                  <c:v>1.31</c:v>
                </c:pt>
                <c:pt idx="11">
                  <c:v>1.31</c:v>
                </c:pt>
                <c:pt idx="12">
                  <c:v>1.31</c:v>
                </c:pt>
                <c:pt idx="13">
                  <c:v>1.31</c:v>
                </c:pt>
                <c:pt idx="14">
                  <c:v>1.31</c:v>
                </c:pt>
                <c:pt idx="15">
                  <c:v>1.31</c:v>
                </c:pt>
                <c:pt idx="16">
                  <c:v>1.31</c:v>
                </c:pt>
                <c:pt idx="17">
                  <c:v>1.31</c:v>
                </c:pt>
                <c:pt idx="18">
                  <c:v>1.31</c:v>
                </c:pt>
                <c:pt idx="19">
                  <c:v>1.31</c:v>
                </c:pt>
                <c:pt idx="20">
                  <c:v>1.31</c:v>
                </c:pt>
                <c:pt idx="21">
                  <c:v>1.31</c:v>
                </c:pt>
                <c:pt idx="22">
                  <c:v>1.31</c:v>
                </c:pt>
                <c:pt idx="23">
                  <c:v>1.31</c:v>
                </c:pt>
                <c:pt idx="24">
                  <c:v>1.31</c:v>
                </c:pt>
                <c:pt idx="25">
                  <c:v>1.31</c:v>
                </c:pt>
                <c:pt idx="26">
                  <c:v>1.31</c:v>
                </c:pt>
                <c:pt idx="27">
                  <c:v>1.31</c:v>
                </c:pt>
                <c:pt idx="28">
                  <c:v>1.31</c:v>
                </c:pt>
                <c:pt idx="29">
                  <c:v>1.31</c:v>
                </c:pt>
                <c:pt idx="30">
                  <c:v>1.31</c:v>
                </c:pt>
                <c:pt idx="31">
                  <c:v>1.31</c:v>
                </c:pt>
                <c:pt idx="32">
                  <c:v>1.31</c:v>
                </c:pt>
                <c:pt idx="33">
                  <c:v>1.31</c:v>
                </c:pt>
                <c:pt idx="34">
                  <c:v>1.31</c:v>
                </c:pt>
                <c:pt idx="35">
                  <c:v>1.31</c:v>
                </c:pt>
                <c:pt idx="36">
                  <c:v>1.31</c:v>
                </c:pt>
                <c:pt idx="37">
                  <c:v>1.31</c:v>
                </c:pt>
                <c:pt idx="38">
                  <c:v>1.31</c:v>
                </c:pt>
                <c:pt idx="39">
                  <c:v>1.31</c:v>
                </c:pt>
                <c:pt idx="40">
                  <c:v>1.31</c:v>
                </c:pt>
                <c:pt idx="41">
                  <c:v>1.31</c:v>
                </c:pt>
                <c:pt idx="42">
                  <c:v>1.31</c:v>
                </c:pt>
                <c:pt idx="43">
                  <c:v>1.31</c:v>
                </c:pt>
                <c:pt idx="44">
                  <c:v>1.31</c:v>
                </c:pt>
                <c:pt idx="45">
                  <c:v>1.31</c:v>
                </c:pt>
                <c:pt idx="46">
                  <c:v>1.31</c:v>
                </c:pt>
                <c:pt idx="47">
                  <c:v>1.31</c:v>
                </c:pt>
              </c:numCache>
            </c:numRef>
          </c:xVal>
          <c:yVal>
            <c:numRef>
              <c:f>'verifica a liquefazione (3)'!$AM$4:$AM$51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A7-4B8B-98B1-C341EE5F88D1}"/>
            </c:ext>
          </c:extLst>
        </c:ser>
        <c:ser>
          <c:idx val="4"/>
          <c:order val="4"/>
          <c:tx>
            <c:v>2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(3)'!$AO$4:$AO$51</c:f>
              <c:numCache>
                <c:formatCode>General</c:formatCode>
                <c:ptCount val="48"/>
                <c:pt idx="0">
                  <c:v>2.0499999999999998</c:v>
                </c:pt>
                <c:pt idx="1">
                  <c:v>2.0499999999999998</c:v>
                </c:pt>
                <c:pt idx="2">
                  <c:v>2.0499999999999998</c:v>
                </c:pt>
                <c:pt idx="3">
                  <c:v>2.0499999999999998</c:v>
                </c:pt>
                <c:pt idx="4">
                  <c:v>2.0499999999999998</c:v>
                </c:pt>
                <c:pt idx="5">
                  <c:v>2.0499999999999998</c:v>
                </c:pt>
                <c:pt idx="6">
                  <c:v>2.0499999999999998</c:v>
                </c:pt>
                <c:pt idx="7">
                  <c:v>2.0499999999999998</c:v>
                </c:pt>
                <c:pt idx="8">
                  <c:v>2.0499999999999998</c:v>
                </c:pt>
                <c:pt idx="9">
                  <c:v>2.0499999999999998</c:v>
                </c:pt>
                <c:pt idx="10">
                  <c:v>2.0499999999999998</c:v>
                </c:pt>
                <c:pt idx="11">
                  <c:v>2.0499999999999998</c:v>
                </c:pt>
                <c:pt idx="12">
                  <c:v>2.0499999999999998</c:v>
                </c:pt>
                <c:pt idx="13">
                  <c:v>2.0499999999999998</c:v>
                </c:pt>
                <c:pt idx="14">
                  <c:v>2.0499999999999998</c:v>
                </c:pt>
                <c:pt idx="15">
                  <c:v>2.0499999999999998</c:v>
                </c:pt>
                <c:pt idx="16">
                  <c:v>2.0499999999999998</c:v>
                </c:pt>
                <c:pt idx="17">
                  <c:v>2.0499999999999998</c:v>
                </c:pt>
                <c:pt idx="18">
                  <c:v>2.0499999999999998</c:v>
                </c:pt>
                <c:pt idx="19">
                  <c:v>2.0499999999999998</c:v>
                </c:pt>
                <c:pt idx="20">
                  <c:v>2.0499999999999998</c:v>
                </c:pt>
                <c:pt idx="21">
                  <c:v>2.0499999999999998</c:v>
                </c:pt>
                <c:pt idx="22">
                  <c:v>2.0499999999999998</c:v>
                </c:pt>
                <c:pt idx="23">
                  <c:v>2.0499999999999998</c:v>
                </c:pt>
                <c:pt idx="24">
                  <c:v>2.0499999999999998</c:v>
                </c:pt>
                <c:pt idx="25">
                  <c:v>2.0499999999999998</c:v>
                </c:pt>
                <c:pt idx="26">
                  <c:v>2.0499999999999998</c:v>
                </c:pt>
                <c:pt idx="27">
                  <c:v>2.0499999999999998</c:v>
                </c:pt>
                <c:pt idx="28">
                  <c:v>2.0499999999999998</c:v>
                </c:pt>
                <c:pt idx="29">
                  <c:v>2.0499999999999998</c:v>
                </c:pt>
                <c:pt idx="30">
                  <c:v>2.0499999999999998</c:v>
                </c:pt>
                <c:pt idx="31">
                  <c:v>2.0499999999999998</c:v>
                </c:pt>
                <c:pt idx="32">
                  <c:v>2.0499999999999998</c:v>
                </c:pt>
                <c:pt idx="33">
                  <c:v>2.0499999999999998</c:v>
                </c:pt>
                <c:pt idx="34">
                  <c:v>2.0499999999999998</c:v>
                </c:pt>
                <c:pt idx="35">
                  <c:v>2.0499999999999998</c:v>
                </c:pt>
                <c:pt idx="36">
                  <c:v>2.0499999999999998</c:v>
                </c:pt>
                <c:pt idx="37">
                  <c:v>2.0499999999999998</c:v>
                </c:pt>
                <c:pt idx="38">
                  <c:v>2.0499999999999998</c:v>
                </c:pt>
                <c:pt idx="39">
                  <c:v>2.0499999999999998</c:v>
                </c:pt>
                <c:pt idx="40">
                  <c:v>2.0499999999999998</c:v>
                </c:pt>
                <c:pt idx="41">
                  <c:v>2.0499999999999998</c:v>
                </c:pt>
                <c:pt idx="42">
                  <c:v>2.0499999999999998</c:v>
                </c:pt>
                <c:pt idx="43">
                  <c:v>2.0499999999999998</c:v>
                </c:pt>
                <c:pt idx="44">
                  <c:v>2.0499999999999998</c:v>
                </c:pt>
                <c:pt idx="45">
                  <c:v>2.0499999999999998</c:v>
                </c:pt>
                <c:pt idx="46">
                  <c:v>2.0499999999999998</c:v>
                </c:pt>
                <c:pt idx="47">
                  <c:v>2.0499999999999998</c:v>
                </c:pt>
              </c:numCache>
            </c:numRef>
          </c:xVal>
          <c:yVal>
            <c:numRef>
              <c:f>'verifica a liquefazione (3)'!$AM$4:$AM$51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A7-4B8B-98B1-C341EE5F88D1}"/>
            </c:ext>
          </c:extLst>
        </c:ser>
        <c:ser>
          <c:idx val="5"/>
          <c:order val="5"/>
          <c:tx>
            <c:v>3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(3)'!$AP$4:$AP$51</c:f>
              <c:numCache>
                <c:formatCode>General</c:formatCode>
                <c:ptCount val="48"/>
                <c:pt idx="0">
                  <c:v>2.6</c:v>
                </c:pt>
                <c:pt idx="1">
                  <c:v>2.6</c:v>
                </c:pt>
                <c:pt idx="2">
                  <c:v>2.6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2.6</c:v>
                </c:pt>
                <c:pt idx="7">
                  <c:v>2.6</c:v>
                </c:pt>
                <c:pt idx="8">
                  <c:v>2.6</c:v>
                </c:pt>
                <c:pt idx="9">
                  <c:v>2.6</c:v>
                </c:pt>
                <c:pt idx="10">
                  <c:v>2.6</c:v>
                </c:pt>
                <c:pt idx="11">
                  <c:v>2.6</c:v>
                </c:pt>
                <c:pt idx="12">
                  <c:v>2.6</c:v>
                </c:pt>
                <c:pt idx="13">
                  <c:v>2.6</c:v>
                </c:pt>
                <c:pt idx="14">
                  <c:v>2.6</c:v>
                </c:pt>
                <c:pt idx="15">
                  <c:v>2.6</c:v>
                </c:pt>
                <c:pt idx="16">
                  <c:v>2.6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2.6</c:v>
                </c:pt>
                <c:pt idx="21">
                  <c:v>2.6</c:v>
                </c:pt>
                <c:pt idx="22">
                  <c:v>2.6</c:v>
                </c:pt>
                <c:pt idx="23">
                  <c:v>2.6</c:v>
                </c:pt>
                <c:pt idx="24">
                  <c:v>2.6</c:v>
                </c:pt>
                <c:pt idx="25">
                  <c:v>2.6</c:v>
                </c:pt>
                <c:pt idx="26">
                  <c:v>2.6</c:v>
                </c:pt>
                <c:pt idx="27">
                  <c:v>2.6</c:v>
                </c:pt>
                <c:pt idx="28">
                  <c:v>2.6</c:v>
                </c:pt>
                <c:pt idx="29">
                  <c:v>2.6</c:v>
                </c:pt>
                <c:pt idx="30">
                  <c:v>2.6</c:v>
                </c:pt>
                <c:pt idx="31">
                  <c:v>2.6</c:v>
                </c:pt>
                <c:pt idx="32">
                  <c:v>2.6</c:v>
                </c:pt>
                <c:pt idx="33">
                  <c:v>2.6</c:v>
                </c:pt>
                <c:pt idx="34">
                  <c:v>2.6</c:v>
                </c:pt>
                <c:pt idx="35">
                  <c:v>2.6</c:v>
                </c:pt>
                <c:pt idx="36">
                  <c:v>2.6</c:v>
                </c:pt>
                <c:pt idx="37">
                  <c:v>2.6</c:v>
                </c:pt>
                <c:pt idx="38">
                  <c:v>2.6</c:v>
                </c:pt>
                <c:pt idx="39">
                  <c:v>2.6</c:v>
                </c:pt>
                <c:pt idx="40">
                  <c:v>2.6</c:v>
                </c:pt>
                <c:pt idx="41">
                  <c:v>2.6</c:v>
                </c:pt>
                <c:pt idx="42">
                  <c:v>2.6</c:v>
                </c:pt>
                <c:pt idx="43">
                  <c:v>2.6</c:v>
                </c:pt>
                <c:pt idx="44">
                  <c:v>2.6</c:v>
                </c:pt>
                <c:pt idx="45">
                  <c:v>2.6</c:v>
                </c:pt>
                <c:pt idx="46">
                  <c:v>2.6</c:v>
                </c:pt>
                <c:pt idx="47">
                  <c:v>2.6</c:v>
                </c:pt>
              </c:numCache>
            </c:numRef>
          </c:xVal>
          <c:yVal>
            <c:numRef>
              <c:f>'verifica a liquefazione (3)'!$AM$4:$AM$51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A7-4B8B-98B1-C341EE5F88D1}"/>
            </c:ext>
          </c:extLst>
        </c:ser>
        <c:ser>
          <c:idx val="6"/>
          <c:order val="6"/>
          <c:tx>
            <c:v>4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(3)'!$AQ$4:$AQ$51</c:f>
              <c:numCache>
                <c:formatCode>General</c:formatCode>
                <c:ptCount val="48"/>
                <c:pt idx="0">
                  <c:v>2.95</c:v>
                </c:pt>
                <c:pt idx="1">
                  <c:v>2.95</c:v>
                </c:pt>
                <c:pt idx="2">
                  <c:v>2.95</c:v>
                </c:pt>
                <c:pt idx="3">
                  <c:v>2.95</c:v>
                </c:pt>
                <c:pt idx="4">
                  <c:v>2.95</c:v>
                </c:pt>
                <c:pt idx="5">
                  <c:v>2.95</c:v>
                </c:pt>
                <c:pt idx="6">
                  <c:v>2.95</c:v>
                </c:pt>
                <c:pt idx="7">
                  <c:v>2.95</c:v>
                </c:pt>
                <c:pt idx="8">
                  <c:v>2.95</c:v>
                </c:pt>
                <c:pt idx="9">
                  <c:v>2.95</c:v>
                </c:pt>
                <c:pt idx="10">
                  <c:v>2.95</c:v>
                </c:pt>
                <c:pt idx="11">
                  <c:v>2.95</c:v>
                </c:pt>
                <c:pt idx="12">
                  <c:v>2.95</c:v>
                </c:pt>
                <c:pt idx="13">
                  <c:v>2.95</c:v>
                </c:pt>
                <c:pt idx="14">
                  <c:v>2.95</c:v>
                </c:pt>
                <c:pt idx="15">
                  <c:v>2.95</c:v>
                </c:pt>
                <c:pt idx="16">
                  <c:v>2.95</c:v>
                </c:pt>
                <c:pt idx="17">
                  <c:v>2.95</c:v>
                </c:pt>
                <c:pt idx="18">
                  <c:v>2.95</c:v>
                </c:pt>
                <c:pt idx="19">
                  <c:v>2.95</c:v>
                </c:pt>
                <c:pt idx="20">
                  <c:v>2.95</c:v>
                </c:pt>
                <c:pt idx="21">
                  <c:v>2.95</c:v>
                </c:pt>
                <c:pt idx="22">
                  <c:v>2.95</c:v>
                </c:pt>
                <c:pt idx="23">
                  <c:v>2.95</c:v>
                </c:pt>
                <c:pt idx="24">
                  <c:v>2.95</c:v>
                </c:pt>
                <c:pt idx="25">
                  <c:v>2.95</c:v>
                </c:pt>
                <c:pt idx="26">
                  <c:v>2.95</c:v>
                </c:pt>
                <c:pt idx="27">
                  <c:v>2.95</c:v>
                </c:pt>
                <c:pt idx="28">
                  <c:v>2.95</c:v>
                </c:pt>
                <c:pt idx="29">
                  <c:v>2.95</c:v>
                </c:pt>
                <c:pt idx="30">
                  <c:v>2.95</c:v>
                </c:pt>
                <c:pt idx="31">
                  <c:v>2.95</c:v>
                </c:pt>
                <c:pt idx="32">
                  <c:v>2.95</c:v>
                </c:pt>
                <c:pt idx="33">
                  <c:v>2.95</c:v>
                </c:pt>
                <c:pt idx="34">
                  <c:v>2.95</c:v>
                </c:pt>
                <c:pt idx="35">
                  <c:v>2.95</c:v>
                </c:pt>
                <c:pt idx="36">
                  <c:v>2.95</c:v>
                </c:pt>
                <c:pt idx="37">
                  <c:v>2.95</c:v>
                </c:pt>
                <c:pt idx="38">
                  <c:v>2.95</c:v>
                </c:pt>
                <c:pt idx="39">
                  <c:v>2.95</c:v>
                </c:pt>
                <c:pt idx="40">
                  <c:v>2.95</c:v>
                </c:pt>
                <c:pt idx="41">
                  <c:v>2.95</c:v>
                </c:pt>
                <c:pt idx="42">
                  <c:v>2.95</c:v>
                </c:pt>
                <c:pt idx="43">
                  <c:v>2.95</c:v>
                </c:pt>
                <c:pt idx="44">
                  <c:v>2.95</c:v>
                </c:pt>
                <c:pt idx="45">
                  <c:v>2.95</c:v>
                </c:pt>
                <c:pt idx="46">
                  <c:v>2.95</c:v>
                </c:pt>
                <c:pt idx="47">
                  <c:v>2.95</c:v>
                </c:pt>
              </c:numCache>
            </c:numRef>
          </c:xVal>
          <c:yVal>
            <c:numRef>
              <c:f>'verifica a liquefazione (3)'!$AM$4:$AM$51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A7-4B8B-98B1-C341EE5F88D1}"/>
            </c:ext>
          </c:extLst>
        </c:ser>
        <c:ser>
          <c:idx val="7"/>
          <c:order val="7"/>
          <c:tx>
            <c:v>5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(3)'!$AR$4:$AR$51</c:f>
              <c:numCache>
                <c:formatCode>General</c:formatCode>
                <c:ptCount val="48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3.6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3.6</c:v>
                </c:pt>
                <c:pt idx="22">
                  <c:v>3.6</c:v>
                </c:pt>
                <c:pt idx="23">
                  <c:v>3.6</c:v>
                </c:pt>
                <c:pt idx="24">
                  <c:v>3.6</c:v>
                </c:pt>
                <c:pt idx="25">
                  <c:v>3.6</c:v>
                </c:pt>
                <c:pt idx="26">
                  <c:v>3.6</c:v>
                </c:pt>
                <c:pt idx="27">
                  <c:v>3.6</c:v>
                </c:pt>
                <c:pt idx="28">
                  <c:v>3.6</c:v>
                </c:pt>
                <c:pt idx="29">
                  <c:v>3.6</c:v>
                </c:pt>
                <c:pt idx="30">
                  <c:v>3.6</c:v>
                </c:pt>
                <c:pt idx="31">
                  <c:v>3.6</c:v>
                </c:pt>
                <c:pt idx="32">
                  <c:v>3.6</c:v>
                </c:pt>
                <c:pt idx="33">
                  <c:v>3.6</c:v>
                </c:pt>
                <c:pt idx="34">
                  <c:v>3.6</c:v>
                </c:pt>
                <c:pt idx="35">
                  <c:v>3.6</c:v>
                </c:pt>
                <c:pt idx="36">
                  <c:v>3.6</c:v>
                </c:pt>
                <c:pt idx="37">
                  <c:v>3.6</c:v>
                </c:pt>
                <c:pt idx="38">
                  <c:v>3.6</c:v>
                </c:pt>
                <c:pt idx="39">
                  <c:v>3.6</c:v>
                </c:pt>
                <c:pt idx="40">
                  <c:v>3.6</c:v>
                </c:pt>
                <c:pt idx="41">
                  <c:v>3.6</c:v>
                </c:pt>
                <c:pt idx="42">
                  <c:v>3.6</c:v>
                </c:pt>
                <c:pt idx="43">
                  <c:v>3.6</c:v>
                </c:pt>
                <c:pt idx="44">
                  <c:v>3.6</c:v>
                </c:pt>
                <c:pt idx="45">
                  <c:v>3.6</c:v>
                </c:pt>
                <c:pt idx="46">
                  <c:v>3.6</c:v>
                </c:pt>
                <c:pt idx="47">
                  <c:v>3.6</c:v>
                </c:pt>
              </c:numCache>
            </c:numRef>
          </c:xVal>
          <c:yVal>
            <c:numRef>
              <c:f>'verifica a liquefazione (3)'!$AM$4:$AM$51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A7-4B8B-98B1-C341EE5F88D1}"/>
            </c:ext>
          </c:extLst>
        </c:ser>
        <c:ser>
          <c:idx val="8"/>
          <c:order val="8"/>
          <c:tx>
            <c:v>Ic-CPT1</c:v>
          </c:tx>
          <c:spPr>
            <a:ln w="38100" cap="flat" cmpd="sng" algn="ctr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CPT (5)'!$V$5:$V$52</c:f>
              <c:numCache>
                <c:formatCode>0.00</c:formatCode>
                <c:ptCount val="48"/>
                <c:pt idx="0">
                  <c:v>2.2801826522473543</c:v>
                </c:pt>
                <c:pt idx="1">
                  <c:v>2.1805546012398378</c:v>
                </c:pt>
                <c:pt idx="2">
                  <c:v>1.9230428110716209</c:v>
                </c:pt>
                <c:pt idx="3">
                  <c:v>2.1598821913692539</c:v>
                </c:pt>
                <c:pt idx="4">
                  <c:v>2.4027809786101675</c:v>
                </c:pt>
                <c:pt idx="5">
                  <c:v>2.3725169114828022</c:v>
                </c:pt>
                <c:pt idx="6">
                  <c:v>2.3187155395724548</c:v>
                </c:pt>
                <c:pt idx="7">
                  <c:v>2.4039989214661817</c:v>
                </c:pt>
                <c:pt idx="8">
                  <c:v>2.3785597139183956</c:v>
                </c:pt>
                <c:pt idx="9">
                  <c:v>2.3737017278046841</c:v>
                </c:pt>
                <c:pt idx="10">
                  <c:v>2.3143389724877061</c:v>
                </c:pt>
                <c:pt idx="11">
                  <c:v>2.1248808034311804</c:v>
                </c:pt>
                <c:pt idx="12">
                  <c:v>2.1764855457611922</c:v>
                </c:pt>
                <c:pt idx="13">
                  <c:v>2.1007909722108038</c:v>
                </c:pt>
                <c:pt idx="14">
                  <c:v>2.1333352230010676</c:v>
                </c:pt>
                <c:pt idx="15">
                  <c:v>2.2715136549897834</c:v>
                </c:pt>
                <c:pt idx="16">
                  <c:v>2.3790775851757529</c:v>
                </c:pt>
                <c:pt idx="17">
                  <c:v>2.5940124279921766</c:v>
                </c:pt>
                <c:pt idx="18">
                  <c:v>2.4682985837568112</c:v>
                </c:pt>
                <c:pt idx="19">
                  <c:v>2.4404509963970349</c:v>
                </c:pt>
                <c:pt idx="20">
                  <c:v>2.420618438070103</c:v>
                </c:pt>
                <c:pt idx="21">
                  <c:v>2.5536142145406702</c:v>
                </c:pt>
                <c:pt idx="22">
                  <c:v>2.3729036564006063</c:v>
                </c:pt>
                <c:pt idx="23">
                  <c:v>2.3150460940083022</c:v>
                </c:pt>
                <c:pt idx="24">
                  <c:v>2.3221044120855319</c:v>
                </c:pt>
                <c:pt idx="25">
                  <c:v>2.3101244586416505</c:v>
                </c:pt>
                <c:pt idx="26">
                  <c:v>2.3479891690735153</c:v>
                </c:pt>
                <c:pt idx="27">
                  <c:v>2.3689511902473903</c:v>
                </c:pt>
                <c:pt idx="28">
                  <c:v>2.2465607067539159</c:v>
                </c:pt>
                <c:pt idx="29">
                  <c:v>2.372318924400302</c:v>
                </c:pt>
                <c:pt idx="30">
                  <c:v>2.4770514806328428</c:v>
                </c:pt>
                <c:pt idx="31">
                  <c:v>2.3380625537030544</c:v>
                </c:pt>
                <c:pt idx="32">
                  <c:v>2.2889974957939421</c:v>
                </c:pt>
                <c:pt idx="33">
                  <c:v>2.3384553023179491</c:v>
                </c:pt>
                <c:pt idx="34">
                  <c:v>2.4000500169641219</c:v>
                </c:pt>
                <c:pt idx="35">
                  <c:v>2.720379470317186</c:v>
                </c:pt>
                <c:pt idx="36">
                  <c:v>2.5550308873392562</c:v>
                </c:pt>
                <c:pt idx="37">
                  <c:v>2.5208833969832369</c:v>
                </c:pt>
                <c:pt idx="38">
                  <c:v>2.427564802576069</c:v>
                </c:pt>
                <c:pt idx="39">
                  <c:v>2.373092052243587</c:v>
                </c:pt>
                <c:pt idx="40">
                  <c:v>2.6502514184884247</c:v>
                </c:pt>
                <c:pt idx="41">
                  <c:v>2.6869847885511784</c:v>
                </c:pt>
                <c:pt idx="42">
                  <c:v>2.4217653871861824</c:v>
                </c:pt>
                <c:pt idx="43">
                  <c:v>2.3894510158758071</c:v>
                </c:pt>
                <c:pt idx="44">
                  <c:v>2.4361454156294733</c:v>
                </c:pt>
                <c:pt idx="45">
                  <c:v>2.4844130326890448</c:v>
                </c:pt>
                <c:pt idx="46">
                  <c:v>2.4470589742573758</c:v>
                </c:pt>
                <c:pt idx="47">
                  <c:v>2.4445346816078501</c:v>
                </c:pt>
              </c:numCache>
            </c:numRef>
          </c:xVal>
          <c:yVal>
            <c:numRef>
              <c:f>'verifica a liquefazione CPT (5)'!$AM$5:$AM$52</c:f>
              <c:numCache>
                <c:formatCode>General</c:formatCode>
                <c:ptCount val="48"/>
                <c:pt idx="0">
                  <c:v>-0.4</c:v>
                </c:pt>
                <c:pt idx="1">
                  <c:v>-0.6</c:v>
                </c:pt>
                <c:pt idx="2">
                  <c:v>-0.8</c:v>
                </c:pt>
                <c:pt idx="3">
                  <c:v>-1</c:v>
                </c:pt>
                <c:pt idx="4">
                  <c:v>-1.2</c:v>
                </c:pt>
                <c:pt idx="5">
                  <c:v>-1.4</c:v>
                </c:pt>
                <c:pt idx="6">
                  <c:v>-1.6</c:v>
                </c:pt>
                <c:pt idx="7">
                  <c:v>-1.8</c:v>
                </c:pt>
                <c:pt idx="8">
                  <c:v>-2</c:v>
                </c:pt>
                <c:pt idx="9">
                  <c:v>-2.2000000000000002</c:v>
                </c:pt>
                <c:pt idx="10">
                  <c:v>-2.4</c:v>
                </c:pt>
                <c:pt idx="11">
                  <c:v>-2.6</c:v>
                </c:pt>
                <c:pt idx="12">
                  <c:v>-2.8</c:v>
                </c:pt>
                <c:pt idx="13">
                  <c:v>-3</c:v>
                </c:pt>
                <c:pt idx="14">
                  <c:v>-3.2</c:v>
                </c:pt>
                <c:pt idx="15">
                  <c:v>-3.4</c:v>
                </c:pt>
                <c:pt idx="16">
                  <c:v>-3.6</c:v>
                </c:pt>
                <c:pt idx="17">
                  <c:v>-3.8</c:v>
                </c:pt>
                <c:pt idx="18">
                  <c:v>-4</c:v>
                </c:pt>
                <c:pt idx="19">
                  <c:v>-4.2</c:v>
                </c:pt>
                <c:pt idx="20">
                  <c:v>-4.4000000000000004</c:v>
                </c:pt>
                <c:pt idx="21">
                  <c:v>-4.5999999999999996</c:v>
                </c:pt>
                <c:pt idx="22">
                  <c:v>-4.8</c:v>
                </c:pt>
                <c:pt idx="23">
                  <c:v>-5</c:v>
                </c:pt>
                <c:pt idx="24">
                  <c:v>-5.2</c:v>
                </c:pt>
                <c:pt idx="25">
                  <c:v>-5.4</c:v>
                </c:pt>
                <c:pt idx="26">
                  <c:v>-5.6</c:v>
                </c:pt>
                <c:pt idx="27">
                  <c:v>-5.8</c:v>
                </c:pt>
                <c:pt idx="28">
                  <c:v>-6</c:v>
                </c:pt>
                <c:pt idx="29">
                  <c:v>-6.2</c:v>
                </c:pt>
                <c:pt idx="30">
                  <c:v>-6.4</c:v>
                </c:pt>
                <c:pt idx="31">
                  <c:v>-6.6</c:v>
                </c:pt>
                <c:pt idx="32">
                  <c:v>-6.8</c:v>
                </c:pt>
                <c:pt idx="33">
                  <c:v>-7</c:v>
                </c:pt>
                <c:pt idx="34">
                  <c:v>-7.2</c:v>
                </c:pt>
                <c:pt idx="35">
                  <c:v>-7.4</c:v>
                </c:pt>
                <c:pt idx="36">
                  <c:v>-7.6</c:v>
                </c:pt>
                <c:pt idx="37">
                  <c:v>-7.8</c:v>
                </c:pt>
                <c:pt idx="38">
                  <c:v>-8</c:v>
                </c:pt>
                <c:pt idx="39">
                  <c:v>-8.1999999999999993</c:v>
                </c:pt>
                <c:pt idx="40">
                  <c:v>-8.4</c:v>
                </c:pt>
                <c:pt idx="41">
                  <c:v>-8.6</c:v>
                </c:pt>
                <c:pt idx="42">
                  <c:v>-8.8000000000000007</c:v>
                </c:pt>
                <c:pt idx="43">
                  <c:v>-9</c:v>
                </c:pt>
                <c:pt idx="44">
                  <c:v>-9.1999999999999993</c:v>
                </c:pt>
                <c:pt idx="45">
                  <c:v>-9.4</c:v>
                </c:pt>
                <c:pt idx="46">
                  <c:v>-9.6</c:v>
                </c:pt>
                <c:pt idx="47">
                  <c:v>-9.8000000000000007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22-42DF-8881-87A07150F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223984"/>
        <c:axId val="109881830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FS=1,25</c:v>
                </c:tx>
                <c:spPr>
                  <a:ln w="25400" cap="flat" cmpd="dbl" algn="ctr">
                    <a:solidFill>
                      <a:schemeClr val="accent1">
                        <a:alpha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'verifica a liquefazione (3)'!$AL$4:$AL$51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1.25</c:v>
                      </c:pt>
                      <c:pt idx="1">
                        <c:v>1.25</c:v>
                      </c:pt>
                      <c:pt idx="2">
                        <c:v>1.25</c:v>
                      </c:pt>
                      <c:pt idx="3">
                        <c:v>1.25</c:v>
                      </c:pt>
                      <c:pt idx="4">
                        <c:v>1.25</c:v>
                      </c:pt>
                      <c:pt idx="5">
                        <c:v>1.25</c:v>
                      </c:pt>
                      <c:pt idx="6">
                        <c:v>1.25</c:v>
                      </c:pt>
                      <c:pt idx="7">
                        <c:v>1.25</c:v>
                      </c:pt>
                      <c:pt idx="8">
                        <c:v>1.25</c:v>
                      </c:pt>
                      <c:pt idx="9">
                        <c:v>1.25</c:v>
                      </c:pt>
                      <c:pt idx="10">
                        <c:v>1.25</c:v>
                      </c:pt>
                      <c:pt idx="11">
                        <c:v>1.25</c:v>
                      </c:pt>
                      <c:pt idx="12">
                        <c:v>1.25</c:v>
                      </c:pt>
                      <c:pt idx="13">
                        <c:v>1.25</c:v>
                      </c:pt>
                      <c:pt idx="14">
                        <c:v>1.25</c:v>
                      </c:pt>
                      <c:pt idx="15">
                        <c:v>1.25</c:v>
                      </c:pt>
                      <c:pt idx="16">
                        <c:v>1.25</c:v>
                      </c:pt>
                      <c:pt idx="17">
                        <c:v>1.25</c:v>
                      </c:pt>
                      <c:pt idx="18">
                        <c:v>1.25</c:v>
                      </c:pt>
                      <c:pt idx="19">
                        <c:v>1.25</c:v>
                      </c:pt>
                      <c:pt idx="20">
                        <c:v>1.25</c:v>
                      </c:pt>
                      <c:pt idx="21">
                        <c:v>1.25</c:v>
                      </c:pt>
                      <c:pt idx="22">
                        <c:v>1.25</c:v>
                      </c:pt>
                      <c:pt idx="23">
                        <c:v>1.25</c:v>
                      </c:pt>
                      <c:pt idx="24">
                        <c:v>1.25</c:v>
                      </c:pt>
                      <c:pt idx="25">
                        <c:v>1.25</c:v>
                      </c:pt>
                      <c:pt idx="26">
                        <c:v>1.25</c:v>
                      </c:pt>
                      <c:pt idx="27">
                        <c:v>1.25</c:v>
                      </c:pt>
                      <c:pt idx="28">
                        <c:v>1.25</c:v>
                      </c:pt>
                      <c:pt idx="29">
                        <c:v>1.25</c:v>
                      </c:pt>
                      <c:pt idx="30">
                        <c:v>1.25</c:v>
                      </c:pt>
                      <c:pt idx="31">
                        <c:v>1.25</c:v>
                      </c:pt>
                      <c:pt idx="32">
                        <c:v>1.25</c:v>
                      </c:pt>
                      <c:pt idx="33">
                        <c:v>1.25</c:v>
                      </c:pt>
                      <c:pt idx="34">
                        <c:v>1.25</c:v>
                      </c:pt>
                      <c:pt idx="35">
                        <c:v>1.25</c:v>
                      </c:pt>
                      <c:pt idx="36">
                        <c:v>1.25</c:v>
                      </c:pt>
                      <c:pt idx="37">
                        <c:v>1.25</c:v>
                      </c:pt>
                      <c:pt idx="38">
                        <c:v>1.25</c:v>
                      </c:pt>
                      <c:pt idx="39">
                        <c:v>1.25</c:v>
                      </c:pt>
                      <c:pt idx="40">
                        <c:v>1.25</c:v>
                      </c:pt>
                      <c:pt idx="41">
                        <c:v>1.25</c:v>
                      </c:pt>
                      <c:pt idx="42">
                        <c:v>1.25</c:v>
                      </c:pt>
                      <c:pt idx="43">
                        <c:v>1.25</c:v>
                      </c:pt>
                      <c:pt idx="44">
                        <c:v>1.25</c:v>
                      </c:pt>
                      <c:pt idx="45">
                        <c:v>1.25</c:v>
                      </c:pt>
                      <c:pt idx="46">
                        <c:v>1.25</c:v>
                      </c:pt>
                      <c:pt idx="47">
                        <c:v>1.25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'verifica a liquefazione (3)'!$AM$4:$AM$51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-0.2</c:v>
                      </c:pt>
                      <c:pt idx="1">
                        <c:v>-0.4</c:v>
                      </c:pt>
                      <c:pt idx="2">
                        <c:v>-0.6</c:v>
                      </c:pt>
                      <c:pt idx="3">
                        <c:v>-0.8</c:v>
                      </c:pt>
                      <c:pt idx="4">
                        <c:v>-1</c:v>
                      </c:pt>
                      <c:pt idx="5">
                        <c:v>-1.2</c:v>
                      </c:pt>
                      <c:pt idx="6">
                        <c:v>-1.4</c:v>
                      </c:pt>
                      <c:pt idx="7">
                        <c:v>-1.6</c:v>
                      </c:pt>
                      <c:pt idx="8">
                        <c:v>-1.8</c:v>
                      </c:pt>
                      <c:pt idx="9">
                        <c:v>-2</c:v>
                      </c:pt>
                      <c:pt idx="10">
                        <c:v>-2.2000000000000002</c:v>
                      </c:pt>
                      <c:pt idx="11">
                        <c:v>-2.4</c:v>
                      </c:pt>
                      <c:pt idx="12">
                        <c:v>-2.6</c:v>
                      </c:pt>
                      <c:pt idx="13">
                        <c:v>-2.8</c:v>
                      </c:pt>
                      <c:pt idx="14">
                        <c:v>-3</c:v>
                      </c:pt>
                      <c:pt idx="15">
                        <c:v>-3.2</c:v>
                      </c:pt>
                      <c:pt idx="16">
                        <c:v>-3.4</c:v>
                      </c:pt>
                      <c:pt idx="17">
                        <c:v>-3.6</c:v>
                      </c:pt>
                      <c:pt idx="18">
                        <c:v>-3.8</c:v>
                      </c:pt>
                      <c:pt idx="19">
                        <c:v>-4</c:v>
                      </c:pt>
                      <c:pt idx="20">
                        <c:v>-4.2</c:v>
                      </c:pt>
                      <c:pt idx="21">
                        <c:v>-4.4000000000000004</c:v>
                      </c:pt>
                      <c:pt idx="22">
                        <c:v>-4.5999999999999996</c:v>
                      </c:pt>
                      <c:pt idx="23">
                        <c:v>-4.8</c:v>
                      </c:pt>
                      <c:pt idx="24">
                        <c:v>-5</c:v>
                      </c:pt>
                      <c:pt idx="25">
                        <c:v>-5.2</c:v>
                      </c:pt>
                      <c:pt idx="26">
                        <c:v>-5.4</c:v>
                      </c:pt>
                      <c:pt idx="27">
                        <c:v>-5.6</c:v>
                      </c:pt>
                      <c:pt idx="28">
                        <c:v>-5.8</c:v>
                      </c:pt>
                      <c:pt idx="29">
                        <c:v>-6</c:v>
                      </c:pt>
                      <c:pt idx="30">
                        <c:v>-6.2</c:v>
                      </c:pt>
                      <c:pt idx="31">
                        <c:v>-6.4</c:v>
                      </c:pt>
                      <c:pt idx="32">
                        <c:v>-6.6</c:v>
                      </c:pt>
                      <c:pt idx="33">
                        <c:v>-6.8</c:v>
                      </c:pt>
                      <c:pt idx="34">
                        <c:v>-7</c:v>
                      </c:pt>
                      <c:pt idx="35">
                        <c:v>-7.2</c:v>
                      </c:pt>
                      <c:pt idx="36">
                        <c:v>-7.4</c:v>
                      </c:pt>
                      <c:pt idx="37">
                        <c:v>-7.6</c:v>
                      </c:pt>
                      <c:pt idx="38">
                        <c:v>-7.8</c:v>
                      </c:pt>
                      <c:pt idx="39">
                        <c:v>-8</c:v>
                      </c:pt>
                      <c:pt idx="40">
                        <c:v>-8.1999999999999993</c:v>
                      </c:pt>
                      <c:pt idx="41">
                        <c:v>-8.4</c:v>
                      </c:pt>
                      <c:pt idx="42">
                        <c:v>-8.6</c:v>
                      </c:pt>
                      <c:pt idx="43">
                        <c:v>-8.8000000000000007</c:v>
                      </c:pt>
                      <c:pt idx="44">
                        <c:v>-9</c:v>
                      </c:pt>
                      <c:pt idx="45">
                        <c:v>-9.1999999999999993</c:v>
                      </c:pt>
                      <c:pt idx="46">
                        <c:v>-9.4</c:v>
                      </c:pt>
                      <c:pt idx="47">
                        <c:v>-9.6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6AA7-4B8B-98B1-C341EE5F88D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FS</c:v>
                </c:tx>
                <c:spPr>
                  <a:ln w="25400" cap="flat" cmpd="dbl" algn="ctr">
                    <a:solidFill>
                      <a:schemeClr val="accent2">
                        <a:alpha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'verifica a liquefazione (3)'!$AG$4:$AG$51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48"/>
                      <c:pt idx="2">
                        <c:v>8.4977805539027607</c:v>
                      </c:pt>
                      <c:pt idx="3">
                        <c:v>7.9372006480494353</c:v>
                      </c:pt>
                      <c:pt idx="4">
                        <c:v>5.0160009651779935</c:v>
                      </c:pt>
                      <c:pt idx="5">
                        <c:v>5.6998793746643726</c:v>
                      </c:pt>
                      <c:pt idx="6">
                        <c:v>3.5979727625251319</c:v>
                      </c:pt>
                      <c:pt idx="7">
                        <c:v>2.3055855356102493</c:v>
                      </c:pt>
                      <c:pt idx="8">
                        <c:v>1.5660343968606751</c:v>
                      </c:pt>
                      <c:pt idx="9">
                        <c:v>0.73316690728182554</c:v>
                      </c:pt>
                      <c:pt idx="10">
                        <c:v>0.81167907181550247</c:v>
                      </c:pt>
                      <c:pt idx="11">
                        <c:v>0.69515858127625452</c:v>
                      </c:pt>
                      <c:pt idx="12">
                        <c:v>1.8601757793471239</c:v>
                      </c:pt>
                      <c:pt idx="13">
                        <c:v>4.2328594606517305</c:v>
                      </c:pt>
                      <c:pt idx="14">
                        <c:v>3.7684334768133438</c:v>
                      </c:pt>
                      <c:pt idx="15">
                        <c:v>1.6557065450272774</c:v>
                      </c:pt>
                      <c:pt idx="16">
                        <c:v>6.0070257146967494</c:v>
                      </c:pt>
                      <c:pt idx="17">
                        <c:v>2.7139250864612219</c:v>
                      </c:pt>
                      <c:pt idx="18">
                        <c:v>2.4876556919274404</c:v>
                      </c:pt>
                      <c:pt idx="19">
                        <c:v>2.5152161172584777</c:v>
                      </c:pt>
                      <c:pt idx="20">
                        <c:v>1.9820607268267998</c:v>
                      </c:pt>
                      <c:pt idx="21">
                        <c:v>1.6073236283425811</c:v>
                      </c:pt>
                      <c:pt idx="22">
                        <c:v>1.5424937499190505</c:v>
                      </c:pt>
                      <c:pt idx="23">
                        <c:v>1.6705748280452914</c:v>
                      </c:pt>
                      <c:pt idx="24">
                        <c:v>3.2067419773111707</c:v>
                      </c:pt>
                      <c:pt idx="25">
                        <c:v>1.506171836765944</c:v>
                      </c:pt>
                      <c:pt idx="26">
                        <c:v>1.7544142794547777</c:v>
                      </c:pt>
                      <c:pt idx="27">
                        <c:v>2.1490867623869243</c:v>
                      </c:pt>
                      <c:pt idx="28">
                        <c:v>1.2101900576562483</c:v>
                      </c:pt>
                      <c:pt idx="29">
                        <c:v>1.2916310271547413</c:v>
                      </c:pt>
                      <c:pt idx="30">
                        <c:v>2.0491911334930561</c:v>
                      </c:pt>
                      <c:pt idx="31">
                        <c:v>1.4088093777483652</c:v>
                      </c:pt>
                      <c:pt idx="32">
                        <c:v>1.4414366703048416</c:v>
                      </c:pt>
                      <c:pt idx="33">
                        <c:v>0.98666490725329981</c:v>
                      </c:pt>
                      <c:pt idx="34">
                        <c:v>2.0265489480578158</c:v>
                      </c:pt>
                      <c:pt idx="35">
                        <c:v>1.3468256032382178</c:v>
                      </c:pt>
                      <c:pt idx="36">
                        <c:v>1.4978258827528199</c:v>
                      </c:pt>
                      <c:pt idx="37">
                        <c:v>1.1986767003308729</c:v>
                      </c:pt>
                      <c:pt idx="38">
                        <c:v>2.1231959274292294</c:v>
                      </c:pt>
                      <c:pt idx="39">
                        <c:v>1.0489031262854589</c:v>
                      </c:pt>
                      <c:pt idx="40">
                        <c:v>1.6390507835592387</c:v>
                      </c:pt>
                      <c:pt idx="41">
                        <c:v>2.1314035489173868</c:v>
                      </c:pt>
                      <c:pt idx="42">
                        <c:v>1.7541686049281489</c:v>
                      </c:pt>
                      <c:pt idx="43">
                        <c:v>1.9436806292988027</c:v>
                      </c:pt>
                      <c:pt idx="44">
                        <c:v>2.2007570354985724</c:v>
                      </c:pt>
                      <c:pt idx="45">
                        <c:v>2.0289361481983876</c:v>
                      </c:pt>
                      <c:pt idx="46">
                        <c:v>2.251513488058094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'verifica a liquefazione (3)'!$AM$4:$AM$51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-0.2</c:v>
                      </c:pt>
                      <c:pt idx="1">
                        <c:v>-0.4</c:v>
                      </c:pt>
                      <c:pt idx="2">
                        <c:v>-0.6</c:v>
                      </c:pt>
                      <c:pt idx="3">
                        <c:v>-0.8</c:v>
                      </c:pt>
                      <c:pt idx="4">
                        <c:v>-1</c:v>
                      </c:pt>
                      <c:pt idx="5">
                        <c:v>-1.2</c:v>
                      </c:pt>
                      <c:pt idx="6">
                        <c:v>-1.4</c:v>
                      </c:pt>
                      <c:pt idx="7">
                        <c:v>-1.6</c:v>
                      </c:pt>
                      <c:pt idx="8">
                        <c:v>-1.8</c:v>
                      </c:pt>
                      <c:pt idx="9">
                        <c:v>-2</c:v>
                      </c:pt>
                      <c:pt idx="10">
                        <c:v>-2.2000000000000002</c:v>
                      </c:pt>
                      <c:pt idx="11">
                        <c:v>-2.4</c:v>
                      </c:pt>
                      <c:pt idx="12">
                        <c:v>-2.6</c:v>
                      </c:pt>
                      <c:pt idx="13">
                        <c:v>-2.8</c:v>
                      </c:pt>
                      <c:pt idx="14">
                        <c:v>-3</c:v>
                      </c:pt>
                      <c:pt idx="15">
                        <c:v>-3.2</c:v>
                      </c:pt>
                      <c:pt idx="16">
                        <c:v>-3.4</c:v>
                      </c:pt>
                      <c:pt idx="17">
                        <c:v>-3.6</c:v>
                      </c:pt>
                      <c:pt idx="18">
                        <c:v>-3.8</c:v>
                      </c:pt>
                      <c:pt idx="19">
                        <c:v>-4</c:v>
                      </c:pt>
                      <c:pt idx="20">
                        <c:v>-4.2</c:v>
                      </c:pt>
                      <c:pt idx="21">
                        <c:v>-4.4000000000000004</c:v>
                      </c:pt>
                      <c:pt idx="22">
                        <c:v>-4.5999999999999996</c:v>
                      </c:pt>
                      <c:pt idx="23">
                        <c:v>-4.8</c:v>
                      </c:pt>
                      <c:pt idx="24">
                        <c:v>-5</c:v>
                      </c:pt>
                      <c:pt idx="25">
                        <c:v>-5.2</c:v>
                      </c:pt>
                      <c:pt idx="26">
                        <c:v>-5.4</c:v>
                      </c:pt>
                      <c:pt idx="27">
                        <c:v>-5.6</c:v>
                      </c:pt>
                      <c:pt idx="28">
                        <c:v>-5.8</c:v>
                      </c:pt>
                      <c:pt idx="29">
                        <c:v>-6</c:v>
                      </c:pt>
                      <c:pt idx="30">
                        <c:v>-6.2</c:v>
                      </c:pt>
                      <c:pt idx="31">
                        <c:v>-6.4</c:v>
                      </c:pt>
                      <c:pt idx="32">
                        <c:v>-6.6</c:v>
                      </c:pt>
                      <c:pt idx="33">
                        <c:v>-6.8</c:v>
                      </c:pt>
                      <c:pt idx="34">
                        <c:v>-7</c:v>
                      </c:pt>
                      <c:pt idx="35">
                        <c:v>-7.2</c:v>
                      </c:pt>
                      <c:pt idx="36">
                        <c:v>-7.4</c:v>
                      </c:pt>
                      <c:pt idx="37">
                        <c:v>-7.6</c:v>
                      </c:pt>
                      <c:pt idx="38">
                        <c:v>-7.8</c:v>
                      </c:pt>
                      <c:pt idx="39">
                        <c:v>-8</c:v>
                      </c:pt>
                      <c:pt idx="40">
                        <c:v>-8.1999999999999993</c:v>
                      </c:pt>
                      <c:pt idx="41">
                        <c:v>-8.4</c:v>
                      </c:pt>
                      <c:pt idx="42">
                        <c:v>-8.6</c:v>
                      </c:pt>
                      <c:pt idx="43">
                        <c:v>-8.8000000000000007</c:v>
                      </c:pt>
                      <c:pt idx="44">
                        <c:v>-9</c:v>
                      </c:pt>
                      <c:pt idx="45">
                        <c:v>-9.1999999999999993</c:v>
                      </c:pt>
                      <c:pt idx="46">
                        <c:v>-9.4</c:v>
                      </c:pt>
                      <c:pt idx="47">
                        <c:v>-9.6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AA7-4B8B-98B1-C341EE5F88D1}"/>
                  </c:ext>
                </c:extLst>
              </c15:ser>
            </c15:filteredScatterSeries>
          </c:ext>
        </c:extLst>
      </c:scatterChart>
      <c:valAx>
        <c:axId val="1017223984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818304"/>
        <c:crosses val="autoZero"/>
        <c:crossBetween val="midCat"/>
      </c:valAx>
      <c:valAx>
        <c:axId val="1098818304"/>
        <c:scaling>
          <c:orientation val="minMax"/>
          <c:max val="0"/>
          <c:min val="-9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z [m]</a:t>
                </a:r>
              </a:p>
            </c:rich>
          </c:tx>
          <c:layout>
            <c:manualLayout>
              <c:xMode val="edge"/>
              <c:yMode val="edge"/>
              <c:x val="3.2376749109256997E-3"/>
              <c:y val="0.380502820612817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722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800" b="1" i="0" baseline="0">
                <a:effectLst/>
              </a:rPr>
              <a:t>Grafico z-FSL con M=7</a:t>
            </a:r>
            <a:endParaRPr lang="it-IT">
              <a:effectLst/>
            </a:endParaRPr>
          </a:p>
        </c:rich>
      </c:tx>
      <c:layout>
        <c:manualLayout>
          <c:xMode val="edge"/>
          <c:yMode val="edge"/>
          <c:x val="0.21337256968048107"/>
          <c:y val="5.608131584724774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9510891674011971E-2"/>
          <c:y val="2.4772045797345051E-2"/>
          <c:w val="0.55785601799775031"/>
          <c:h val="0.93606251470660662"/>
        </c:manualLayout>
      </c:layout>
      <c:scatterChart>
        <c:scatterStyle val="lineMarker"/>
        <c:varyColors val="0"/>
        <c:ser>
          <c:idx val="0"/>
          <c:order val="0"/>
          <c:tx>
            <c:v>FS=1,25</c:v>
          </c:tx>
          <c:spPr>
            <a:ln w="44450" cap="flat" cmpd="sng" algn="ctr">
              <a:solidFill>
                <a:schemeClr val="tx1">
                  <a:alpha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(2)'!$AL$4:$AL$51</c:f>
              <c:numCache>
                <c:formatCode>General</c:formatCode>
                <c:ptCount val="48"/>
                <c:pt idx="0">
                  <c:v>1.25</c:v>
                </c:pt>
                <c:pt idx="1">
                  <c:v>1.25</c:v>
                </c:pt>
                <c:pt idx="2">
                  <c:v>1.25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1.25</c:v>
                </c:pt>
                <c:pt idx="16">
                  <c:v>1.25</c:v>
                </c:pt>
                <c:pt idx="17">
                  <c:v>1.25</c:v>
                </c:pt>
                <c:pt idx="18">
                  <c:v>1.25</c:v>
                </c:pt>
                <c:pt idx="19">
                  <c:v>1.25</c:v>
                </c:pt>
                <c:pt idx="20">
                  <c:v>1.25</c:v>
                </c:pt>
                <c:pt idx="21">
                  <c:v>1.25</c:v>
                </c:pt>
                <c:pt idx="22">
                  <c:v>1.25</c:v>
                </c:pt>
                <c:pt idx="23">
                  <c:v>1.25</c:v>
                </c:pt>
                <c:pt idx="24">
                  <c:v>1.25</c:v>
                </c:pt>
                <c:pt idx="25">
                  <c:v>1.25</c:v>
                </c:pt>
                <c:pt idx="26">
                  <c:v>1.25</c:v>
                </c:pt>
                <c:pt idx="27">
                  <c:v>1.25</c:v>
                </c:pt>
                <c:pt idx="28">
                  <c:v>1.25</c:v>
                </c:pt>
                <c:pt idx="29">
                  <c:v>1.25</c:v>
                </c:pt>
                <c:pt idx="30">
                  <c:v>1.25</c:v>
                </c:pt>
                <c:pt idx="31">
                  <c:v>1.25</c:v>
                </c:pt>
                <c:pt idx="32">
                  <c:v>1.25</c:v>
                </c:pt>
                <c:pt idx="33">
                  <c:v>1.25</c:v>
                </c:pt>
                <c:pt idx="34">
                  <c:v>1.25</c:v>
                </c:pt>
                <c:pt idx="35">
                  <c:v>1.25</c:v>
                </c:pt>
                <c:pt idx="36">
                  <c:v>1.25</c:v>
                </c:pt>
                <c:pt idx="37">
                  <c:v>1.25</c:v>
                </c:pt>
                <c:pt idx="38">
                  <c:v>1.25</c:v>
                </c:pt>
                <c:pt idx="39">
                  <c:v>1.25</c:v>
                </c:pt>
                <c:pt idx="40">
                  <c:v>1.25</c:v>
                </c:pt>
                <c:pt idx="41">
                  <c:v>1.25</c:v>
                </c:pt>
                <c:pt idx="42">
                  <c:v>1.25</c:v>
                </c:pt>
                <c:pt idx="43">
                  <c:v>1.25</c:v>
                </c:pt>
                <c:pt idx="44">
                  <c:v>1.25</c:v>
                </c:pt>
                <c:pt idx="45">
                  <c:v>1.25</c:v>
                </c:pt>
                <c:pt idx="46">
                  <c:v>1.25</c:v>
                </c:pt>
                <c:pt idx="47">
                  <c:v>1.25</c:v>
                </c:pt>
              </c:numCache>
            </c:numRef>
          </c:xVal>
          <c:yVal>
            <c:numRef>
              <c:f>'verifica a liquefazione (2)'!$AM$4:$AM$51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B4-405B-817D-2C9D4C13588C}"/>
            </c:ext>
          </c:extLst>
        </c:ser>
        <c:ser>
          <c:idx val="1"/>
          <c:order val="1"/>
          <c:tx>
            <c:v>FS-(il calcolo di CRR si basa sulla Metodologia Youd aggiornato con Robertson)</c:v>
          </c:tx>
          <c:spPr>
            <a:ln w="31750" cap="rnd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(2)'!$AG$4:$AG$51</c:f>
              <c:numCache>
                <c:formatCode>_(* #,##0.00_);_(* \(#,##0.00\);_(* "-"??_);_(@_)</c:formatCode>
                <c:ptCount val="48"/>
                <c:pt idx="2">
                  <c:v>5.3927452584531981</c:v>
                </c:pt>
                <c:pt idx="3">
                  <c:v>5.0369977064778437</c:v>
                </c:pt>
                <c:pt idx="4">
                  <c:v>3.1831859212858906</c:v>
                </c:pt>
                <c:pt idx="5">
                  <c:v>3.6171794831015593</c:v>
                </c:pt>
                <c:pt idx="6">
                  <c:v>2.2832962597792661</c:v>
                </c:pt>
                <c:pt idx="7">
                  <c:v>1.4631391557187441</c:v>
                </c:pt>
                <c:pt idx="8">
                  <c:v>0.99381532797600824</c:v>
                </c:pt>
                <c:pt idx="9">
                  <c:v>0.46527235409521289</c:v>
                </c:pt>
                <c:pt idx="10">
                  <c:v>0.51509667002502724</c:v>
                </c:pt>
                <c:pt idx="11">
                  <c:v>0.44115203014143051</c:v>
                </c:pt>
                <c:pt idx="12">
                  <c:v>1.1804793087245062</c:v>
                </c:pt>
                <c:pt idx="13">
                  <c:v>2.6861993718636077</c:v>
                </c:pt>
                <c:pt idx="14">
                  <c:v>2.3914717066385189</c:v>
                </c:pt>
                <c:pt idx="15">
                  <c:v>1.0507218400674114</c:v>
                </c:pt>
                <c:pt idx="16">
                  <c:v>3.8120964921198892</c:v>
                </c:pt>
                <c:pt idx="17">
                  <c:v>1.7222740160181367</c:v>
                </c:pt>
                <c:pt idx="18">
                  <c:v>1.5786820278789846</c:v>
                </c:pt>
                <c:pt idx="19">
                  <c:v>1.596172048018025</c:v>
                </c:pt>
                <c:pt idx="20">
                  <c:v>1.2578282668940561</c:v>
                </c:pt>
                <c:pt idx="21">
                  <c:v>1.0200177352854043</c:v>
                </c:pt>
                <c:pt idx="22">
                  <c:v>0.97887628461402565</c:v>
                </c:pt>
                <c:pt idx="23">
                  <c:v>1.0601573464608909</c:v>
                </c:pt>
                <c:pt idx="24">
                  <c:v>2.0350187303066392</c:v>
                </c:pt>
                <c:pt idx="25">
                  <c:v>0.95582616891712113</c:v>
                </c:pt>
                <c:pt idx="26">
                  <c:v>1.1133623923186797</c:v>
                </c:pt>
                <c:pt idx="27">
                  <c:v>1.3638240449200516</c:v>
                </c:pt>
                <c:pt idx="28">
                  <c:v>0.76799426083739442</c:v>
                </c:pt>
                <c:pt idx="29">
                  <c:v>0.81967721491239964</c:v>
                </c:pt>
                <c:pt idx="30">
                  <c:v>1.3004296473311194</c:v>
                </c:pt>
                <c:pt idx="31">
                  <c:v>0.89403933694518323</c:v>
                </c:pt>
                <c:pt idx="32">
                  <c:v>0.91474482305582339</c:v>
                </c:pt>
                <c:pt idx="33">
                  <c:v>0.62614378737148091</c:v>
                </c:pt>
                <c:pt idx="34">
                  <c:v>1.2860607733207365</c:v>
                </c:pt>
                <c:pt idx="35">
                  <c:v>0.85470404180895931</c:v>
                </c:pt>
                <c:pt idx="36">
                  <c:v>0.9505297737412215</c:v>
                </c:pt>
                <c:pt idx="37">
                  <c:v>0.7606878114967156</c:v>
                </c:pt>
                <c:pt idx="38">
                  <c:v>1.3473935573862943</c:v>
                </c:pt>
                <c:pt idx="39">
                  <c:v>0.66564055460985139</c:v>
                </c:pt>
                <c:pt idx="40">
                  <c:v>1.0401519885499533</c:v>
                </c:pt>
                <c:pt idx="41">
                  <c:v>1.3526021658673775</c:v>
                </c:pt>
                <c:pt idx="42">
                  <c:v>1.1132064857110433</c:v>
                </c:pt>
                <c:pt idx="43">
                  <c:v>1.2334720143819784</c:v>
                </c:pt>
                <c:pt idx="44">
                  <c:v>1.3966143268717135</c:v>
                </c:pt>
                <c:pt idx="45">
                  <c:v>1.2875757056206927</c:v>
                </c:pt>
                <c:pt idx="46">
                  <c:v>1.4288246925242547</c:v>
                </c:pt>
              </c:numCache>
            </c:numRef>
          </c:xVal>
          <c:yVal>
            <c:numRef>
              <c:f>'verifica a liquefazione (2)'!$AM$4:$AM$51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B4-405B-817D-2C9D4C13588C}"/>
            </c:ext>
          </c:extLst>
        </c:ser>
        <c:ser>
          <c:idx val="2"/>
          <c:order val="2"/>
          <c:tx>
            <c:v>FS-il calcolo di CRR si basa sul metodo di Idriss &amp; Boulanger)</c:v>
          </c:tx>
          <c:spPr>
            <a:ln w="28575" cap="flat" cmpd="sng" algn="ctr">
              <a:solidFill>
                <a:srgbClr val="FF0000"/>
              </a:solidFill>
              <a:bevel/>
            </a:ln>
            <a:effectLst>
              <a:outerShdw blurRad="50800" dist="50800" dir="5400000" sx="14000" sy="14000" algn="ctr" rotWithShape="0">
                <a:srgbClr val="000000">
                  <a:alpha val="43137"/>
                </a:srgbClr>
              </a:outerShdw>
            </a:effectLst>
          </c:spPr>
          <c:marker>
            <c:symbol val="none"/>
          </c:marker>
          <c:xVal>
            <c:numRef>
              <c:f>'verifica a liquefazione (2)'!$AI$4:$AI$51</c:f>
              <c:numCache>
                <c:formatCode>General</c:formatCode>
                <c:ptCount val="48"/>
                <c:pt idx="0">
                  <c:v>0</c:v>
                </c:pt>
                <c:pt idx="2" formatCode="0.00">
                  <c:v>4.3439827360552208</c:v>
                </c:pt>
                <c:pt idx="3" formatCode="0.00">
                  <c:v>3.8472645190248809</c:v>
                </c:pt>
                <c:pt idx="4" formatCode="0.00">
                  <c:v>2.2018935210079076</c:v>
                </c:pt>
                <c:pt idx="5" formatCode="0.00">
                  <c:v>2.4903583676787457</c:v>
                </c:pt>
                <c:pt idx="6" formatCode="0.00">
                  <c:v>1.6954034831848863</c:v>
                </c:pt>
                <c:pt idx="7" formatCode="0.00">
                  <c:v>1.2388310429212375</c:v>
                </c:pt>
                <c:pt idx="8" formatCode="0.00">
                  <c:v>0.75034597212005427</c:v>
                </c:pt>
                <c:pt idx="9" formatCode="0.00">
                  <c:v>0.4134345538177342</c:v>
                </c:pt>
                <c:pt idx="10" formatCode="0.00">
                  <c:v>0.45771618112031698</c:v>
                </c:pt>
                <c:pt idx="11" formatCode="0.00">
                  <c:v>0.38898701978780825</c:v>
                </c:pt>
                <c:pt idx="12" formatCode="0.00">
                  <c:v>0.8513205875083204</c:v>
                </c:pt>
                <c:pt idx="13" formatCode="0.00">
                  <c:v>2.3012146920462131</c:v>
                </c:pt>
                <c:pt idx="14" formatCode="0.00">
                  <c:v>1.8464184829315082</c:v>
                </c:pt>
                <c:pt idx="15" formatCode="0.00">
                  <c:v>0.78297817615570864</c:v>
                </c:pt>
                <c:pt idx="16" formatCode="0.00">
                  <c:v>6.1563052874252016</c:v>
                </c:pt>
                <c:pt idx="17" formatCode="0.00">
                  <c:v>1.1866549026023381</c:v>
                </c:pt>
                <c:pt idx="18" formatCode="0.00">
                  <c:v>1.0875355731818028</c:v>
                </c:pt>
                <c:pt idx="19" formatCode="0.00">
                  <c:v>1.0991364061725897</c:v>
                </c:pt>
                <c:pt idx="20" formatCode="0.00">
                  <c:v>0.89622429501650569</c:v>
                </c:pt>
                <c:pt idx="21" formatCode="0.00">
                  <c:v>0.76883968367308642</c:v>
                </c:pt>
                <c:pt idx="22" formatCode="0.00">
                  <c:v>0.74733415671439096</c:v>
                </c:pt>
                <c:pt idx="23" formatCode="0.00">
                  <c:v>0.79085046901291012</c:v>
                </c:pt>
                <c:pt idx="24" formatCode="0.00">
                  <c:v>1.4400871420031223</c:v>
                </c:pt>
                <c:pt idx="25" formatCode="0.00">
                  <c:v>0.73610019953701644</c:v>
                </c:pt>
                <c:pt idx="26" formatCode="0.00">
                  <c:v>0.82019630608986116</c:v>
                </c:pt>
                <c:pt idx="27" formatCode="0.00">
                  <c:v>0.95642629820415559</c:v>
                </c:pt>
                <c:pt idx="28" formatCode="0.00">
                  <c:v>0.62950407106712503</c:v>
                </c:pt>
                <c:pt idx="29" formatCode="0.00">
                  <c:v>0.65763429069968016</c:v>
                </c:pt>
                <c:pt idx="30" formatCode="0.00">
                  <c:v>0.91656614974226192</c:v>
                </c:pt>
                <c:pt idx="31" formatCode="0.00">
                  <c:v>0.6957577451561443</c:v>
                </c:pt>
                <c:pt idx="32" formatCode="0.00">
                  <c:v>0.70558734468213491</c:v>
                </c:pt>
                <c:pt idx="33" formatCode="0.00">
                  <c:v>0.54406379302834595</c:v>
                </c:pt>
                <c:pt idx="34" formatCode="0.00">
                  <c:v>0.91637798682296201</c:v>
                </c:pt>
                <c:pt idx="35" formatCode="0.00">
                  <c:v>0.68447417697799506</c:v>
                </c:pt>
                <c:pt idx="36" formatCode="0.00">
                  <c:v>0.71989629348058837</c:v>
                </c:pt>
                <c:pt idx="37" formatCode="0.00">
                  <c:v>0.61556004562432654</c:v>
                </c:pt>
                <c:pt idx="38" formatCode="0.00">
                  <c:v>0.93699413793602226</c:v>
                </c:pt>
                <c:pt idx="39" formatCode="0.00">
                  <c:v>0.55808687010807922</c:v>
                </c:pt>
                <c:pt idx="40" formatCode="0.00">
                  <c:v>0.76340321673751976</c:v>
                </c:pt>
                <c:pt idx="41" formatCode="0.00">
                  <c:v>0.93845378587820494</c:v>
                </c:pt>
                <c:pt idx="42" formatCode="0.00">
                  <c:v>0.8009367184781605</c:v>
                </c:pt>
                <c:pt idx="43" formatCode="0.00">
                  <c:v>0.86712159917865395</c:v>
                </c:pt>
                <c:pt idx="44" formatCode="0.00">
                  <c:v>0.96448663241148325</c:v>
                </c:pt>
                <c:pt idx="45" formatCode="0.00">
                  <c:v>0.8976041726975954</c:v>
                </c:pt>
                <c:pt idx="46" formatCode="0.00">
                  <c:v>0.98494332029791798</c:v>
                </c:pt>
              </c:numCache>
              <c:extLst xmlns:c15="http://schemas.microsoft.com/office/drawing/2012/chart"/>
            </c:numRef>
          </c:xVal>
          <c:yVal>
            <c:numRef>
              <c:f>'verifica a liquefazione (2)'!$AM$4:$AM$51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EB4-405B-817D-2C9D4C135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223984"/>
        <c:axId val="1098818304"/>
        <c:extLst/>
      </c:scatterChart>
      <c:valAx>
        <c:axId val="101722398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000"/>
                  <a:t>FSL</a:t>
                </a:r>
              </a:p>
            </c:rich>
          </c:tx>
          <c:layout>
            <c:manualLayout>
              <c:xMode val="edge"/>
              <c:yMode val="edge"/>
              <c:x val="0.56558663669948905"/>
              <c:y val="0.93096650279015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818304"/>
        <c:crosses val="autoZero"/>
        <c:crossBetween val="midCat"/>
      </c:valAx>
      <c:valAx>
        <c:axId val="1098818304"/>
        <c:scaling>
          <c:orientation val="minMax"/>
          <c:max val="0"/>
          <c:min val="-9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thickThin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400" baseline="0"/>
                  <a:t> z [m]</a:t>
                </a:r>
                <a:endParaRPr lang="it-IT" sz="1400"/>
              </a:p>
            </c:rich>
          </c:tx>
          <c:layout>
            <c:manualLayout>
              <c:xMode val="edge"/>
              <c:yMode val="edge"/>
              <c:x val="6.9491351844703465E-3"/>
              <c:y val="0.201772010367521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7223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090213723284574"/>
          <c:y val="0.13092947764603716"/>
          <c:w val="0.33755143107111613"/>
          <c:h val="0.622282530368382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800" b="1" i="0" baseline="0">
                <a:effectLst/>
              </a:rPr>
              <a:t>Grafico z-FSL con M=5</a:t>
            </a:r>
            <a:endParaRPr lang="it-IT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9510891674011971E-2"/>
          <c:y val="2.4772045797345051E-2"/>
          <c:w val="0.84747338570963693"/>
          <c:h val="0.93606251470660662"/>
        </c:manualLayout>
      </c:layout>
      <c:scatterChart>
        <c:scatterStyle val="lineMarker"/>
        <c:varyColors val="0"/>
        <c:ser>
          <c:idx val="0"/>
          <c:order val="0"/>
          <c:tx>
            <c:v>FS=1,25</c:v>
          </c:tx>
          <c:spPr>
            <a:ln w="44450" cap="flat" cmpd="sng" algn="ctr">
              <a:solidFill>
                <a:schemeClr val="tx1">
                  <a:alpha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CPT (5)'!$AL$4:$AL$51</c:f>
              <c:numCache>
                <c:formatCode>General</c:formatCode>
                <c:ptCount val="48"/>
                <c:pt idx="0">
                  <c:v>1.25</c:v>
                </c:pt>
                <c:pt idx="1">
                  <c:v>1.25</c:v>
                </c:pt>
                <c:pt idx="2">
                  <c:v>1.25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1.25</c:v>
                </c:pt>
                <c:pt idx="16">
                  <c:v>1.25</c:v>
                </c:pt>
                <c:pt idx="17">
                  <c:v>1.25</c:v>
                </c:pt>
                <c:pt idx="18">
                  <c:v>1.25</c:v>
                </c:pt>
                <c:pt idx="19">
                  <c:v>1.25</c:v>
                </c:pt>
                <c:pt idx="20">
                  <c:v>1.25</c:v>
                </c:pt>
                <c:pt idx="21">
                  <c:v>1.25</c:v>
                </c:pt>
                <c:pt idx="22">
                  <c:v>1.25</c:v>
                </c:pt>
                <c:pt idx="23">
                  <c:v>1.25</c:v>
                </c:pt>
                <c:pt idx="24">
                  <c:v>1.25</c:v>
                </c:pt>
                <c:pt idx="25">
                  <c:v>1.25</c:v>
                </c:pt>
                <c:pt idx="26">
                  <c:v>1.25</c:v>
                </c:pt>
                <c:pt idx="27">
                  <c:v>1.25</c:v>
                </c:pt>
                <c:pt idx="28">
                  <c:v>1.25</c:v>
                </c:pt>
                <c:pt idx="29">
                  <c:v>1.25</c:v>
                </c:pt>
                <c:pt idx="30">
                  <c:v>1.25</c:v>
                </c:pt>
                <c:pt idx="31">
                  <c:v>1.25</c:v>
                </c:pt>
                <c:pt idx="32">
                  <c:v>1.25</c:v>
                </c:pt>
                <c:pt idx="33">
                  <c:v>1.25</c:v>
                </c:pt>
                <c:pt idx="34">
                  <c:v>1.25</c:v>
                </c:pt>
                <c:pt idx="35">
                  <c:v>1.25</c:v>
                </c:pt>
                <c:pt idx="36">
                  <c:v>1.25</c:v>
                </c:pt>
                <c:pt idx="37">
                  <c:v>1.25</c:v>
                </c:pt>
                <c:pt idx="38">
                  <c:v>1.25</c:v>
                </c:pt>
                <c:pt idx="39">
                  <c:v>1.25</c:v>
                </c:pt>
                <c:pt idx="40">
                  <c:v>1.25</c:v>
                </c:pt>
                <c:pt idx="41">
                  <c:v>1.25</c:v>
                </c:pt>
                <c:pt idx="42">
                  <c:v>1.25</c:v>
                </c:pt>
                <c:pt idx="43">
                  <c:v>1.25</c:v>
                </c:pt>
                <c:pt idx="44">
                  <c:v>1.25</c:v>
                </c:pt>
                <c:pt idx="45">
                  <c:v>1.25</c:v>
                </c:pt>
                <c:pt idx="46">
                  <c:v>1.25</c:v>
                </c:pt>
                <c:pt idx="47">
                  <c:v>1.25</c:v>
                </c:pt>
              </c:numCache>
            </c:numRef>
          </c:xVal>
          <c:yVal>
            <c:numRef>
              <c:f>'verifica a liquefazione CPT (5)'!$AM$4:$AM$51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41-401A-AB75-8A43D2AD2EF6}"/>
            </c:ext>
          </c:extLst>
        </c:ser>
        <c:ser>
          <c:idx val="1"/>
          <c:order val="1"/>
          <c:tx>
            <c:v>FS-(il calcolo di CRR si basa sulla Metodologia Youd aggiornato con Robertson)</c:v>
          </c:tx>
          <c:spPr>
            <a:ln w="31750" cap="rnd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CPT (5)'!$AG$4:$AG$51</c:f>
              <c:numCache>
                <c:formatCode>_(* #,##0.00_);_(* \(#,##0.00\);_(* "-"??_);_(@_)</c:formatCode>
                <c:ptCount val="48"/>
                <c:pt idx="2">
                  <c:v>4.7395870729305374</c:v>
                </c:pt>
                <c:pt idx="3">
                  <c:v>6.2277350990670284</c:v>
                </c:pt>
                <c:pt idx="4">
                  <c:v>6.7209306691375943</c:v>
                </c:pt>
                <c:pt idx="5">
                  <c:v>4.7838314619367948</c:v>
                </c:pt>
                <c:pt idx="6">
                  <c:v>4.1259861740135655</c:v>
                </c:pt>
                <c:pt idx="7">
                  <c:v>3.4956121574689982</c:v>
                </c:pt>
                <c:pt idx="8">
                  <c:v>4.3795327035587786</c:v>
                </c:pt>
                <c:pt idx="9">
                  <c:v>2.5690464175313661</c:v>
                </c:pt>
                <c:pt idx="10">
                  <c:v>3.562462285113277</c:v>
                </c:pt>
                <c:pt idx="11">
                  <c:v>2.0126190003188968</c:v>
                </c:pt>
                <c:pt idx="12">
                  <c:v>3.9617468689023698</c:v>
                </c:pt>
                <c:pt idx="13">
                  <c:v>3.675167443630583</c:v>
                </c:pt>
                <c:pt idx="14">
                  <c:v>5.0454801594281262</c:v>
                </c:pt>
                <c:pt idx="15">
                  <c:v>5.1284810654711652</c:v>
                </c:pt>
                <c:pt idx="16">
                  <c:v>2.8412040895069537</c:v>
                </c:pt>
                <c:pt idx="17">
                  <c:v>2.7677414013945798</c:v>
                </c:pt>
                <c:pt idx="18">
                  <c:v>2.5245624697556188</c:v>
                </c:pt>
                <c:pt idx="19">
                  <c:v>1.519889952791825</c:v>
                </c:pt>
                <c:pt idx="20">
                  <c:v>1.7853441991606165</c:v>
                </c:pt>
                <c:pt idx="21">
                  <c:v>1.3390004436222038</c:v>
                </c:pt>
                <c:pt idx="22">
                  <c:v>1.5752870528568004</c:v>
                </c:pt>
                <c:pt idx="23">
                  <c:v>1.1347449468764168</c:v>
                </c:pt>
                <c:pt idx="24">
                  <c:v>1.6960166484178278</c:v>
                </c:pt>
                <c:pt idx="25">
                  <c:v>1.4067794546498491</c:v>
                </c:pt>
                <c:pt idx="26">
                  <c:v>1.5428044042094906</c:v>
                </c:pt>
                <c:pt idx="27">
                  <c:v>1.8574560320865896</c:v>
                </c:pt>
                <c:pt idx="28">
                  <c:v>1.2177696337156767</c:v>
                </c:pt>
                <c:pt idx="29">
                  <c:v>1.2309327544886228</c:v>
                </c:pt>
                <c:pt idx="30">
                  <c:v>1.9013038489488885</c:v>
                </c:pt>
                <c:pt idx="31">
                  <c:v>2.1284386823061348</c:v>
                </c:pt>
                <c:pt idx="32">
                  <c:v>1.3698280086911565</c:v>
                </c:pt>
                <c:pt idx="33">
                  <c:v>1.5383780169023373</c:v>
                </c:pt>
                <c:pt idx="34">
                  <c:v>1.1041196366159973</c:v>
                </c:pt>
                <c:pt idx="35">
                  <c:v>1.5602440154962014</c:v>
                </c:pt>
                <c:pt idx="36">
                  <c:v>1.7611827568820393</c:v>
                </c:pt>
                <c:pt idx="37">
                  <c:v>1.727303806080704</c:v>
                </c:pt>
                <c:pt idx="38">
                  <c:v>1.3414092533793005</c:v>
                </c:pt>
                <c:pt idx="39">
                  <c:v>1.3587645288112105</c:v>
                </c:pt>
                <c:pt idx="40">
                  <c:v>1.2301053505463431</c:v>
                </c:pt>
                <c:pt idx="41">
                  <c:v>1.7755422725889514</c:v>
                </c:pt>
                <c:pt idx="42">
                  <c:v>1.4220574720733259</c:v>
                </c:pt>
                <c:pt idx="43">
                  <c:v>1.216935324675076</c:v>
                </c:pt>
                <c:pt idx="44">
                  <c:v>1.2484563651304703</c:v>
                </c:pt>
                <c:pt idx="45">
                  <c:v>1.3526336875469978</c:v>
                </c:pt>
                <c:pt idx="46">
                  <c:v>1.5786743160576515</c:v>
                </c:pt>
                <c:pt idx="47">
                  <c:v>1.6379460516563991</c:v>
                </c:pt>
              </c:numCache>
            </c:numRef>
          </c:xVal>
          <c:yVal>
            <c:numRef>
              <c:f>'verifica a liquefazione CPT (5)'!$AM$4:$AM$51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41-401A-AB75-8A43D2AD2EF6}"/>
            </c:ext>
          </c:extLst>
        </c:ser>
        <c:ser>
          <c:idx val="2"/>
          <c:order val="2"/>
          <c:tx>
            <c:v>FS-il calcolo di CRR si basa sul metodo di Idriss &amp; Boulanger)</c:v>
          </c:tx>
          <c:spPr>
            <a:ln w="28575" cap="flat" cmpd="sng" algn="ctr">
              <a:solidFill>
                <a:srgbClr val="FF0000"/>
              </a:solidFill>
              <a:bevel/>
            </a:ln>
            <a:effectLst>
              <a:outerShdw blurRad="50800" dist="50800" dir="5400000" sx="14000" sy="14000" algn="ctr" rotWithShape="0">
                <a:srgbClr val="000000">
                  <a:alpha val="43137"/>
                </a:srgbClr>
              </a:outerShdw>
            </a:effectLst>
          </c:spPr>
          <c:marker>
            <c:symbol val="none"/>
          </c:marker>
          <c:xVal>
            <c:numRef>
              <c:f>'verifica a liquefazione CPT (5)'!$AI$4:$AI$51</c:f>
              <c:numCache>
                <c:formatCode>General</c:formatCode>
                <c:ptCount val="48"/>
                <c:pt idx="0">
                  <c:v>0</c:v>
                </c:pt>
                <c:pt idx="2" formatCode="0.00">
                  <c:v>3.4957457292457219</c:v>
                </c:pt>
                <c:pt idx="3" formatCode="0.00">
                  <c:v>5.8715325676021717</c:v>
                </c:pt>
                <c:pt idx="4" formatCode="0.00">
                  <c:v>7.1030071739867626</c:v>
                </c:pt>
                <c:pt idx="5" formatCode="0.00">
                  <c:v>3.5369938892484827</c:v>
                </c:pt>
                <c:pt idx="6" formatCode="0.00">
                  <c:v>2.8871788247847499</c:v>
                </c:pt>
                <c:pt idx="7" formatCode="0.00">
                  <c:v>2.405635392286436</c:v>
                </c:pt>
                <c:pt idx="8" formatCode="0.00">
                  <c:v>3.1127566391711476</c:v>
                </c:pt>
                <c:pt idx="9" formatCode="0.00">
                  <c:v>1.8506054982104143</c:v>
                </c:pt>
                <c:pt idx="10" formatCode="0.00">
                  <c:v>2.4515612298431471</c:v>
                </c:pt>
                <c:pt idx="11" formatCode="0.00">
                  <c:v>1.5551818715587271</c:v>
                </c:pt>
                <c:pt idx="12" formatCode="0.00">
                  <c:v>2.7468332247115179</c:v>
                </c:pt>
                <c:pt idx="13" formatCode="0.00">
                  <c:v>2.5306009336912902</c:v>
                </c:pt>
                <c:pt idx="14" formatCode="0.00">
                  <c:v>3.8156848749436509</c:v>
                </c:pt>
                <c:pt idx="15" formatCode="0.00">
                  <c:v>3.9154584339014828</c:v>
                </c:pt>
                <c:pt idx="16" formatCode="0.00">
                  <c:v>2.005788693774929</c:v>
                </c:pt>
                <c:pt idx="17" formatCode="0.00">
                  <c:v>1.9652624551461977</c:v>
                </c:pt>
                <c:pt idx="18" formatCode="0.00">
                  <c:v>1.8331511705109567</c:v>
                </c:pt>
                <c:pt idx="19" formatCode="0.00">
                  <c:v>1.2804399184090836</c:v>
                </c:pt>
                <c:pt idx="20" formatCode="0.00">
                  <c:v>1.4371649704348697</c:v>
                </c:pt>
                <c:pt idx="21" formatCode="0.00">
                  <c:v>1.1631035156979117</c:v>
                </c:pt>
                <c:pt idx="22" formatCode="0.00">
                  <c:v>1.3160733436722818</c:v>
                </c:pt>
                <c:pt idx="23" formatCode="0.00">
                  <c:v>1.0088599107910436</c:v>
                </c:pt>
                <c:pt idx="24" formatCode="0.00">
                  <c:v>1.3888342705636847</c:v>
                </c:pt>
                <c:pt idx="25" formatCode="0.00">
                  <c:v>1.2107505137267893</c:v>
                </c:pt>
                <c:pt idx="26" formatCode="0.00">
                  <c:v>1.2984207667295515</c:v>
                </c:pt>
                <c:pt idx="27" formatCode="0.00">
                  <c:v>1.4783968793421132</c:v>
                </c:pt>
                <c:pt idx="28" formatCode="0.00">
                  <c:v>1.0764909213029445</c:v>
                </c:pt>
                <c:pt idx="29" formatCode="0.00">
                  <c:v>1.0828430736843087</c:v>
                </c:pt>
                <c:pt idx="30" formatCode="0.00">
                  <c:v>1.493072980588096</c:v>
                </c:pt>
                <c:pt idx="31" formatCode="0.00">
                  <c:v>1.6119045115253909</c:v>
                </c:pt>
                <c:pt idx="32" formatCode="0.00">
                  <c:v>1.1756865364835434</c:v>
                </c:pt>
                <c:pt idx="33" formatCode="0.00">
                  <c:v>1.2795420711043826</c:v>
                </c:pt>
                <c:pt idx="34" formatCode="0.00">
                  <c:v>0.98289854228278772</c:v>
                </c:pt>
                <c:pt idx="35" formatCode="0.00">
                  <c:v>1.2885497813390954</c:v>
                </c:pt>
                <c:pt idx="36" formatCode="0.00">
                  <c:v>1.4344155117851609</c:v>
                </c:pt>
                <c:pt idx="37" formatCode="0.00">
                  <c:v>1.4155349506832211</c:v>
                </c:pt>
                <c:pt idx="38" formatCode="0.00">
                  <c:v>1.170977895722096</c:v>
                </c:pt>
                <c:pt idx="39" formatCode="0.00">
                  <c:v>1.1836052059653923</c:v>
                </c:pt>
                <c:pt idx="40" formatCode="0.00">
                  <c:v>1.0885962598002643</c:v>
                </c:pt>
                <c:pt idx="41" formatCode="0.00">
                  <c:v>1.4461201076879173</c:v>
                </c:pt>
                <c:pt idx="42" formatCode="0.00">
                  <c:v>1.228431496917409</c:v>
                </c:pt>
                <c:pt idx="43" formatCode="0.00">
                  <c:v>1.0787390585330443</c:v>
                </c:pt>
                <c:pt idx="44" formatCode="0.00">
                  <c:v>1.07986962204599</c:v>
                </c:pt>
                <c:pt idx="45" formatCode="0.00">
                  <c:v>1.1474884347490857</c:v>
                </c:pt>
                <c:pt idx="46" formatCode="0.00">
                  <c:v>1.2830714067535394</c:v>
                </c:pt>
                <c:pt idx="47" formatCode="0.00">
                  <c:v>1.3168548325610063</c:v>
                </c:pt>
              </c:numCache>
            </c:numRef>
          </c:xVal>
          <c:yVal>
            <c:numRef>
              <c:f>'verifica a liquefazione CPT (5)'!$AM$4:$AM$51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941-401A-AB75-8A43D2AD2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223984"/>
        <c:axId val="1098818304"/>
        <c:extLst/>
      </c:scatterChart>
      <c:valAx>
        <c:axId val="101722398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000"/>
                  <a:t>FSL</a:t>
                </a:r>
              </a:p>
            </c:rich>
          </c:tx>
          <c:layout>
            <c:manualLayout>
              <c:xMode val="edge"/>
              <c:yMode val="edge"/>
              <c:x val="0.77664245027832235"/>
              <c:y val="0.937141480602596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818304"/>
        <c:crosses val="autoZero"/>
        <c:crossBetween val="midCat"/>
      </c:valAx>
      <c:valAx>
        <c:axId val="1098818304"/>
        <c:scaling>
          <c:orientation val="minMax"/>
          <c:max val="0"/>
          <c:min val="-9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thickThin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400" baseline="0"/>
                  <a:t> z [m]</a:t>
                </a:r>
                <a:endParaRPr lang="it-IT" sz="1400"/>
              </a:p>
            </c:rich>
          </c:tx>
          <c:layout>
            <c:manualLayout>
              <c:xMode val="edge"/>
              <c:yMode val="edge"/>
              <c:x val="4.0905965833729682E-3"/>
              <c:y val="0.186951679382871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722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Grafico z-FSL</a:t>
            </a:r>
            <a:r>
              <a:rPr lang="en-US" b="1" baseline="0"/>
              <a:t> con </a:t>
            </a:r>
            <a:r>
              <a:rPr lang="en-US" b="1"/>
              <a:t>M=4</a:t>
            </a:r>
          </a:p>
        </c:rich>
      </c:tx>
      <c:layout>
        <c:manualLayout>
          <c:xMode val="edge"/>
          <c:yMode val="edge"/>
          <c:x val="0.3054455380577427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9510891674011971E-2"/>
          <c:y val="2.4772045797345051E-2"/>
          <c:w val="0.84163538932633408"/>
          <c:h val="0.93606251470660662"/>
        </c:manualLayout>
      </c:layout>
      <c:scatterChart>
        <c:scatterStyle val="lineMarker"/>
        <c:varyColors val="0"/>
        <c:ser>
          <c:idx val="0"/>
          <c:order val="0"/>
          <c:tx>
            <c:v>FS=1,25</c:v>
          </c:tx>
          <c:spPr>
            <a:ln w="44450" cap="flat" cmpd="sng" algn="ctr">
              <a:solidFill>
                <a:schemeClr val="tx1">
                  <a:alpha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(4)'!$AL$4:$AL$51</c:f>
              <c:numCache>
                <c:formatCode>General</c:formatCode>
                <c:ptCount val="48"/>
                <c:pt idx="0">
                  <c:v>1.25</c:v>
                </c:pt>
                <c:pt idx="1">
                  <c:v>1.25</c:v>
                </c:pt>
                <c:pt idx="2">
                  <c:v>1.25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1.25</c:v>
                </c:pt>
                <c:pt idx="16">
                  <c:v>1.25</c:v>
                </c:pt>
                <c:pt idx="17">
                  <c:v>1.25</c:v>
                </c:pt>
                <c:pt idx="18">
                  <c:v>1.25</c:v>
                </c:pt>
                <c:pt idx="19">
                  <c:v>1.25</c:v>
                </c:pt>
                <c:pt idx="20">
                  <c:v>1.25</c:v>
                </c:pt>
                <c:pt idx="21">
                  <c:v>1.25</c:v>
                </c:pt>
                <c:pt idx="22">
                  <c:v>1.25</c:v>
                </c:pt>
                <c:pt idx="23">
                  <c:v>1.25</c:v>
                </c:pt>
                <c:pt idx="24">
                  <c:v>1.25</c:v>
                </c:pt>
                <c:pt idx="25">
                  <c:v>1.25</c:v>
                </c:pt>
                <c:pt idx="26">
                  <c:v>1.25</c:v>
                </c:pt>
                <c:pt idx="27">
                  <c:v>1.25</c:v>
                </c:pt>
                <c:pt idx="28">
                  <c:v>1.25</c:v>
                </c:pt>
                <c:pt idx="29">
                  <c:v>1.25</c:v>
                </c:pt>
                <c:pt idx="30">
                  <c:v>1.25</c:v>
                </c:pt>
                <c:pt idx="31">
                  <c:v>1.25</c:v>
                </c:pt>
                <c:pt idx="32">
                  <c:v>1.25</c:v>
                </c:pt>
                <c:pt idx="33">
                  <c:v>1.25</c:v>
                </c:pt>
                <c:pt idx="34">
                  <c:v>1.25</c:v>
                </c:pt>
                <c:pt idx="35">
                  <c:v>1.25</c:v>
                </c:pt>
                <c:pt idx="36">
                  <c:v>1.25</c:v>
                </c:pt>
                <c:pt idx="37">
                  <c:v>1.25</c:v>
                </c:pt>
                <c:pt idx="38">
                  <c:v>1.25</c:v>
                </c:pt>
                <c:pt idx="39">
                  <c:v>1.25</c:v>
                </c:pt>
                <c:pt idx="40">
                  <c:v>1.25</c:v>
                </c:pt>
                <c:pt idx="41">
                  <c:v>1.25</c:v>
                </c:pt>
                <c:pt idx="42">
                  <c:v>1.25</c:v>
                </c:pt>
                <c:pt idx="43">
                  <c:v>1.25</c:v>
                </c:pt>
                <c:pt idx="44">
                  <c:v>1.25</c:v>
                </c:pt>
                <c:pt idx="45">
                  <c:v>1.25</c:v>
                </c:pt>
                <c:pt idx="46">
                  <c:v>1.25</c:v>
                </c:pt>
                <c:pt idx="47">
                  <c:v>1.25</c:v>
                </c:pt>
              </c:numCache>
            </c:numRef>
          </c:xVal>
          <c:yVal>
            <c:numRef>
              <c:f>'verifica a liquefazione (4)'!$AM$4:$AM$51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B4-4D57-AB9C-E8A2D16BDFF3}"/>
            </c:ext>
          </c:extLst>
        </c:ser>
        <c:ser>
          <c:idx val="1"/>
          <c:order val="1"/>
          <c:tx>
            <c:v>FS-(il calcolo di CRR si basa sulla Metodologia Youd aggiornato con Robertson)</c:v>
          </c:tx>
          <c:spPr>
            <a:ln w="31750" cap="rnd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(4)'!$AG$4:$AG$51</c:f>
              <c:numCache>
                <c:formatCode>_(* #,##0.00_);_(* \(#,##0.00\);_(* "-"??_);_(@_)</c:formatCode>
                <c:ptCount val="48"/>
                <c:pt idx="2">
                  <c:v>28.538305351883487</c:v>
                </c:pt>
                <c:pt idx="3">
                  <c:v>26.655696072213985</c:v>
                </c:pt>
                <c:pt idx="4">
                  <c:v>16.845359359609308</c:v>
                </c:pt>
                <c:pt idx="5">
                  <c:v>19.142045035320159</c:v>
                </c:pt>
                <c:pt idx="6">
                  <c:v>12.083160384454064</c:v>
                </c:pt>
                <c:pt idx="7">
                  <c:v>7.7429045869997681</c:v>
                </c:pt>
                <c:pt idx="8">
                  <c:v>5.2592518158917416</c:v>
                </c:pt>
                <c:pt idx="9">
                  <c:v>2.4622124496137237</c:v>
                </c:pt>
                <c:pt idx="10">
                  <c:v>2.7258817819866752</c:v>
                </c:pt>
                <c:pt idx="11">
                  <c:v>2.3345681539555172</c:v>
                </c:pt>
                <c:pt idx="12">
                  <c:v>6.2470740521541499</c:v>
                </c:pt>
                <c:pt idx="13">
                  <c:v>14.215315991445429</c:v>
                </c:pt>
                <c:pt idx="14">
                  <c:v>12.655622792020353</c:v>
                </c:pt>
                <c:pt idx="15">
                  <c:v>5.5603999956670505</c:v>
                </c:pt>
                <c:pt idx="16">
                  <c:v>20.1735421402356</c:v>
                </c:pt>
                <c:pt idx="17">
                  <c:v>9.1142413396397259</c:v>
                </c:pt>
                <c:pt idx="18">
                  <c:v>8.3543552691498046</c:v>
                </c:pt>
                <c:pt idx="19">
                  <c:v>8.4469121231113622</c:v>
                </c:pt>
                <c:pt idx="20">
                  <c:v>6.6564032678133787</c:v>
                </c:pt>
                <c:pt idx="21">
                  <c:v>5.3979144570720985</c:v>
                </c:pt>
                <c:pt idx="22">
                  <c:v>5.1801946825214964</c:v>
                </c:pt>
                <c:pt idx="23">
                  <c:v>5.6103325160627948</c:v>
                </c:pt>
                <c:pt idx="24">
                  <c:v>10.769280420071436</c:v>
                </c:pt>
                <c:pt idx="25">
                  <c:v>5.0582139086061382</c:v>
                </c:pt>
                <c:pt idx="26">
                  <c:v>5.8918926069219841</c:v>
                </c:pt>
                <c:pt idx="27">
                  <c:v>7.2173309093656446</c:v>
                </c:pt>
                <c:pt idx="28">
                  <c:v>4.0642110231177764</c:v>
                </c:pt>
                <c:pt idx="29">
                  <c:v>4.3377162332086634</c:v>
                </c:pt>
                <c:pt idx="30">
                  <c:v>6.8818489629199533</c:v>
                </c:pt>
                <c:pt idx="31">
                  <c:v>4.7312391688339037</c:v>
                </c:pt>
                <c:pt idx="32">
                  <c:v>4.8408122075674491</c:v>
                </c:pt>
                <c:pt idx="33">
                  <c:v>3.3135410151596001</c:v>
                </c:pt>
                <c:pt idx="34">
                  <c:v>6.8058091549152522</c:v>
                </c:pt>
                <c:pt idx="35">
                  <c:v>4.5230775350270065</c:v>
                </c:pt>
                <c:pt idx="36">
                  <c:v>5.0301854860588024</c:v>
                </c:pt>
                <c:pt idx="37">
                  <c:v>4.0255454321563811</c:v>
                </c:pt>
                <c:pt idx="38">
                  <c:v>7.1303810818017199</c:v>
                </c:pt>
                <c:pt idx="39">
                  <c:v>3.5225571562602815</c:v>
                </c:pt>
                <c:pt idx="40">
                  <c:v>5.5044645424474767</c:v>
                </c:pt>
                <c:pt idx="41">
                  <c:v>7.1579449388295586</c:v>
                </c:pt>
                <c:pt idx="42">
                  <c:v>5.8910675521193054</c:v>
                </c:pt>
                <c:pt idx="43">
                  <c:v>6.5275104427114155</c:v>
                </c:pt>
                <c:pt idx="44">
                  <c:v>7.3908564578687992</c:v>
                </c:pt>
                <c:pt idx="45">
                  <c:v>6.8138261478365862</c:v>
                </c:pt>
                <c:pt idx="46">
                  <c:v>7.5613131003454939</c:v>
                </c:pt>
              </c:numCache>
            </c:numRef>
          </c:xVal>
          <c:yVal>
            <c:numRef>
              <c:f>'verifica a liquefazione (4)'!$AM$4:$AM$51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B4-4D57-AB9C-E8A2D16BDFF3}"/>
            </c:ext>
          </c:extLst>
        </c:ser>
        <c:ser>
          <c:idx val="2"/>
          <c:order val="2"/>
          <c:tx>
            <c:v>FS-il calcolo di CRR si basa sul metodo di Idriss &amp; Boulanger)</c:v>
          </c:tx>
          <c:spPr>
            <a:ln w="28575" cap="flat" cmpd="sng" algn="ctr">
              <a:solidFill>
                <a:srgbClr val="FF0000"/>
              </a:solidFill>
              <a:bevel/>
            </a:ln>
            <a:effectLst>
              <a:outerShdw blurRad="50800" dist="50800" dir="5400000" sx="14000" sy="14000" algn="ctr" rotWithShape="0">
                <a:srgbClr val="000000">
                  <a:alpha val="43137"/>
                </a:srgbClr>
              </a:outerShdw>
            </a:effectLst>
          </c:spPr>
          <c:marker>
            <c:symbol val="none"/>
          </c:marker>
          <c:xVal>
            <c:numRef>
              <c:f>'verifica a liquefazione (4)'!$AI$4:$AI$51</c:f>
              <c:numCache>
                <c:formatCode>General</c:formatCode>
                <c:ptCount val="48"/>
                <c:pt idx="0">
                  <c:v>0</c:v>
                </c:pt>
                <c:pt idx="2" formatCode="0.00">
                  <c:v>22.988274028062001</c:v>
                </c:pt>
                <c:pt idx="3" formatCode="0.00">
                  <c:v>20.359650669813309</c:v>
                </c:pt>
                <c:pt idx="4" formatCode="0.00">
                  <c:v>11.652378638942322</c:v>
                </c:pt>
                <c:pt idx="5" formatCode="0.00">
                  <c:v>13.178929121680664</c:v>
                </c:pt>
                <c:pt idx="6" formatCode="0.00">
                  <c:v>8.9720429908931241</c:v>
                </c:pt>
                <c:pt idx="7" formatCode="0.00">
                  <c:v>6.5558703198265258</c:v>
                </c:pt>
                <c:pt idx="8" formatCode="0.00">
                  <c:v>3.9708166148497122</c:v>
                </c:pt>
                <c:pt idx="9" formatCode="0.00">
                  <c:v>2.1878877963641163</c:v>
                </c:pt>
                <c:pt idx="10" formatCode="0.00">
                  <c:v>2.4222253259291384</c:v>
                </c:pt>
                <c:pt idx="11" formatCode="0.00">
                  <c:v>2.0585119112056347</c:v>
                </c:pt>
                <c:pt idx="12" formatCode="0.00">
                  <c:v>4.5051723592124402</c:v>
                </c:pt>
                <c:pt idx="13" formatCode="0.00">
                  <c:v>12.17798438724923</c:v>
                </c:pt>
                <c:pt idx="14" formatCode="0.00">
                  <c:v>9.7712114976435913</c:v>
                </c:pt>
                <c:pt idx="15" formatCode="0.00">
                  <c:v>4.1435056180275822</c:v>
                </c:pt>
                <c:pt idx="16" formatCode="0.00">
                  <c:v>32.579050504297058</c:v>
                </c:pt>
                <c:pt idx="17" formatCode="0.00">
                  <c:v>6.2797551775120599</c:v>
                </c:pt>
                <c:pt idx="18" formatCode="0.00">
                  <c:v>5.7552175712078979</c:v>
                </c:pt>
                <c:pt idx="19" formatCode="0.00">
                  <c:v>5.816608958777767</c:v>
                </c:pt>
                <c:pt idx="20" formatCode="0.00">
                  <c:v>4.7428019253951792</c:v>
                </c:pt>
                <c:pt idx="21" formatCode="0.00">
                  <c:v>4.0686849846865378</c:v>
                </c:pt>
                <c:pt idx="22" formatCode="0.00">
                  <c:v>3.9548781449997601</c:v>
                </c:pt>
                <c:pt idx="23" formatCode="0.00">
                  <c:v>4.1851656421175587</c:v>
                </c:pt>
                <c:pt idx="24" formatCode="0.00">
                  <c:v>7.6209137688054538</c:v>
                </c:pt>
                <c:pt idx="25" formatCode="0.00">
                  <c:v>3.8954282572574539</c:v>
                </c:pt>
                <c:pt idx="26" formatCode="0.00">
                  <c:v>4.3404632538480383</c:v>
                </c:pt>
                <c:pt idx="27" formatCode="0.00">
                  <c:v>5.0613897813802398</c:v>
                </c:pt>
                <c:pt idx="28" formatCode="0.00">
                  <c:v>3.3313235725731776</c:v>
                </c:pt>
                <c:pt idx="29" formatCode="0.00">
                  <c:v>3.4801881599057665</c:v>
                </c:pt>
                <c:pt idx="30" formatCode="0.00">
                  <c:v>4.8504506337552309</c:v>
                </c:pt>
                <c:pt idx="31" formatCode="0.00">
                  <c:v>3.6819367558814013</c:v>
                </c:pt>
                <c:pt idx="32" formatCode="0.00">
                  <c:v>3.7339548096397781</c:v>
                </c:pt>
                <c:pt idx="33" formatCode="0.00">
                  <c:v>2.8791752460416404</c:v>
                </c:pt>
                <c:pt idx="34" formatCode="0.00">
                  <c:v>4.8494548791646617</c:v>
                </c:pt>
                <c:pt idx="35" formatCode="0.00">
                  <c:v>3.622224327666467</c:v>
                </c:pt>
                <c:pt idx="36" formatCode="0.00">
                  <c:v>3.8096774945625707</c:v>
                </c:pt>
                <c:pt idx="37" formatCode="0.00">
                  <c:v>3.2575320551086286</c:v>
                </c:pt>
                <c:pt idx="38" formatCode="0.00">
                  <c:v>4.9585551587899301</c:v>
                </c:pt>
                <c:pt idx="39" formatCode="0.00">
                  <c:v>2.9533851032654943</c:v>
                </c:pt>
                <c:pt idx="40" formatCode="0.00">
                  <c:v>4.0399153050508403</c:v>
                </c:pt>
                <c:pt idx="41" formatCode="0.00">
                  <c:v>4.9662795879412895</c:v>
                </c:pt>
                <c:pt idx="42" formatCode="0.00">
                  <c:v>4.2385418824736902</c:v>
                </c:pt>
                <c:pt idx="43" formatCode="0.00">
                  <c:v>4.5887910124781044</c:v>
                </c:pt>
                <c:pt idx="44" formatCode="0.00">
                  <c:v>5.1040449167190323</c:v>
                </c:pt>
                <c:pt idx="45" formatCode="0.00">
                  <c:v>4.7501042118418564</c:v>
                </c:pt>
                <c:pt idx="46" formatCode="0.00">
                  <c:v>5.2123013199815711</c:v>
                </c:pt>
              </c:numCache>
            </c:numRef>
          </c:xVal>
          <c:yVal>
            <c:numRef>
              <c:f>'verifica a liquefazione (4)'!$AM$4:$AM$51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5B4-4D57-AB9C-E8A2D16BD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223984"/>
        <c:axId val="1098818304"/>
        <c:extLst/>
      </c:scatterChart>
      <c:valAx>
        <c:axId val="101722398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000"/>
                  <a:t>FSL</a:t>
                </a:r>
              </a:p>
            </c:rich>
          </c:tx>
          <c:layout>
            <c:manualLayout>
              <c:xMode val="edge"/>
              <c:yMode val="edge"/>
              <c:x val="0.77664245027832235"/>
              <c:y val="0.937141480602596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818304"/>
        <c:crosses val="autoZero"/>
        <c:crossBetween val="midCat"/>
      </c:valAx>
      <c:valAx>
        <c:axId val="1098818304"/>
        <c:scaling>
          <c:orientation val="minMax"/>
          <c:max val="0"/>
          <c:min val="-9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thickThin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400" baseline="0"/>
                  <a:t> z [m]</a:t>
                </a:r>
                <a:endParaRPr lang="it-IT" sz="1400"/>
              </a:p>
            </c:rich>
          </c:tx>
          <c:layout>
            <c:manualLayout>
              <c:xMode val="edge"/>
              <c:yMode val="edge"/>
              <c:x val="4.0905965833729682E-3"/>
              <c:y val="0.186951679382871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722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510891674011971E-2"/>
          <c:y val="2.4772045797345051E-2"/>
          <c:w val="0.83794249724910697"/>
          <c:h val="0.93606251470660662"/>
        </c:manualLayout>
      </c:layout>
      <c:scatterChart>
        <c:scatterStyle val="lineMarker"/>
        <c:varyColors val="0"/>
        <c:ser>
          <c:idx val="0"/>
          <c:order val="0"/>
          <c:tx>
            <c:v>FS=1,25</c:v>
          </c:tx>
          <c:spPr>
            <a:ln w="44450" cap="flat" cmpd="sng" algn="ctr">
              <a:solidFill>
                <a:schemeClr val="tx1">
                  <a:alpha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(2)'!$AL$4:$AL$51</c:f>
              <c:numCache>
                <c:formatCode>General</c:formatCode>
                <c:ptCount val="48"/>
                <c:pt idx="0">
                  <c:v>1.25</c:v>
                </c:pt>
                <c:pt idx="1">
                  <c:v>1.25</c:v>
                </c:pt>
                <c:pt idx="2">
                  <c:v>1.25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1.25</c:v>
                </c:pt>
                <c:pt idx="16">
                  <c:v>1.25</c:v>
                </c:pt>
                <c:pt idx="17">
                  <c:v>1.25</c:v>
                </c:pt>
                <c:pt idx="18">
                  <c:v>1.25</c:v>
                </c:pt>
                <c:pt idx="19">
                  <c:v>1.25</c:v>
                </c:pt>
                <c:pt idx="20">
                  <c:v>1.25</c:v>
                </c:pt>
                <c:pt idx="21">
                  <c:v>1.25</c:v>
                </c:pt>
                <c:pt idx="22">
                  <c:v>1.25</c:v>
                </c:pt>
                <c:pt idx="23">
                  <c:v>1.25</c:v>
                </c:pt>
                <c:pt idx="24">
                  <c:v>1.25</c:v>
                </c:pt>
                <c:pt idx="25">
                  <c:v>1.25</c:v>
                </c:pt>
                <c:pt idx="26">
                  <c:v>1.25</c:v>
                </c:pt>
                <c:pt idx="27">
                  <c:v>1.25</c:v>
                </c:pt>
                <c:pt idx="28">
                  <c:v>1.25</c:v>
                </c:pt>
                <c:pt idx="29">
                  <c:v>1.25</c:v>
                </c:pt>
                <c:pt idx="30">
                  <c:v>1.25</c:v>
                </c:pt>
                <c:pt idx="31">
                  <c:v>1.25</c:v>
                </c:pt>
                <c:pt idx="32">
                  <c:v>1.25</c:v>
                </c:pt>
                <c:pt idx="33">
                  <c:v>1.25</c:v>
                </c:pt>
                <c:pt idx="34">
                  <c:v>1.25</c:v>
                </c:pt>
                <c:pt idx="35">
                  <c:v>1.25</c:v>
                </c:pt>
                <c:pt idx="36">
                  <c:v>1.25</c:v>
                </c:pt>
                <c:pt idx="37">
                  <c:v>1.25</c:v>
                </c:pt>
                <c:pt idx="38">
                  <c:v>1.25</c:v>
                </c:pt>
                <c:pt idx="39">
                  <c:v>1.25</c:v>
                </c:pt>
                <c:pt idx="40">
                  <c:v>1.25</c:v>
                </c:pt>
                <c:pt idx="41">
                  <c:v>1.25</c:v>
                </c:pt>
                <c:pt idx="42">
                  <c:v>1.25</c:v>
                </c:pt>
                <c:pt idx="43">
                  <c:v>1.25</c:v>
                </c:pt>
                <c:pt idx="44">
                  <c:v>1.25</c:v>
                </c:pt>
                <c:pt idx="45">
                  <c:v>1.25</c:v>
                </c:pt>
                <c:pt idx="46">
                  <c:v>1.25</c:v>
                </c:pt>
                <c:pt idx="47">
                  <c:v>1.25</c:v>
                </c:pt>
              </c:numCache>
            </c:numRef>
          </c:xVal>
          <c:yVal>
            <c:numRef>
              <c:f>'verifica a liquefazione (2)'!$AM$4:$AM$51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DE-4FE7-BEDC-DB4B8D652684}"/>
            </c:ext>
          </c:extLst>
        </c:ser>
        <c:ser>
          <c:idx val="1"/>
          <c:order val="1"/>
          <c:tx>
            <c:v>FS-(il calcolo di CRR si basa sulla Metodologia Youd aggiornato con Robertson)</c:v>
          </c:tx>
          <c:spPr>
            <a:ln w="31750" cap="rnd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(2)'!$AG$4:$AG$51</c:f>
              <c:numCache>
                <c:formatCode>_(* #,##0.00_);_(* \(#,##0.00\);_(* "-"??_);_(@_)</c:formatCode>
                <c:ptCount val="48"/>
                <c:pt idx="2">
                  <c:v>5.3927452584531981</c:v>
                </c:pt>
                <c:pt idx="3">
                  <c:v>5.0369977064778437</c:v>
                </c:pt>
                <c:pt idx="4">
                  <c:v>3.1831859212858906</c:v>
                </c:pt>
                <c:pt idx="5">
                  <c:v>3.6171794831015593</c:v>
                </c:pt>
                <c:pt idx="6">
                  <c:v>2.2832962597792661</c:v>
                </c:pt>
                <c:pt idx="7">
                  <c:v>1.4631391557187441</c:v>
                </c:pt>
                <c:pt idx="8">
                  <c:v>0.99381532797600824</c:v>
                </c:pt>
                <c:pt idx="9">
                  <c:v>0.46527235409521289</c:v>
                </c:pt>
                <c:pt idx="10">
                  <c:v>0.51509667002502724</c:v>
                </c:pt>
                <c:pt idx="11">
                  <c:v>0.44115203014143051</c:v>
                </c:pt>
                <c:pt idx="12">
                  <c:v>1.1804793087245062</c:v>
                </c:pt>
                <c:pt idx="13">
                  <c:v>2.6861993718636077</c:v>
                </c:pt>
                <c:pt idx="14">
                  <c:v>2.3914717066385189</c:v>
                </c:pt>
                <c:pt idx="15">
                  <c:v>1.0507218400674114</c:v>
                </c:pt>
                <c:pt idx="16">
                  <c:v>3.8120964921198892</c:v>
                </c:pt>
                <c:pt idx="17">
                  <c:v>1.7222740160181367</c:v>
                </c:pt>
                <c:pt idx="18">
                  <c:v>1.5786820278789846</c:v>
                </c:pt>
                <c:pt idx="19">
                  <c:v>1.596172048018025</c:v>
                </c:pt>
                <c:pt idx="20">
                  <c:v>1.2578282668940561</c:v>
                </c:pt>
                <c:pt idx="21">
                  <c:v>1.0200177352854043</c:v>
                </c:pt>
                <c:pt idx="22">
                  <c:v>0.97887628461402565</c:v>
                </c:pt>
                <c:pt idx="23">
                  <c:v>1.0601573464608909</c:v>
                </c:pt>
                <c:pt idx="24">
                  <c:v>2.0350187303066392</c:v>
                </c:pt>
                <c:pt idx="25">
                  <c:v>0.95582616891712113</c:v>
                </c:pt>
                <c:pt idx="26">
                  <c:v>1.1133623923186797</c:v>
                </c:pt>
                <c:pt idx="27">
                  <c:v>1.3638240449200516</c:v>
                </c:pt>
                <c:pt idx="28">
                  <c:v>0.76799426083739442</c:v>
                </c:pt>
                <c:pt idx="29">
                  <c:v>0.81967721491239964</c:v>
                </c:pt>
                <c:pt idx="30">
                  <c:v>1.3004296473311194</c:v>
                </c:pt>
                <c:pt idx="31">
                  <c:v>0.89403933694518323</c:v>
                </c:pt>
                <c:pt idx="32">
                  <c:v>0.91474482305582339</c:v>
                </c:pt>
                <c:pt idx="33">
                  <c:v>0.62614378737148091</c:v>
                </c:pt>
                <c:pt idx="34">
                  <c:v>1.2860607733207365</c:v>
                </c:pt>
                <c:pt idx="35">
                  <c:v>0.85470404180895931</c:v>
                </c:pt>
                <c:pt idx="36">
                  <c:v>0.9505297737412215</c:v>
                </c:pt>
                <c:pt idx="37">
                  <c:v>0.7606878114967156</c:v>
                </c:pt>
                <c:pt idx="38">
                  <c:v>1.3473935573862943</c:v>
                </c:pt>
                <c:pt idx="39">
                  <c:v>0.66564055460985139</c:v>
                </c:pt>
                <c:pt idx="40">
                  <c:v>1.0401519885499533</c:v>
                </c:pt>
                <c:pt idx="41">
                  <c:v>1.3526021658673775</c:v>
                </c:pt>
                <c:pt idx="42">
                  <c:v>1.1132064857110433</c:v>
                </c:pt>
                <c:pt idx="43">
                  <c:v>1.2334720143819784</c:v>
                </c:pt>
                <c:pt idx="44">
                  <c:v>1.3966143268717135</c:v>
                </c:pt>
                <c:pt idx="45">
                  <c:v>1.2875757056206927</c:v>
                </c:pt>
                <c:pt idx="46">
                  <c:v>1.4288246925242547</c:v>
                </c:pt>
              </c:numCache>
            </c:numRef>
          </c:xVal>
          <c:yVal>
            <c:numRef>
              <c:f>'verifica a liquefazione (2)'!$AM$4:$AM$51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DE-4FE7-BEDC-DB4B8D652684}"/>
            </c:ext>
          </c:extLst>
        </c:ser>
        <c:ser>
          <c:idx val="2"/>
          <c:order val="2"/>
          <c:tx>
            <c:v>FS-il calcolo di CRR si basa sul metodo di Idriss &amp; Boulanger)</c:v>
          </c:tx>
          <c:spPr>
            <a:ln w="28575" cap="flat" cmpd="sng" algn="ctr">
              <a:solidFill>
                <a:srgbClr val="FF0000"/>
              </a:solidFill>
              <a:bevel/>
            </a:ln>
            <a:effectLst>
              <a:outerShdw blurRad="50800" dist="50800" dir="5400000" sx="14000" sy="14000" algn="ctr" rotWithShape="0">
                <a:srgbClr val="000000">
                  <a:alpha val="43137"/>
                </a:srgbClr>
              </a:outerShdw>
            </a:effectLst>
          </c:spPr>
          <c:marker>
            <c:symbol val="none"/>
          </c:marker>
          <c:xVal>
            <c:numRef>
              <c:f>'verifica a liquefazione (2)'!$AI$4:$AI$51</c:f>
              <c:numCache>
                <c:formatCode>General</c:formatCode>
                <c:ptCount val="48"/>
                <c:pt idx="0">
                  <c:v>0</c:v>
                </c:pt>
                <c:pt idx="2" formatCode="0.00">
                  <c:v>4.3439827360552208</c:v>
                </c:pt>
                <c:pt idx="3" formatCode="0.00">
                  <c:v>3.8472645190248809</c:v>
                </c:pt>
                <c:pt idx="4" formatCode="0.00">
                  <c:v>2.2018935210079076</c:v>
                </c:pt>
                <c:pt idx="5" formatCode="0.00">
                  <c:v>2.4903583676787457</c:v>
                </c:pt>
                <c:pt idx="6" formatCode="0.00">
                  <c:v>1.6954034831848863</c:v>
                </c:pt>
                <c:pt idx="7" formatCode="0.00">
                  <c:v>1.2388310429212375</c:v>
                </c:pt>
                <c:pt idx="8" formatCode="0.00">
                  <c:v>0.75034597212005427</c:v>
                </c:pt>
                <c:pt idx="9" formatCode="0.00">
                  <c:v>0.4134345538177342</c:v>
                </c:pt>
                <c:pt idx="10" formatCode="0.00">
                  <c:v>0.45771618112031698</c:v>
                </c:pt>
                <c:pt idx="11" formatCode="0.00">
                  <c:v>0.38898701978780825</c:v>
                </c:pt>
                <c:pt idx="12" formatCode="0.00">
                  <c:v>0.8513205875083204</c:v>
                </c:pt>
                <c:pt idx="13" formatCode="0.00">
                  <c:v>2.3012146920462131</c:v>
                </c:pt>
                <c:pt idx="14" formatCode="0.00">
                  <c:v>1.8464184829315082</c:v>
                </c:pt>
                <c:pt idx="15" formatCode="0.00">
                  <c:v>0.78297817615570864</c:v>
                </c:pt>
                <c:pt idx="16" formatCode="0.00">
                  <c:v>6.1563052874252016</c:v>
                </c:pt>
                <c:pt idx="17" formatCode="0.00">
                  <c:v>1.1866549026023381</c:v>
                </c:pt>
                <c:pt idx="18" formatCode="0.00">
                  <c:v>1.0875355731818028</c:v>
                </c:pt>
                <c:pt idx="19" formatCode="0.00">
                  <c:v>1.0991364061725897</c:v>
                </c:pt>
                <c:pt idx="20" formatCode="0.00">
                  <c:v>0.89622429501650569</c:v>
                </c:pt>
                <c:pt idx="21" formatCode="0.00">
                  <c:v>0.76883968367308642</c:v>
                </c:pt>
                <c:pt idx="22" formatCode="0.00">
                  <c:v>0.74733415671439096</c:v>
                </c:pt>
                <c:pt idx="23" formatCode="0.00">
                  <c:v>0.79085046901291012</c:v>
                </c:pt>
                <c:pt idx="24" formatCode="0.00">
                  <c:v>1.4400871420031223</c:v>
                </c:pt>
                <c:pt idx="25" formatCode="0.00">
                  <c:v>0.73610019953701644</c:v>
                </c:pt>
                <c:pt idx="26" formatCode="0.00">
                  <c:v>0.82019630608986116</c:v>
                </c:pt>
                <c:pt idx="27" formatCode="0.00">
                  <c:v>0.95642629820415559</c:v>
                </c:pt>
                <c:pt idx="28" formatCode="0.00">
                  <c:v>0.62950407106712503</c:v>
                </c:pt>
                <c:pt idx="29" formatCode="0.00">
                  <c:v>0.65763429069968016</c:v>
                </c:pt>
                <c:pt idx="30" formatCode="0.00">
                  <c:v>0.91656614974226192</c:v>
                </c:pt>
                <c:pt idx="31" formatCode="0.00">
                  <c:v>0.6957577451561443</c:v>
                </c:pt>
                <c:pt idx="32" formatCode="0.00">
                  <c:v>0.70558734468213491</c:v>
                </c:pt>
                <c:pt idx="33" formatCode="0.00">
                  <c:v>0.54406379302834595</c:v>
                </c:pt>
                <c:pt idx="34" formatCode="0.00">
                  <c:v>0.91637798682296201</c:v>
                </c:pt>
                <c:pt idx="35" formatCode="0.00">
                  <c:v>0.68447417697799506</c:v>
                </c:pt>
                <c:pt idx="36" formatCode="0.00">
                  <c:v>0.71989629348058837</c:v>
                </c:pt>
                <c:pt idx="37" formatCode="0.00">
                  <c:v>0.61556004562432654</c:v>
                </c:pt>
                <c:pt idx="38" formatCode="0.00">
                  <c:v>0.93699413793602226</c:v>
                </c:pt>
                <c:pt idx="39" formatCode="0.00">
                  <c:v>0.55808687010807922</c:v>
                </c:pt>
                <c:pt idx="40" formatCode="0.00">
                  <c:v>0.76340321673751976</c:v>
                </c:pt>
                <c:pt idx="41" formatCode="0.00">
                  <c:v>0.93845378587820494</c:v>
                </c:pt>
                <c:pt idx="42" formatCode="0.00">
                  <c:v>0.8009367184781605</c:v>
                </c:pt>
                <c:pt idx="43" formatCode="0.00">
                  <c:v>0.86712159917865395</c:v>
                </c:pt>
                <c:pt idx="44" formatCode="0.00">
                  <c:v>0.96448663241148325</c:v>
                </c:pt>
                <c:pt idx="45" formatCode="0.00">
                  <c:v>0.8976041726975954</c:v>
                </c:pt>
                <c:pt idx="46" formatCode="0.00">
                  <c:v>0.98494332029791798</c:v>
                </c:pt>
              </c:numCache>
              <c:extLst xmlns:c15="http://schemas.microsoft.com/office/drawing/2012/chart"/>
            </c:numRef>
          </c:xVal>
          <c:yVal>
            <c:numRef>
              <c:f>'verifica a liquefazione (2)'!$AM$4:$AM$51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FDE-4FE7-BEDC-DB4B8D652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223984"/>
        <c:axId val="1098818304"/>
        <c:extLst/>
      </c:scatterChart>
      <c:valAx>
        <c:axId val="101722398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000"/>
                  <a:t>FS</a:t>
                </a:r>
              </a:p>
            </c:rich>
          </c:tx>
          <c:layout>
            <c:manualLayout>
              <c:xMode val="edge"/>
              <c:yMode val="edge"/>
              <c:x val="0.77664245027832235"/>
              <c:y val="0.937141480602596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818304"/>
        <c:crosses val="autoZero"/>
        <c:crossBetween val="midCat"/>
      </c:valAx>
      <c:valAx>
        <c:axId val="1098818304"/>
        <c:scaling>
          <c:orientation val="minMax"/>
          <c:max val="0"/>
          <c:min val="-9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thickThin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400" baseline="0"/>
                  <a:t> z [m]</a:t>
                </a:r>
                <a:endParaRPr lang="it-IT" sz="1400"/>
              </a:p>
            </c:rich>
          </c:tx>
          <c:layout>
            <c:manualLayout>
              <c:xMode val="edge"/>
              <c:yMode val="edge"/>
              <c:x val="6.9491351844703465E-3"/>
              <c:y val="0.201772010367521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7223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7836249626213109"/>
          <c:y val="0.56320401988112301"/>
          <c:w val="0.46453561952093159"/>
          <c:h val="0.227978067288615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Indice di comportamento</a:t>
            </a:r>
          </a:p>
        </c:rich>
      </c:tx>
      <c:layout>
        <c:manualLayout>
          <c:xMode val="edge"/>
          <c:yMode val="edge"/>
          <c:x val="0.29429522580582701"/>
          <c:y val="2.646457180479106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5282316865199404E-2"/>
          <c:y val="4.1988393928902114E-2"/>
          <c:w val="0.86361679986499007"/>
          <c:h val="0.88775969671936039"/>
        </c:manualLayout>
      </c:layout>
      <c:scatterChart>
        <c:scatterStyle val="lineMarker"/>
        <c:varyColors val="0"/>
        <c:ser>
          <c:idx val="2"/>
          <c:order val="2"/>
          <c:tx>
            <c:v>Ic</c:v>
          </c:tx>
          <c:spPr>
            <a:ln w="53975" cap="flat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(2)'!$V$4:$V$51</c:f>
              <c:numCache>
                <c:formatCode>0.00</c:formatCode>
                <c:ptCount val="48"/>
                <c:pt idx="1">
                  <c:v>2.2216835546277793</c:v>
                </c:pt>
                <c:pt idx="2">
                  <c:v>2.0938284127056868</c:v>
                </c:pt>
                <c:pt idx="3">
                  <c:v>2.2635204586554654</c:v>
                </c:pt>
                <c:pt idx="4">
                  <c:v>2.4222274385234632</c:v>
                </c:pt>
                <c:pt idx="5">
                  <c:v>2.6575102612778512</c:v>
                </c:pt>
                <c:pt idx="6">
                  <c:v>2.30361448607984</c:v>
                </c:pt>
                <c:pt idx="7">
                  <c:v>2.3136417010289008</c:v>
                </c:pt>
                <c:pt idx="8">
                  <c:v>2.5535436274770644</c:v>
                </c:pt>
                <c:pt idx="9">
                  <c:v>2.2993231102347256</c:v>
                </c:pt>
                <c:pt idx="10">
                  <c:v>2.3383162888938989</c:v>
                </c:pt>
                <c:pt idx="11">
                  <c:v>2.5480540812549486</c:v>
                </c:pt>
                <c:pt idx="12">
                  <c:v>2.9807184325632616</c:v>
                </c:pt>
                <c:pt idx="13">
                  <c:v>2.9522324866028939</c:v>
                </c:pt>
                <c:pt idx="14">
                  <c:v>2.2711463465543522</c:v>
                </c:pt>
                <c:pt idx="15">
                  <c:v>2.0663767301681197</c:v>
                </c:pt>
                <c:pt idx="16">
                  <c:v>2.2157191913017913</c:v>
                </c:pt>
                <c:pt idx="17">
                  <c:v>2.266808419833235</c:v>
                </c:pt>
                <c:pt idx="18">
                  <c:v>2.3261578962875196</c:v>
                </c:pt>
                <c:pt idx="19">
                  <c:v>2.2728629680592807</c:v>
                </c:pt>
                <c:pt idx="20">
                  <c:v>2.4914666560900218</c:v>
                </c:pt>
                <c:pt idx="21">
                  <c:v>2.3792140645190463</c:v>
                </c:pt>
                <c:pt idx="22">
                  <c:v>2.3655299365686564</c:v>
                </c:pt>
                <c:pt idx="23">
                  <c:v>2.3824576121258687</c:v>
                </c:pt>
                <c:pt idx="24">
                  <c:v>2.5719851472878101</c:v>
                </c:pt>
                <c:pt idx="25">
                  <c:v>2.2223894711307626</c:v>
                </c:pt>
                <c:pt idx="26">
                  <c:v>2.1434885027304289</c:v>
                </c:pt>
                <c:pt idx="27">
                  <c:v>2.2917773609155683</c:v>
                </c:pt>
                <c:pt idx="28">
                  <c:v>2.3287483986170807</c:v>
                </c:pt>
                <c:pt idx="29">
                  <c:v>2.329891315740543</c:v>
                </c:pt>
                <c:pt idx="30">
                  <c:v>2.3897575623182523</c:v>
                </c:pt>
                <c:pt idx="31">
                  <c:v>2.2490096089342213</c:v>
                </c:pt>
                <c:pt idx="32">
                  <c:v>2.3867472926955076</c:v>
                </c:pt>
                <c:pt idx="33">
                  <c:v>2.3808672423832116</c:v>
                </c:pt>
                <c:pt idx="34">
                  <c:v>2.7335210979981492</c:v>
                </c:pt>
                <c:pt idx="35">
                  <c:v>3.0029105432857723</c:v>
                </c:pt>
                <c:pt idx="36">
                  <c:v>2.345046609645542</c:v>
                </c:pt>
                <c:pt idx="37">
                  <c:v>2.3629742128980333</c:v>
                </c:pt>
                <c:pt idx="38">
                  <c:v>2.4050778956416776</c:v>
                </c:pt>
                <c:pt idx="39">
                  <c:v>2.310108429011398</c:v>
                </c:pt>
                <c:pt idx="40">
                  <c:v>2.3028799455853948</c:v>
                </c:pt>
                <c:pt idx="41">
                  <c:v>2.3064375156664836</c:v>
                </c:pt>
                <c:pt idx="42">
                  <c:v>2.2763945933360139</c:v>
                </c:pt>
                <c:pt idx="43">
                  <c:v>2.2045873063226424</c:v>
                </c:pt>
                <c:pt idx="44">
                  <c:v>2.4070121992812763</c:v>
                </c:pt>
                <c:pt idx="45">
                  <c:v>2.2561469942730654</c:v>
                </c:pt>
                <c:pt idx="46">
                  <c:v>2.2557559651783525</c:v>
                </c:pt>
              </c:numCache>
            </c:numRef>
          </c:xVal>
          <c:yVal>
            <c:numRef>
              <c:f>'verifica a liquefazione (2)'!$AM$4:$AM$51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2-A2F3-4901-8C39-77132CB9644B}"/>
            </c:ext>
          </c:extLst>
        </c:ser>
        <c:ser>
          <c:idx val="3"/>
          <c:order val="3"/>
          <c:tx>
            <c:v>1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(2)'!$AN$4:$AN$51</c:f>
              <c:numCache>
                <c:formatCode>General</c:formatCode>
                <c:ptCount val="48"/>
                <c:pt idx="0">
                  <c:v>1.31</c:v>
                </c:pt>
                <c:pt idx="1">
                  <c:v>1.31</c:v>
                </c:pt>
                <c:pt idx="2">
                  <c:v>1.31</c:v>
                </c:pt>
                <c:pt idx="3">
                  <c:v>1.31</c:v>
                </c:pt>
                <c:pt idx="4">
                  <c:v>1.31</c:v>
                </c:pt>
                <c:pt idx="5">
                  <c:v>1.31</c:v>
                </c:pt>
                <c:pt idx="6">
                  <c:v>1.31</c:v>
                </c:pt>
                <c:pt idx="7">
                  <c:v>1.31</c:v>
                </c:pt>
                <c:pt idx="8">
                  <c:v>1.31</c:v>
                </c:pt>
                <c:pt idx="9">
                  <c:v>1.31</c:v>
                </c:pt>
                <c:pt idx="10">
                  <c:v>1.31</c:v>
                </c:pt>
                <c:pt idx="11">
                  <c:v>1.31</c:v>
                </c:pt>
                <c:pt idx="12">
                  <c:v>1.31</c:v>
                </c:pt>
                <c:pt idx="13">
                  <c:v>1.31</c:v>
                </c:pt>
                <c:pt idx="14">
                  <c:v>1.31</c:v>
                </c:pt>
                <c:pt idx="15">
                  <c:v>1.31</c:v>
                </c:pt>
                <c:pt idx="16">
                  <c:v>1.31</c:v>
                </c:pt>
                <c:pt idx="17">
                  <c:v>1.31</c:v>
                </c:pt>
                <c:pt idx="18">
                  <c:v>1.31</c:v>
                </c:pt>
                <c:pt idx="19">
                  <c:v>1.31</c:v>
                </c:pt>
                <c:pt idx="20">
                  <c:v>1.31</c:v>
                </c:pt>
                <c:pt idx="21">
                  <c:v>1.31</c:v>
                </c:pt>
                <c:pt idx="22">
                  <c:v>1.31</c:v>
                </c:pt>
                <c:pt idx="23">
                  <c:v>1.31</c:v>
                </c:pt>
                <c:pt idx="24">
                  <c:v>1.31</c:v>
                </c:pt>
                <c:pt idx="25">
                  <c:v>1.31</c:v>
                </c:pt>
                <c:pt idx="26">
                  <c:v>1.31</c:v>
                </c:pt>
                <c:pt idx="27">
                  <c:v>1.31</c:v>
                </c:pt>
                <c:pt idx="28">
                  <c:v>1.31</c:v>
                </c:pt>
                <c:pt idx="29">
                  <c:v>1.31</c:v>
                </c:pt>
                <c:pt idx="30">
                  <c:v>1.31</c:v>
                </c:pt>
                <c:pt idx="31">
                  <c:v>1.31</c:v>
                </c:pt>
                <c:pt idx="32">
                  <c:v>1.31</c:v>
                </c:pt>
                <c:pt idx="33">
                  <c:v>1.31</c:v>
                </c:pt>
                <c:pt idx="34">
                  <c:v>1.31</c:v>
                </c:pt>
                <c:pt idx="35">
                  <c:v>1.31</c:v>
                </c:pt>
                <c:pt idx="36">
                  <c:v>1.31</c:v>
                </c:pt>
                <c:pt idx="37">
                  <c:v>1.31</c:v>
                </c:pt>
                <c:pt idx="38">
                  <c:v>1.31</c:v>
                </c:pt>
                <c:pt idx="39">
                  <c:v>1.31</c:v>
                </c:pt>
                <c:pt idx="40">
                  <c:v>1.31</c:v>
                </c:pt>
                <c:pt idx="41">
                  <c:v>1.31</c:v>
                </c:pt>
                <c:pt idx="42">
                  <c:v>1.31</c:v>
                </c:pt>
                <c:pt idx="43">
                  <c:v>1.31</c:v>
                </c:pt>
                <c:pt idx="44">
                  <c:v>1.31</c:v>
                </c:pt>
                <c:pt idx="45">
                  <c:v>1.31</c:v>
                </c:pt>
                <c:pt idx="46">
                  <c:v>1.31</c:v>
                </c:pt>
                <c:pt idx="47">
                  <c:v>1.31</c:v>
                </c:pt>
              </c:numCache>
            </c:numRef>
          </c:xVal>
          <c:yVal>
            <c:numRef>
              <c:f>'verifica a liquefazione (2)'!$AM$4:$AM$51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F0-48FA-9565-D299BB64E0DB}"/>
            </c:ext>
          </c:extLst>
        </c:ser>
        <c:ser>
          <c:idx val="4"/>
          <c:order val="4"/>
          <c:tx>
            <c:v>2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(2)'!$AO$4:$AO$51</c:f>
              <c:numCache>
                <c:formatCode>General</c:formatCode>
                <c:ptCount val="48"/>
                <c:pt idx="0">
                  <c:v>2.0499999999999998</c:v>
                </c:pt>
                <c:pt idx="1">
                  <c:v>2.0499999999999998</c:v>
                </c:pt>
                <c:pt idx="2">
                  <c:v>2.0499999999999998</c:v>
                </c:pt>
                <c:pt idx="3">
                  <c:v>2.0499999999999998</c:v>
                </c:pt>
                <c:pt idx="4">
                  <c:v>2.0499999999999998</c:v>
                </c:pt>
                <c:pt idx="5">
                  <c:v>2.0499999999999998</c:v>
                </c:pt>
                <c:pt idx="6">
                  <c:v>2.0499999999999998</c:v>
                </c:pt>
                <c:pt idx="7">
                  <c:v>2.0499999999999998</c:v>
                </c:pt>
                <c:pt idx="8">
                  <c:v>2.0499999999999998</c:v>
                </c:pt>
                <c:pt idx="9">
                  <c:v>2.0499999999999998</c:v>
                </c:pt>
                <c:pt idx="10">
                  <c:v>2.0499999999999998</c:v>
                </c:pt>
                <c:pt idx="11">
                  <c:v>2.0499999999999998</c:v>
                </c:pt>
                <c:pt idx="12">
                  <c:v>2.0499999999999998</c:v>
                </c:pt>
                <c:pt idx="13">
                  <c:v>2.0499999999999998</c:v>
                </c:pt>
                <c:pt idx="14">
                  <c:v>2.0499999999999998</c:v>
                </c:pt>
                <c:pt idx="15">
                  <c:v>2.0499999999999998</c:v>
                </c:pt>
                <c:pt idx="16">
                  <c:v>2.0499999999999998</c:v>
                </c:pt>
                <c:pt idx="17">
                  <c:v>2.0499999999999998</c:v>
                </c:pt>
                <c:pt idx="18">
                  <c:v>2.0499999999999998</c:v>
                </c:pt>
                <c:pt idx="19">
                  <c:v>2.0499999999999998</c:v>
                </c:pt>
                <c:pt idx="20">
                  <c:v>2.0499999999999998</c:v>
                </c:pt>
                <c:pt idx="21">
                  <c:v>2.0499999999999998</c:v>
                </c:pt>
                <c:pt idx="22">
                  <c:v>2.0499999999999998</c:v>
                </c:pt>
                <c:pt idx="23">
                  <c:v>2.0499999999999998</c:v>
                </c:pt>
                <c:pt idx="24">
                  <c:v>2.0499999999999998</c:v>
                </c:pt>
                <c:pt idx="25">
                  <c:v>2.0499999999999998</c:v>
                </c:pt>
                <c:pt idx="26">
                  <c:v>2.0499999999999998</c:v>
                </c:pt>
                <c:pt idx="27">
                  <c:v>2.0499999999999998</c:v>
                </c:pt>
                <c:pt idx="28">
                  <c:v>2.0499999999999998</c:v>
                </c:pt>
                <c:pt idx="29">
                  <c:v>2.0499999999999998</c:v>
                </c:pt>
                <c:pt idx="30">
                  <c:v>2.0499999999999998</c:v>
                </c:pt>
                <c:pt idx="31">
                  <c:v>2.0499999999999998</c:v>
                </c:pt>
                <c:pt idx="32">
                  <c:v>2.0499999999999998</c:v>
                </c:pt>
                <c:pt idx="33">
                  <c:v>2.0499999999999998</c:v>
                </c:pt>
                <c:pt idx="34">
                  <c:v>2.0499999999999998</c:v>
                </c:pt>
                <c:pt idx="35">
                  <c:v>2.0499999999999998</c:v>
                </c:pt>
                <c:pt idx="36">
                  <c:v>2.0499999999999998</c:v>
                </c:pt>
                <c:pt idx="37">
                  <c:v>2.0499999999999998</c:v>
                </c:pt>
                <c:pt idx="38">
                  <c:v>2.0499999999999998</c:v>
                </c:pt>
                <c:pt idx="39">
                  <c:v>2.0499999999999998</c:v>
                </c:pt>
                <c:pt idx="40">
                  <c:v>2.0499999999999998</c:v>
                </c:pt>
                <c:pt idx="41">
                  <c:v>2.0499999999999998</c:v>
                </c:pt>
                <c:pt idx="42">
                  <c:v>2.0499999999999998</c:v>
                </c:pt>
                <c:pt idx="43">
                  <c:v>2.0499999999999998</c:v>
                </c:pt>
                <c:pt idx="44">
                  <c:v>2.0499999999999998</c:v>
                </c:pt>
                <c:pt idx="45">
                  <c:v>2.0499999999999998</c:v>
                </c:pt>
                <c:pt idx="46">
                  <c:v>2.0499999999999998</c:v>
                </c:pt>
                <c:pt idx="47">
                  <c:v>2.0499999999999998</c:v>
                </c:pt>
              </c:numCache>
            </c:numRef>
          </c:xVal>
          <c:yVal>
            <c:numRef>
              <c:f>'verifica a liquefazione (2)'!$AM$4:$AM$51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F0-48FA-9565-D299BB64E0DB}"/>
            </c:ext>
          </c:extLst>
        </c:ser>
        <c:ser>
          <c:idx val="5"/>
          <c:order val="5"/>
          <c:tx>
            <c:v>3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(2)'!$AP$4:$AP$51</c:f>
              <c:numCache>
                <c:formatCode>General</c:formatCode>
                <c:ptCount val="48"/>
                <c:pt idx="0">
                  <c:v>2.6</c:v>
                </c:pt>
                <c:pt idx="1">
                  <c:v>2.6</c:v>
                </c:pt>
                <c:pt idx="2">
                  <c:v>2.6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2.6</c:v>
                </c:pt>
                <c:pt idx="7">
                  <c:v>2.6</c:v>
                </c:pt>
                <c:pt idx="8">
                  <c:v>2.6</c:v>
                </c:pt>
                <c:pt idx="9">
                  <c:v>2.6</c:v>
                </c:pt>
                <c:pt idx="10">
                  <c:v>2.6</c:v>
                </c:pt>
                <c:pt idx="11">
                  <c:v>2.6</c:v>
                </c:pt>
                <c:pt idx="12">
                  <c:v>2.6</c:v>
                </c:pt>
                <c:pt idx="13">
                  <c:v>2.6</c:v>
                </c:pt>
                <c:pt idx="14">
                  <c:v>2.6</c:v>
                </c:pt>
                <c:pt idx="15">
                  <c:v>2.6</c:v>
                </c:pt>
                <c:pt idx="16">
                  <c:v>2.6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2.6</c:v>
                </c:pt>
                <c:pt idx="21">
                  <c:v>2.6</c:v>
                </c:pt>
                <c:pt idx="22">
                  <c:v>2.6</c:v>
                </c:pt>
                <c:pt idx="23">
                  <c:v>2.6</c:v>
                </c:pt>
                <c:pt idx="24">
                  <c:v>2.6</c:v>
                </c:pt>
                <c:pt idx="25">
                  <c:v>2.6</c:v>
                </c:pt>
                <c:pt idx="26">
                  <c:v>2.6</c:v>
                </c:pt>
                <c:pt idx="27">
                  <c:v>2.6</c:v>
                </c:pt>
                <c:pt idx="28">
                  <c:v>2.6</c:v>
                </c:pt>
                <c:pt idx="29">
                  <c:v>2.6</c:v>
                </c:pt>
                <c:pt idx="30">
                  <c:v>2.6</c:v>
                </c:pt>
                <c:pt idx="31">
                  <c:v>2.6</c:v>
                </c:pt>
                <c:pt idx="32">
                  <c:v>2.6</c:v>
                </c:pt>
                <c:pt idx="33">
                  <c:v>2.6</c:v>
                </c:pt>
                <c:pt idx="34">
                  <c:v>2.6</c:v>
                </c:pt>
                <c:pt idx="35">
                  <c:v>2.6</c:v>
                </c:pt>
                <c:pt idx="36">
                  <c:v>2.6</c:v>
                </c:pt>
                <c:pt idx="37">
                  <c:v>2.6</c:v>
                </c:pt>
                <c:pt idx="38">
                  <c:v>2.6</c:v>
                </c:pt>
                <c:pt idx="39">
                  <c:v>2.6</c:v>
                </c:pt>
                <c:pt idx="40">
                  <c:v>2.6</c:v>
                </c:pt>
                <c:pt idx="41">
                  <c:v>2.6</c:v>
                </c:pt>
                <c:pt idx="42">
                  <c:v>2.6</c:v>
                </c:pt>
                <c:pt idx="43">
                  <c:v>2.6</c:v>
                </c:pt>
                <c:pt idx="44">
                  <c:v>2.6</c:v>
                </c:pt>
                <c:pt idx="45">
                  <c:v>2.6</c:v>
                </c:pt>
                <c:pt idx="46">
                  <c:v>2.6</c:v>
                </c:pt>
                <c:pt idx="47">
                  <c:v>2.6</c:v>
                </c:pt>
              </c:numCache>
            </c:numRef>
          </c:xVal>
          <c:yVal>
            <c:numRef>
              <c:f>'verifica a liquefazione (2)'!$AM$4:$AM$51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F0-48FA-9565-D299BB64E0DB}"/>
            </c:ext>
          </c:extLst>
        </c:ser>
        <c:ser>
          <c:idx val="6"/>
          <c:order val="6"/>
          <c:tx>
            <c:v>4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(2)'!$AQ$4:$AQ$51</c:f>
              <c:numCache>
                <c:formatCode>General</c:formatCode>
                <c:ptCount val="48"/>
                <c:pt idx="0">
                  <c:v>2.95</c:v>
                </c:pt>
                <c:pt idx="1">
                  <c:v>2.95</c:v>
                </c:pt>
                <c:pt idx="2">
                  <c:v>2.95</c:v>
                </c:pt>
                <c:pt idx="3">
                  <c:v>2.95</c:v>
                </c:pt>
                <c:pt idx="4">
                  <c:v>2.95</c:v>
                </c:pt>
                <c:pt idx="5">
                  <c:v>2.95</c:v>
                </c:pt>
                <c:pt idx="6">
                  <c:v>2.95</c:v>
                </c:pt>
                <c:pt idx="7">
                  <c:v>2.95</c:v>
                </c:pt>
                <c:pt idx="8">
                  <c:v>2.95</c:v>
                </c:pt>
                <c:pt idx="9">
                  <c:v>2.95</c:v>
                </c:pt>
                <c:pt idx="10">
                  <c:v>2.95</c:v>
                </c:pt>
                <c:pt idx="11">
                  <c:v>2.95</c:v>
                </c:pt>
                <c:pt idx="12">
                  <c:v>2.95</c:v>
                </c:pt>
                <c:pt idx="13">
                  <c:v>2.95</c:v>
                </c:pt>
                <c:pt idx="14">
                  <c:v>2.95</c:v>
                </c:pt>
                <c:pt idx="15">
                  <c:v>2.95</c:v>
                </c:pt>
                <c:pt idx="16">
                  <c:v>2.95</c:v>
                </c:pt>
                <c:pt idx="17">
                  <c:v>2.95</c:v>
                </c:pt>
                <c:pt idx="18">
                  <c:v>2.95</c:v>
                </c:pt>
                <c:pt idx="19">
                  <c:v>2.95</c:v>
                </c:pt>
                <c:pt idx="20">
                  <c:v>2.95</c:v>
                </c:pt>
                <c:pt idx="21">
                  <c:v>2.95</c:v>
                </c:pt>
                <c:pt idx="22">
                  <c:v>2.95</c:v>
                </c:pt>
                <c:pt idx="23">
                  <c:v>2.95</c:v>
                </c:pt>
                <c:pt idx="24">
                  <c:v>2.95</c:v>
                </c:pt>
                <c:pt idx="25">
                  <c:v>2.95</c:v>
                </c:pt>
                <c:pt idx="26">
                  <c:v>2.95</c:v>
                </c:pt>
                <c:pt idx="27">
                  <c:v>2.95</c:v>
                </c:pt>
                <c:pt idx="28">
                  <c:v>2.95</c:v>
                </c:pt>
                <c:pt idx="29">
                  <c:v>2.95</c:v>
                </c:pt>
                <c:pt idx="30">
                  <c:v>2.95</c:v>
                </c:pt>
                <c:pt idx="31">
                  <c:v>2.95</c:v>
                </c:pt>
                <c:pt idx="32">
                  <c:v>2.95</c:v>
                </c:pt>
                <c:pt idx="33">
                  <c:v>2.95</c:v>
                </c:pt>
                <c:pt idx="34">
                  <c:v>2.95</c:v>
                </c:pt>
                <c:pt idx="35">
                  <c:v>2.95</c:v>
                </c:pt>
                <c:pt idx="36">
                  <c:v>2.95</c:v>
                </c:pt>
                <c:pt idx="37">
                  <c:v>2.95</c:v>
                </c:pt>
                <c:pt idx="38">
                  <c:v>2.95</c:v>
                </c:pt>
                <c:pt idx="39">
                  <c:v>2.95</c:v>
                </c:pt>
                <c:pt idx="40">
                  <c:v>2.95</c:v>
                </c:pt>
                <c:pt idx="41">
                  <c:v>2.95</c:v>
                </c:pt>
                <c:pt idx="42">
                  <c:v>2.95</c:v>
                </c:pt>
                <c:pt idx="43">
                  <c:v>2.95</c:v>
                </c:pt>
                <c:pt idx="44">
                  <c:v>2.95</c:v>
                </c:pt>
                <c:pt idx="45">
                  <c:v>2.95</c:v>
                </c:pt>
                <c:pt idx="46">
                  <c:v>2.95</c:v>
                </c:pt>
                <c:pt idx="47">
                  <c:v>2.95</c:v>
                </c:pt>
              </c:numCache>
            </c:numRef>
          </c:xVal>
          <c:yVal>
            <c:numRef>
              <c:f>'verifica a liquefazione (2)'!$AM$4:$AM$51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F0-48FA-9565-D299BB64E0DB}"/>
            </c:ext>
          </c:extLst>
        </c:ser>
        <c:ser>
          <c:idx val="7"/>
          <c:order val="7"/>
          <c:tx>
            <c:v>5</c:v>
          </c:tx>
          <c:spPr>
            <a:ln w="25400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'verifica a liquefazione (2)'!$AR$4:$AR$51</c:f>
              <c:numCache>
                <c:formatCode>General</c:formatCode>
                <c:ptCount val="48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3.6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3.6</c:v>
                </c:pt>
                <c:pt idx="22">
                  <c:v>3.6</c:v>
                </c:pt>
                <c:pt idx="23">
                  <c:v>3.6</c:v>
                </c:pt>
                <c:pt idx="24">
                  <c:v>3.6</c:v>
                </c:pt>
                <c:pt idx="25">
                  <c:v>3.6</c:v>
                </c:pt>
                <c:pt idx="26">
                  <c:v>3.6</c:v>
                </c:pt>
                <c:pt idx="27">
                  <c:v>3.6</c:v>
                </c:pt>
                <c:pt idx="28">
                  <c:v>3.6</c:v>
                </c:pt>
                <c:pt idx="29">
                  <c:v>3.6</c:v>
                </c:pt>
                <c:pt idx="30">
                  <c:v>3.6</c:v>
                </c:pt>
                <c:pt idx="31">
                  <c:v>3.6</c:v>
                </c:pt>
                <c:pt idx="32">
                  <c:v>3.6</c:v>
                </c:pt>
                <c:pt idx="33">
                  <c:v>3.6</c:v>
                </c:pt>
                <c:pt idx="34">
                  <c:v>3.6</c:v>
                </c:pt>
                <c:pt idx="35">
                  <c:v>3.6</c:v>
                </c:pt>
                <c:pt idx="36">
                  <c:v>3.6</c:v>
                </c:pt>
                <c:pt idx="37">
                  <c:v>3.6</c:v>
                </c:pt>
                <c:pt idx="38">
                  <c:v>3.6</c:v>
                </c:pt>
                <c:pt idx="39">
                  <c:v>3.6</c:v>
                </c:pt>
                <c:pt idx="40">
                  <c:v>3.6</c:v>
                </c:pt>
                <c:pt idx="41">
                  <c:v>3.6</c:v>
                </c:pt>
                <c:pt idx="42">
                  <c:v>3.6</c:v>
                </c:pt>
                <c:pt idx="43">
                  <c:v>3.6</c:v>
                </c:pt>
                <c:pt idx="44">
                  <c:v>3.6</c:v>
                </c:pt>
                <c:pt idx="45">
                  <c:v>3.6</c:v>
                </c:pt>
                <c:pt idx="46">
                  <c:v>3.6</c:v>
                </c:pt>
                <c:pt idx="47">
                  <c:v>3.6</c:v>
                </c:pt>
              </c:numCache>
            </c:numRef>
          </c:xVal>
          <c:yVal>
            <c:numRef>
              <c:f>'verifica a liquefazione (2)'!$AM$4:$AM$51</c:f>
              <c:numCache>
                <c:formatCode>General</c:formatCode>
                <c:ptCount val="48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</c:v>
                </c:pt>
                <c:pt idx="5">
                  <c:v>-1.2</c:v>
                </c:pt>
                <c:pt idx="6">
                  <c:v>-1.4</c:v>
                </c:pt>
                <c:pt idx="7">
                  <c:v>-1.6</c:v>
                </c:pt>
                <c:pt idx="8">
                  <c:v>-1.8</c:v>
                </c:pt>
                <c:pt idx="9">
                  <c:v>-2</c:v>
                </c:pt>
                <c:pt idx="10">
                  <c:v>-2.2000000000000002</c:v>
                </c:pt>
                <c:pt idx="11">
                  <c:v>-2.4</c:v>
                </c:pt>
                <c:pt idx="12">
                  <c:v>-2.6</c:v>
                </c:pt>
                <c:pt idx="13">
                  <c:v>-2.8</c:v>
                </c:pt>
                <c:pt idx="14">
                  <c:v>-3</c:v>
                </c:pt>
                <c:pt idx="15">
                  <c:v>-3.2</c:v>
                </c:pt>
                <c:pt idx="16">
                  <c:v>-3.4</c:v>
                </c:pt>
                <c:pt idx="17">
                  <c:v>-3.6</c:v>
                </c:pt>
                <c:pt idx="18">
                  <c:v>-3.8</c:v>
                </c:pt>
                <c:pt idx="19">
                  <c:v>-4</c:v>
                </c:pt>
                <c:pt idx="20">
                  <c:v>-4.2</c:v>
                </c:pt>
                <c:pt idx="21">
                  <c:v>-4.4000000000000004</c:v>
                </c:pt>
                <c:pt idx="22">
                  <c:v>-4.5999999999999996</c:v>
                </c:pt>
                <c:pt idx="23">
                  <c:v>-4.8</c:v>
                </c:pt>
                <c:pt idx="24">
                  <c:v>-5</c:v>
                </c:pt>
                <c:pt idx="25">
                  <c:v>-5.2</c:v>
                </c:pt>
                <c:pt idx="26">
                  <c:v>-5.4</c:v>
                </c:pt>
                <c:pt idx="27">
                  <c:v>-5.6</c:v>
                </c:pt>
                <c:pt idx="28">
                  <c:v>-5.8</c:v>
                </c:pt>
                <c:pt idx="29">
                  <c:v>-6</c:v>
                </c:pt>
                <c:pt idx="30">
                  <c:v>-6.2</c:v>
                </c:pt>
                <c:pt idx="31">
                  <c:v>-6.4</c:v>
                </c:pt>
                <c:pt idx="32">
                  <c:v>-6.6</c:v>
                </c:pt>
                <c:pt idx="33">
                  <c:v>-6.8</c:v>
                </c:pt>
                <c:pt idx="34">
                  <c:v>-7</c:v>
                </c:pt>
                <c:pt idx="35">
                  <c:v>-7.2</c:v>
                </c:pt>
                <c:pt idx="36">
                  <c:v>-7.4</c:v>
                </c:pt>
                <c:pt idx="37">
                  <c:v>-7.6</c:v>
                </c:pt>
                <c:pt idx="38">
                  <c:v>-7.8</c:v>
                </c:pt>
                <c:pt idx="39">
                  <c:v>-8</c:v>
                </c:pt>
                <c:pt idx="40">
                  <c:v>-8.1999999999999993</c:v>
                </c:pt>
                <c:pt idx="41">
                  <c:v>-8.4</c:v>
                </c:pt>
                <c:pt idx="42">
                  <c:v>-8.6</c:v>
                </c:pt>
                <c:pt idx="43">
                  <c:v>-8.8000000000000007</c:v>
                </c:pt>
                <c:pt idx="44">
                  <c:v>-9</c:v>
                </c:pt>
                <c:pt idx="45">
                  <c:v>-9.1999999999999993</c:v>
                </c:pt>
                <c:pt idx="46">
                  <c:v>-9.4</c:v>
                </c:pt>
                <c:pt idx="47">
                  <c:v>-9.6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F0-48FA-9565-D299BB64E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223984"/>
        <c:axId val="109881830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FS=1,25</c:v>
                </c:tx>
                <c:spPr>
                  <a:ln w="25400" cap="flat" cmpd="dbl" algn="ctr">
                    <a:solidFill>
                      <a:schemeClr val="accent1">
                        <a:alpha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'verifica a liquefazione (2)'!$AL$4:$AL$51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1.25</c:v>
                      </c:pt>
                      <c:pt idx="1">
                        <c:v>1.25</c:v>
                      </c:pt>
                      <c:pt idx="2">
                        <c:v>1.25</c:v>
                      </c:pt>
                      <c:pt idx="3">
                        <c:v>1.25</c:v>
                      </c:pt>
                      <c:pt idx="4">
                        <c:v>1.25</c:v>
                      </c:pt>
                      <c:pt idx="5">
                        <c:v>1.25</c:v>
                      </c:pt>
                      <c:pt idx="6">
                        <c:v>1.25</c:v>
                      </c:pt>
                      <c:pt idx="7">
                        <c:v>1.25</c:v>
                      </c:pt>
                      <c:pt idx="8">
                        <c:v>1.25</c:v>
                      </c:pt>
                      <c:pt idx="9">
                        <c:v>1.25</c:v>
                      </c:pt>
                      <c:pt idx="10">
                        <c:v>1.25</c:v>
                      </c:pt>
                      <c:pt idx="11">
                        <c:v>1.25</c:v>
                      </c:pt>
                      <c:pt idx="12">
                        <c:v>1.25</c:v>
                      </c:pt>
                      <c:pt idx="13">
                        <c:v>1.25</c:v>
                      </c:pt>
                      <c:pt idx="14">
                        <c:v>1.25</c:v>
                      </c:pt>
                      <c:pt idx="15">
                        <c:v>1.25</c:v>
                      </c:pt>
                      <c:pt idx="16">
                        <c:v>1.25</c:v>
                      </c:pt>
                      <c:pt idx="17">
                        <c:v>1.25</c:v>
                      </c:pt>
                      <c:pt idx="18">
                        <c:v>1.25</c:v>
                      </c:pt>
                      <c:pt idx="19">
                        <c:v>1.25</c:v>
                      </c:pt>
                      <c:pt idx="20">
                        <c:v>1.25</c:v>
                      </c:pt>
                      <c:pt idx="21">
                        <c:v>1.25</c:v>
                      </c:pt>
                      <c:pt idx="22">
                        <c:v>1.25</c:v>
                      </c:pt>
                      <c:pt idx="23">
                        <c:v>1.25</c:v>
                      </c:pt>
                      <c:pt idx="24">
                        <c:v>1.25</c:v>
                      </c:pt>
                      <c:pt idx="25">
                        <c:v>1.25</c:v>
                      </c:pt>
                      <c:pt idx="26">
                        <c:v>1.25</c:v>
                      </c:pt>
                      <c:pt idx="27">
                        <c:v>1.25</c:v>
                      </c:pt>
                      <c:pt idx="28">
                        <c:v>1.25</c:v>
                      </c:pt>
                      <c:pt idx="29">
                        <c:v>1.25</c:v>
                      </c:pt>
                      <c:pt idx="30">
                        <c:v>1.25</c:v>
                      </c:pt>
                      <c:pt idx="31">
                        <c:v>1.25</c:v>
                      </c:pt>
                      <c:pt idx="32">
                        <c:v>1.25</c:v>
                      </c:pt>
                      <c:pt idx="33">
                        <c:v>1.25</c:v>
                      </c:pt>
                      <c:pt idx="34">
                        <c:v>1.25</c:v>
                      </c:pt>
                      <c:pt idx="35">
                        <c:v>1.25</c:v>
                      </c:pt>
                      <c:pt idx="36">
                        <c:v>1.25</c:v>
                      </c:pt>
                      <c:pt idx="37">
                        <c:v>1.25</c:v>
                      </c:pt>
                      <c:pt idx="38">
                        <c:v>1.25</c:v>
                      </c:pt>
                      <c:pt idx="39">
                        <c:v>1.25</c:v>
                      </c:pt>
                      <c:pt idx="40">
                        <c:v>1.25</c:v>
                      </c:pt>
                      <c:pt idx="41">
                        <c:v>1.25</c:v>
                      </c:pt>
                      <c:pt idx="42">
                        <c:v>1.25</c:v>
                      </c:pt>
                      <c:pt idx="43">
                        <c:v>1.25</c:v>
                      </c:pt>
                      <c:pt idx="44">
                        <c:v>1.25</c:v>
                      </c:pt>
                      <c:pt idx="45">
                        <c:v>1.25</c:v>
                      </c:pt>
                      <c:pt idx="46">
                        <c:v>1.25</c:v>
                      </c:pt>
                      <c:pt idx="47">
                        <c:v>1.25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'verifica a liquefazione (2)'!$AM$4:$AM$51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-0.2</c:v>
                      </c:pt>
                      <c:pt idx="1">
                        <c:v>-0.4</c:v>
                      </c:pt>
                      <c:pt idx="2">
                        <c:v>-0.6</c:v>
                      </c:pt>
                      <c:pt idx="3">
                        <c:v>-0.8</c:v>
                      </c:pt>
                      <c:pt idx="4">
                        <c:v>-1</c:v>
                      </c:pt>
                      <c:pt idx="5">
                        <c:v>-1.2</c:v>
                      </c:pt>
                      <c:pt idx="6">
                        <c:v>-1.4</c:v>
                      </c:pt>
                      <c:pt idx="7">
                        <c:v>-1.6</c:v>
                      </c:pt>
                      <c:pt idx="8">
                        <c:v>-1.8</c:v>
                      </c:pt>
                      <c:pt idx="9">
                        <c:v>-2</c:v>
                      </c:pt>
                      <c:pt idx="10">
                        <c:v>-2.2000000000000002</c:v>
                      </c:pt>
                      <c:pt idx="11">
                        <c:v>-2.4</c:v>
                      </c:pt>
                      <c:pt idx="12">
                        <c:v>-2.6</c:v>
                      </c:pt>
                      <c:pt idx="13">
                        <c:v>-2.8</c:v>
                      </c:pt>
                      <c:pt idx="14">
                        <c:v>-3</c:v>
                      </c:pt>
                      <c:pt idx="15">
                        <c:v>-3.2</c:v>
                      </c:pt>
                      <c:pt idx="16">
                        <c:v>-3.4</c:v>
                      </c:pt>
                      <c:pt idx="17">
                        <c:v>-3.6</c:v>
                      </c:pt>
                      <c:pt idx="18">
                        <c:v>-3.8</c:v>
                      </c:pt>
                      <c:pt idx="19">
                        <c:v>-4</c:v>
                      </c:pt>
                      <c:pt idx="20">
                        <c:v>-4.2</c:v>
                      </c:pt>
                      <c:pt idx="21">
                        <c:v>-4.4000000000000004</c:v>
                      </c:pt>
                      <c:pt idx="22">
                        <c:v>-4.5999999999999996</c:v>
                      </c:pt>
                      <c:pt idx="23">
                        <c:v>-4.8</c:v>
                      </c:pt>
                      <c:pt idx="24">
                        <c:v>-5</c:v>
                      </c:pt>
                      <c:pt idx="25">
                        <c:v>-5.2</c:v>
                      </c:pt>
                      <c:pt idx="26">
                        <c:v>-5.4</c:v>
                      </c:pt>
                      <c:pt idx="27">
                        <c:v>-5.6</c:v>
                      </c:pt>
                      <c:pt idx="28">
                        <c:v>-5.8</c:v>
                      </c:pt>
                      <c:pt idx="29">
                        <c:v>-6</c:v>
                      </c:pt>
                      <c:pt idx="30">
                        <c:v>-6.2</c:v>
                      </c:pt>
                      <c:pt idx="31">
                        <c:v>-6.4</c:v>
                      </c:pt>
                      <c:pt idx="32">
                        <c:v>-6.6</c:v>
                      </c:pt>
                      <c:pt idx="33">
                        <c:v>-6.8</c:v>
                      </c:pt>
                      <c:pt idx="34">
                        <c:v>-7</c:v>
                      </c:pt>
                      <c:pt idx="35">
                        <c:v>-7.2</c:v>
                      </c:pt>
                      <c:pt idx="36">
                        <c:v>-7.4</c:v>
                      </c:pt>
                      <c:pt idx="37">
                        <c:v>-7.6</c:v>
                      </c:pt>
                      <c:pt idx="38">
                        <c:v>-7.8</c:v>
                      </c:pt>
                      <c:pt idx="39">
                        <c:v>-8</c:v>
                      </c:pt>
                      <c:pt idx="40">
                        <c:v>-8.1999999999999993</c:v>
                      </c:pt>
                      <c:pt idx="41">
                        <c:v>-8.4</c:v>
                      </c:pt>
                      <c:pt idx="42">
                        <c:v>-8.6</c:v>
                      </c:pt>
                      <c:pt idx="43">
                        <c:v>-8.8000000000000007</c:v>
                      </c:pt>
                      <c:pt idx="44">
                        <c:v>-9</c:v>
                      </c:pt>
                      <c:pt idx="45">
                        <c:v>-9.1999999999999993</c:v>
                      </c:pt>
                      <c:pt idx="46">
                        <c:v>-9.4</c:v>
                      </c:pt>
                      <c:pt idx="47">
                        <c:v>-9.6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2F3-4901-8C39-77132CB9644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FS</c:v>
                </c:tx>
                <c:spPr>
                  <a:ln w="25400" cap="flat" cmpd="dbl" algn="ctr">
                    <a:solidFill>
                      <a:schemeClr val="accent2">
                        <a:alpha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'verifica a liquefazione (2)'!$AG$4:$AG$51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48"/>
                      <c:pt idx="2">
                        <c:v>5.3927452584531981</c:v>
                      </c:pt>
                      <c:pt idx="3">
                        <c:v>5.0369977064778437</c:v>
                      </c:pt>
                      <c:pt idx="4">
                        <c:v>3.1831859212858906</c:v>
                      </c:pt>
                      <c:pt idx="5">
                        <c:v>3.6171794831015593</c:v>
                      </c:pt>
                      <c:pt idx="6">
                        <c:v>2.2832962597792661</c:v>
                      </c:pt>
                      <c:pt idx="7">
                        <c:v>1.4631391557187441</c:v>
                      </c:pt>
                      <c:pt idx="8">
                        <c:v>0.99381532797600824</c:v>
                      </c:pt>
                      <c:pt idx="9">
                        <c:v>0.46527235409521289</c:v>
                      </c:pt>
                      <c:pt idx="10">
                        <c:v>0.51509667002502724</c:v>
                      </c:pt>
                      <c:pt idx="11">
                        <c:v>0.44115203014143051</c:v>
                      </c:pt>
                      <c:pt idx="12">
                        <c:v>1.1804793087245062</c:v>
                      </c:pt>
                      <c:pt idx="13">
                        <c:v>2.6861993718636077</c:v>
                      </c:pt>
                      <c:pt idx="14">
                        <c:v>2.3914717066385189</c:v>
                      </c:pt>
                      <c:pt idx="15">
                        <c:v>1.0507218400674114</c:v>
                      </c:pt>
                      <c:pt idx="16">
                        <c:v>3.8120964921198892</c:v>
                      </c:pt>
                      <c:pt idx="17">
                        <c:v>1.7222740160181367</c:v>
                      </c:pt>
                      <c:pt idx="18">
                        <c:v>1.5786820278789846</c:v>
                      </c:pt>
                      <c:pt idx="19">
                        <c:v>1.596172048018025</c:v>
                      </c:pt>
                      <c:pt idx="20">
                        <c:v>1.2578282668940561</c:v>
                      </c:pt>
                      <c:pt idx="21">
                        <c:v>1.0200177352854043</c:v>
                      </c:pt>
                      <c:pt idx="22">
                        <c:v>0.97887628461402565</c:v>
                      </c:pt>
                      <c:pt idx="23">
                        <c:v>1.0601573464608909</c:v>
                      </c:pt>
                      <c:pt idx="24">
                        <c:v>2.0350187303066392</c:v>
                      </c:pt>
                      <c:pt idx="25">
                        <c:v>0.95582616891712113</c:v>
                      </c:pt>
                      <c:pt idx="26">
                        <c:v>1.1133623923186797</c:v>
                      </c:pt>
                      <c:pt idx="27">
                        <c:v>1.3638240449200516</c:v>
                      </c:pt>
                      <c:pt idx="28">
                        <c:v>0.76799426083739442</c:v>
                      </c:pt>
                      <c:pt idx="29">
                        <c:v>0.81967721491239964</c:v>
                      </c:pt>
                      <c:pt idx="30">
                        <c:v>1.3004296473311194</c:v>
                      </c:pt>
                      <c:pt idx="31">
                        <c:v>0.89403933694518323</c:v>
                      </c:pt>
                      <c:pt idx="32">
                        <c:v>0.91474482305582339</c:v>
                      </c:pt>
                      <c:pt idx="33">
                        <c:v>0.62614378737148091</c:v>
                      </c:pt>
                      <c:pt idx="34">
                        <c:v>1.2860607733207365</c:v>
                      </c:pt>
                      <c:pt idx="35">
                        <c:v>0.85470404180895931</c:v>
                      </c:pt>
                      <c:pt idx="36">
                        <c:v>0.9505297737412215</c:v>
                      </c:pt>
                      <c:pt idx="37">
                        <c:v>0.7606878114967156</c:v>
                      </c:pt>
                      <c:pt idx="38">
                        <c:v>1.3473935573862943</c:v>
                      </c:pt>
                      <c:pt idx="39">
                        <c:v>0.66564055460985139</c:v>
                      </c:pt>
                      <c:pt idx="40">
                        <c:v>1.0401519885499533</c:v>
                      </c:pt>
                      <c:pt idx="41">
                        <c:v>1.3526021658673775</c:v>
                      </c:pt>
                      <c:pt idx="42">
                        <c:v>1.1132064857110433</c:v>
                      </c:pt>
                      <c:pt idx="43">
                        <c:v>1.2334720143819784</c:v>
                      </c:pt>
                      <c:pt idx="44">
                        <c:v>1.3966143268717135</c:v>
                      </c:pt>
                      <c:pt idx="45">
                        <c:v>1.2875757056206927</c:v>
                      </c:pt>
                      <c:pt idx="46">
                        <c:v>1.4288246925242547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'verifica a liquefazione (2)'!$AM$4:$AM$51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-0.2</c:v>
                      </c:pt>
                      <c:pt idx="1">
                        <c:v>-0.4</c:v>
                      </c:pt>
                      <c:pt idx="2">
                        <c:v>-0.6</c:v>
                      </c:pt>
                      <c:pt idx="3">
                        <c:v>-0.8</c:v>
                      </c:pt>
                      <c:pt idx="4">
                        <c:v>-1</c:v>
                      </c:pt>
                      <c:pt idx="5">
                        <c:v>-1.2</c:v>
                      </c:pt>
                      <c:pt idx="6">
                        <c:v>-1.4</c:v>
                      </c:pt>
                      <c:pt idx="7">
                        <c:v>-1.6</c:v>
                      </c:pt>
                      <c:pt idx="8">
                        <c:v>-1.8</c:v>
                      </c:pt>
                      <c:pt idx="9">
                        <c:v>-2</c:v>
                      </c:pt>
                      <c:pt idx="10">
                        <c:v>-2.2000000000000002</c:v>
                      </c:pt>
                      <c:pt idx="11">
                        <c:v>-2.4</c:v>
                      </c:pt>
                      <c:pt idx="12">
                        <c:v>-2.6</c:v>
                      </c:pt>
                      <c:pt idx="13">
                        <c:v>-2.8</c:v>
                      </c:pt>
                      <c:pt idx="14">
                        <c:v>-3</c:v>
                      </c:pt>
                      <c:pt idx="15">
                        <c:v>-3.2</c:v>
                      </c:pt>
                      <c:pt idx="16">
                        <c:v>-3.4</c:v>
                      </c:pt>
                      <c:pt idx="17">
                        <c:v>-3.6</c:v>
                      </c:pt>
                      <c:pt idx="18">
                        <c:v>-3.8</c:v>
                      </c:pt>
                      <c:pt idx="19">
                        <c:v>-4</c:v>
                      </c:pt>
                      <c:pt idx="20">
                        <c:v>-4.2</c:v>
                      </c:pt>
                      <c:pt idx="21">
                        <c:v>-4.4000000000000004</c:v>
                      </c:pt>
                      <c:pt idx="22">
                        <c:v>-4.5999999999999996</c:v>
                      </c:pt>
                      <c:pt idx="23">
                        <c:v>-4.8</c:v>
                      </c:pt>
                      <c:pt idx="24">
                        <c:v>-5</c:v>
                      </c:pt>
                      <c:pt idx="25">
                        <c:v>-5.2</c:v>
                      </c:pt>
                      <c:pt idx="26">
                        <c:v>-5.4</c:v>
                      </c:pt>
                      <c:pt idx="27">
                        <c:v>-5.6</c:v>
                      </c:pt>
                      <c:pt idx="28">
                        <c:v>-5.8</c:v>
                      </c:pt>
                      <c:pt idx="29">
                        <c:v>-6</c:v>
                      </c:pt>
                      <c:pt idx="30">
                        <c:v>-6.2</c:v>
                      </c:pt>
                      <c:pt idx="31">
                        <c:v>-6.4</c:v>
                      </c:pt>
                      <c:pt idx="32">
                        <c:v>-6.6</c:v>
                      </c:pt>
                      <c:pt idx="33">
                        <c:v>-6.8</c:v>
                      </c:pt>
                      <c:pt idx="34">
                        <c:v>-7</c:v>
                      </c:pt>
                      <c:pt idx="35">
                        <c:v>-7.2</c:v>
                      </c:pt>
                      <c:pt idx="36">
                        <c:v>-7.4</c:v>
                      </c:pt>
                      <c:pt idx="37">
                        <c:v>-7.6</c:v>
                      </c:pt>
                      <c:pt idx="38">
                        <c:v>-7.8</c:v>
                      </c:pt>
                      <c:pt idx="39">
                        <c:v>-8</c:v>
                      </c:pt>
                      <c:pt idx="40">
                        <c:v>-8.1999999999999993</c:v>
                      </c:pt>
                      <c:pt idx="41">
                        <c:v>-8.4</c:v>
                      </c:pt>
                      <c:pt idx="42">
                        <c:v>-8.6</c:v>
                      </c:pt>
                      <c:pt idx="43">
                        <c:v>-8.8000000000000007</c:v>
                      </c:pt>
                      <c:pt idx="44">
                        <c:v>-9</c:v>
                      </c:pt>
                      <c:pt idx="45">
                        <c:v>-9.1999999999999993</c:v>
                      </c:pt>
                      <c:pt idx="46">
                        <c:v>-9.4</c:v>
                      </c:pt>
                      <c:pt idx="47">
                        <c:v>-9.6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2F3-4901-8C39-77132CB9644B}"/>
                  </c:ext>
                </c:extLst>
              </c15:ser>
            </c15:filteredScatterSeries>
          </c:ext>
        </c:extLst>
      </c:scatterChart>
      <c:valAx>
        <c:axId val="1017223984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818304"/>
        <c:crosses val="autoZero"/>
        <c:crossBetween val="midCat"/>
      </c:valAx>
      <c:valAx>
        <c:axId val="1098818304"/>
        <c:scaling>
          <c:orientation val="minMax"/>
          <c:max val="0"/>
          <c:min val="-9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z [m]</a:t>
                </a:r>
              </a:p>
            </c:rich>
          </c:tx>
          <c:layout>
            <c:manualLayout>
              <c:xMode val="edge"/>
              <c:yMode val="edge"/>
              <c:x val="3.2376749109256997E-3"/>
              <c:y val="0.380502820612817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722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iff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tif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908765" y="550210"/>
    <xdr:ext cx="1335659" cy="2217644"/>
    <xdr:pic>
      <xdr:nvPicPr>
        <xdr:cNvPr id="2" name="Immagine 1">
          <a:extLst>
            <a:ext uri="{FF2B5EF4-FFF2-40B4-BE49-F238E27FC236}">
              <a16:creationId xmlns:a16="http://schemas.microsoft.com/office/drawing/2014/main" id="{801E8EA5-AE1F-4164-8229-24EE00693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 l="23063" t="1207" r="25307" b="2993"/>
        <a:stretch>
          <a:fillRect/>
        </a:stretch>
      </xdr:blipFill>
      <xdr:spPr>
        <a:xfrm>
          <a:off x="908765" y="550210"/>
          <a:ext cx="1335659" cy="2217644"/>
        </a:xfrm>
        <a:prstGeom prst="rect">
          <a:avLst/>
        </a:prstGeom>
        <a:noFill/>
        <a:ln w="35999" cap="flat">
          <a:solidFill>
            <a:srgbClr val="000000"/>
          </a:solidFill>
          <a:prstDash val="solid"/>
          <a:miter/>
        </a:ln>
      </xdr:spPr>
    </xdr:pic>
    <xdr:clientData/>
  </xdr:absoluteAnchor>
  <xdr:absoluteAnchor>
    <xdr:pos x="5437093" y="461211"/>
    <xdr:ext cx="1743075" cy="2172171"/>
    <xdr:pic>
      <xdr:nvPicPr>
        <xdr:cNvPr id="3" name="Immagine 6">
          <a:extLst>
            <a:ext uri="{FF2B5EF4-FFF2-40B4-BE49-F238E27FC236}">
              <a16:creationId xmlns:a16="http://schemas.microsoft.com/office/drawing/2014/main" id="{DD8F9E77-8645-4155-813B-BE8584A51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 l="17904" t="664" r="23441" b="3241"/>
        <a:stretch>
          <a:fillRect/>
        </a:stretch>
      </xdr:blipFill>
      <xdr:spPr>
        <a:xfrm>
          <a:off x="5437093" y="461211"/>
          <a:ext cx="1743075" cy="2172171"/>
        </a:xfrm>
        <a:prstGeom prst="rect">
          <a:avLst/>
        </a:prstGeom>
        <a:noFill/>
        <a:ln w="35999" cap="flat">
          <a:solidFill>
            <a:srgbClr val="000000"/>
          </a:solidFill>
          <a:prstDash val="solid"/>
          <a:miter/>
        </a:ln>
      </xdr:spPr>
    </xdr:pic>
    <xdr:clientData/>
  </xdr:absoluteAnchor>
  <xdr:twoCellAnchor editAs="oneCell">
    <xdr:from>
      <xdr:col>8</xdr:col>
      <xdr:colOff>108697</xdr:colOff>
      <xdr:row>36</xdr:row>
      <xdr:rowOff>156882</xdr:rowOff>
    </xdr:from>
    <xdr:to>
      <xdr:col>12</xdr:col>
      <xdr:colOff>356907</xdr:colOff>
      <xdr:row>49</xdr:row>
      <xdr:rowOff>147357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EE940584-C786-4091-B2E8-5C042ABC6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8668" y="8135470"/>
          <a:ext cx="3957357" cy="24893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409575</xdr:colOff>
      <xdr:row>15</xdr:row>
      <xdr:rowOff>38101</xdr:rowOff>
    </xdr:from>
    <xdr:to>
      <xdr:col>17</xdr:col>
      <xdr:colOff>285750</xdr:colOff>
      <xdr:row>16</xdr:row>
      <xdr:rowOff>133351</xdr:rowOff>
    </xdr:to>
    <xdr:sp macro="" textlink="">
      <xdr:nvSpPr>
        <xdr:cNvPr id="2" name="Fumetto: rettangolo 1">
          <a:extLst>
            <a:ext uri="{FF2B5EF4-FFF2-40B4-BE49-F238E27FC236}">
              <a16:creationId xmlns:a16="http://schemas.microsoft.com/office/drawing/2014/main" id="{D05BBD11-D403-429D-81BA-05E832900E0E}"/>
            </a:ext>
          </a:extLst>
        </xdr:cNvPr>
        <xdr:cNvSpPr/>
      </xdr:nvSpPr>
      <xdr:spPr>
        <a:xfrm>
          <a:off x="10972800" y="2962276"/>
          <a:ext cx="1704975" cy="295275"/>
        </a:xfrm>
        <a:prstGeom prst="wedgeRectCallout">
          <a:avLst>
            <a:gd name="adj1" fmla="val -75010"/>
            <a:gd name="adj2" fmla="val -1423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moltiplicato per 0,8 se</a:t>
          </a:r>
          <a:r>
            <a:rPr lang="it-IT" sz="1100" baseline="0"/>
            <a:t> si</a:t>
          </a:r>
          <a:r>
            <a:rPr lang="it-IT" sz="1100"/>
            <a:t> ipotizza siano aperte</a:t>
          </a:r>
        </a:p>
        <a:p>
          <a:pPr algn="l"/>
          <a:endParaRPr lang="it-IT" sz="1100"/>
        </a:p>
      </xdr:txBody>
    </xdr:sp>
    <xdr:clientData/>
  </xdr:twoCellAnchor>
  <xdr:twoCellAnchor editAs="oneCell">
    <xdr:from>
      <xdr:col>7</xdr:col>
      <xdr:colOff>152400</xdr:colOff>
      <xdr:row>50</xdr:row>
      <xdr:rowOff>171450</xdr:rowOff>
    </xdr:from>
    <xdr:to>
      <xdr:col>14</xdr:col>
      <xdr:colOff>581025</xdr:colOff>
      <xdr:row>63</xdr:row>
      <xdr:rowOff>180975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A87C3E13-C904-45B4-BC40-53691900B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3675" y="9801225"/>
          <a:ext cx="4686300" cy="25717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8</xdr:col>
      <xdr:colOff>1336885</xdr:colOff>
      <xdr:row>31</xdr:row>
      <xdr:rowOff>114301</xdr:rowOff>
    </xdr:from>
    <xdr:to>
      <xdr:col>14</xdr:col>
      <xdr:colOff>133351</xdr:colOff>
      <xdr:row>42</xdr:row>
      <xdr:rowOff>76202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B4C1FCF0-49F0-4D0A-A441-612AA22C0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2010" y="6076951"/>
          <a:ext cx="3292266" cy="2085976"/>
        </a:xfrm>
        <a:prstGeom prst="rect">
          <a:avLst/>
        </a:prstGeom>
        <a:ln w="9525" cap="sq" cmpd="thickThin">
          <a:solidFill>
            <a:schemeClr val="accent1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4</xdr:col>
      <xdr:colOff>47625</xdr:colOff>
      <xdr:row>47</xdr:row>
      <xdr:rowOff>95250</xdr:rowOff>
    </xdr:from>
    <xdr:to>
      <xdr:col>4</xdr:col>
      <xdr:colOff>895350</xdr:colOff>
      <xdr:row>47</xdr:row>
      <xdr:rowOff>142875</xdr:rowOff>
    </xdr:to>
    <xdr:sp macro="" textlink="">
      <xdr:nvSpPr>
        <xdr:cNvPr id="7" name="Freccia a destra 6">
          <a:extLst>
            <a:ext uri="{FF2B5EF4-FFF2-40B4-BE49-F238E27FC236}">
              <a16:creationId xmlns:a16="http://schemas.microsoft.com/office/drawing/2014/main" id="{D73F08F8-4952-40C4-9433-2C6AD53C482C}"/>
            </a:ext>
          </a:extLst>
        </xdr:cNvPr>
        <xdr:cNvSpPr/>
      </xdr:nvSpPr>
      <xdr:spPr>
        <a:xfrm>
          <a:off x="3981450" y="9134475"/>
          <a:ext cx="847725" cy="47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790575</xdr:colOff>
      <xdr:row>67</xdr:row>
      <xdr:rowOff>104775</xdr:rowOff>
    </xdr:from>
    <xdr:to>
      <xdr:col>5</xdr:col>
      <xdr:colOff>161925</xdr:colOff>
      <xdr:row>72</xdr:row>
      <xdr:rowOff>142875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46A29465-DDCB-4401-9D38-ED14DB8E00C1}"/>
            </a:ext>
          </a:extLst>
        </xdr:cNvPr>
        <xdr:cNvSpPr/>
      </xdr:nvSpPr>
      <xdr:spPr>
        <a:xfrm>
          <a:off x="2638425" y="13134975"/>
          <a:ext cx="1876425" cy="990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PRENDO LE FORZE MAGGIORI, QUINDI IN QUESTO CASO UTILIZZERO SIA IN DIREZIONE X</a:t>
          </a:r>
          <a:r>
            <a:rPr lang="it-IT" sz="1100" baseline="0"/>
            <a:t> CHE IN DIREZIONE Y LE FORZE: F1x &amp; F2x</a:t>
          </a:r>
          <a:endParaRPr lang="it-IT" sz="1100"/>
        </a:p>
      </xdr:txBody>
    </xdr:sp>
    <xdr:clientData/>
  </xdr:twoCellAnchor>
  <xdr:twoCellAnchor>
    <xdr:from>
      <xdr:col>2</xdr:col>
      <xdr:colOff>638175</xdr:colOff>
      <xdr:row>25</xdr:row>
      <xdr:rowOff>85726</xdr:rowOff>
    </xdr:from>
    <xdr:to>
      <xdr:col>4</xdr:col>
      <xdr:colOff>495300</xdr:colOff>
      <xdr:row>27</xdr:row>
      <xdr:rowOff>1</xdr:rowOff>
    </xdr:to>
    <xdr:sp macro="" textlink="">
      <xdr:nvSpPr>
        <xdr:cNvPr id="8" name="Fumetto: rettangolo 7">
          <a:extLst>
            <a:ext uri="{FF2B5EF4-FFF2-40B4-BE49-F238E27FC236}">
              <a16:creationId xmlns:a16="http://schemas.microsoft.com/office/drawing/2014/main" id="{44CC4CB5-2378-45CB-80DA-6A3C9B0B5A1B}"/>
            </a:ext>
          </a:extLst>
        </xdr:cNvPr>
        <xdr:cNvSpPr/>
      </xdr:nvSpPr>
      <xdr:spPr>
        <a:xfrm>
          <a:off x="2247900" y="4943476"/>
          <a:ext cx="2362200" cy="295275"/>
        </a:xfrm>
        <a:prstGeom prst="wedgeRectCallout">
          <a:avLst>
            <a:gd name="adj1" fmla="val -75010"/>
            <a:gd name="adj2" fmla="val -1423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moltiplicato per 0,8 se</a:t>
          </a:r>
          <a:r>
            <a:rPr lang="it-IT" sz="1100" baseline="0"/>
            <a:t> si</a:t>
          </a:r>
          <a:r>
            <a:rPr lang="it-IT" sz="1100"/>
            <a:t> ipotizza siano aperte</a:t>
          </a:r>
        </a:p>
        <a:p>
          <a:pPr algn="l"/>
          <a:endParaRPr lang="it-I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23813</xdr:colOff>
      <xdr:row>3</xdr:row>
      <xdr:rowOff>258536</xdr:rowOff>
    </xdr:from>
    <xdr:to>
      <xdr:col>43</xdr:col>
      <xdr:colOff>214313</xdr:colOff>
      <xdr:row>39</xdr:row>
      <xdr:rowOff>326572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581D628-A0BE-4A31-9C8D-D30FFB516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23813</xdr:colOff>
      <xdr:row>3</xdr:row>
      <xdr:rowOff>285750</xdr:rowOff>
    </xdr:from>
    <xdr:to>
      <xdr:col>54</xdr:col>
      <xdr:colOff>428625</xdr:colOff>
      <xdr:row>39</xdr:row>
      <xdr:rowOff>309562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19C2611-02FF-4986-BA1E-7C65EECCE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195820</xdr:colOff>
      <xdr:row>53</xdr:row>
      <xdr:rowOff>53684</xdr:rowOff>
    </xdr:from>
    <xdr:to>
      <xdr:col>57</xdr:col>
      <xdr:colOff>310430</xdr:colOff>
      <xdr:row>83</xdr:row>
      <xdr:rowOff>82692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8B759E1-9928-4A32-8B0D-5DBBC0EC1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375802</xdr:colOff>
      <xdr:row>1</xdr:row>
      <xdr:rowOff>183571</xdr:rowOff>
    </xdr:from>
    <xdr:to>
      <xdr:col>58</xdr:col>
      <xdr:colOff>848591</xdr:colOff>
      <xdr:row>51</xdr:row>
      <xdr:rowOff>100445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2652250-5851-4BBA-87F3-831E7A751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195820</xdr:colOff>
      <xdr:row>53</xdr:row>
      <xdr:rowOff>53684</xdr:rowOff>
    </xdr:from>
    <xdr:to>
      <xdr:col>57</xdr:col>
      <xdr:colOff>310430</xdr:colOff>
      <xdr:row>83</xdr:row>
      <xdr:rowOff>82692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A5CBDAA-6A10-4EE7-88E1-592A730ED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375802</xdr:colOff>
      <xdr:row>1</xdr:row>
      <xdr:rowOff>183571</xdr:rowOff>
    </xdr:from>
    <xdr:to>
      <xdr:col>59</xdr:col>
      <xdr:colOff>450273</xdr:colOff>
      <xdr:row>51</xdr:row>
      <xdr:rowOff>100445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233C477-3B8C-405C-8291-9B62D4385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381000</xdr:colOff>
      <xdr:row>53</xdr:row>
      <xdr:rowOff>91784</xdr:rowOff>
    </xdr:from>
    <xdr:to>
      <xdr:col>57</xdr:col>
      <xdr:colOff>571500</xdr:colOff>
      <xdr:row>110</xdr:row>
      <xdr:rowOff>114300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087E4A5-E065-4B47-AA74-28E2FE334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375802</xdr:colOff>
      <xdr:row>1</xdr:row>
      <xdr:rowOff>183571</xdr:rowOff>
    </xdr:from>
    <xdr:to>
      <xdr:col>58</xdr:col>
      <xdr:colOff>848591</xdr:colOff>
      <xdr:row>51</xdr:row>
      <xdr:rowOff>100445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CA0A398-7DD1-4269-BEA7-7311361EC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76200</xdr:colOff>
      <xdr:row>53</xdr:row>
      <xdr:rowOff>38100</xdr:rowOff>
    </xdr:from>
    <xdr:to>
      <xdr:col>70</xdr:col>
      <xdr:colOff>419100</xdr:colOff>
      <xdr:row>110</xdr:row>
      <xdr:rowOff>52388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B62E13FA-B0F5-4D05-A385-E86B614A8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533401</xdr:colOff>
      <xdr:row>53</xdr:row>
      <xdr:rowOff>76200</xdr:rowOff>
    </xdr:from>
    <xdr:to>
      <xdr:col>51</xdr:col>
      <xdr:colOff>114300</xdr:colOff>
      <xdr:row>110</xdr:row>
      <xdr:rowOff>152400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B92E981-33F2-42EA-B927-7229485EC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342900</xdr:colOff>
      <xdr:row>53</xdr:row>
      <xdr:rowOff>38100</xdr:rowOff>
    </xdr:from>
    <xdr:to>
      <xdr:col>44</xdr:col>
      <xdr:colOff>342900</xdr:colOff>
      <xdr:row>110</xdr:row>
      <xdr:rowOff>76200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DA10B0BE-EDAF-403D-A9B2-77524B468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195820</xdr:colOff>
      <xdr:row>51</xdr:row>
      <xdr:rowOff>119062</xdr:rowOff>
    </xdr:from>
    <xdr:to>
      <xdr:col>49</xdr:col>
      <xdr:colOff>495300</xdr:colOff>
      <xdr:row>105</xdr:row>
      <xdr:rowOff>114300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F591888-4DCD-44C6-9E8B-9C9524953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375802</xdr:colOff>
      <xdr:row>1</xdr:row>
      <xdr:rowOff>183571</xdr:rowOff>
    </xdr:from>
    <xdr:to>
      <xdr:col>58</xdr:col>
      <xdr:colOff>848591</xdr:colOff>
      <xdr:row>51</xdr:row>
      <xdr:rowOff>100445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01580E6-76E1-43C2-81E7-A7DF9415B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1351438</xdr:colOff>
      <xdr:row>16</xdr:row>
      <xdr:rowOff>113104</xdr:rowOff>
    </xdr:from>
    <xdr:to>
      <xdr:col>13</xdr:col>
      <xdr:colOff>1685192</xdr:colOff>
      <xdr:row>16</xdr:row>
      <xdr:rowOff>117231</xdr:rowOff>
    </xdr:to>
    <xdr:cxnSp macro="">
      <xdr:nvCxnSpPr>
        <xdr:cNvPr id="3" name="Connettore 2 2">
          <a:extLst>
            <a:ext uri="{FF2B5EF4-FFF2-40B4-BE49-F238E27FC236}">
              <a16:creationId xmlns:a16="http://schemas.microsoft.com/office/drawing/2014/main" id="{91E9D287-D36C-49CE-90AC-ACD5ABE788AD}"/>
            </a:ext>
          </a:extLst>
        </xdr:cNvPr>
        <xdr:cNvCxnSpPr/>
      </xdr:nvCxnSpPr>
      <xdr:spPr>
        <a:xfrm>
          <a:off x="10576034" y="4201527"/>
          <a:ext cx="333754" cy="41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1342647</xdr:colOff>
      <xdr:row>18</xdr:row>
      <xdr:rowOff>126293</xdr:rowOff>
    </xdr:from>
    <xdr:to>
      <xdr:col>13</xdr:col>
      <xdr:colOff>1676401</xdr:colOff>
      <xdr:row>18</xdr:row>
      <xdr:rowOff>130420</xdr:rowOff>
    </xdr:to>
    <xdr:cxnSp macro="">
      <xdr:nvCxnSpPr>
        <xdr:cNvPr id="5" name="Connettore 2 4">
          <a:extLst>
            <a:ext uri="{FF2B5EF4-FFF2-40B4-BE49-F238E27FC236}">
              <a16:creationId xmlns:a16="http://schemas.microsoft.com/office/drawing/2014/main" id="{762D0BD0-A7F6-4A75-90D0-6970476ECE60}"/>
            </a:ext>
          </a:extLst>
        </xdr:cNvPr>
        <xdr:cNvCxnSpPr/>
      </xdr:nvCxnSpPr>
      <xdr:spPr>
        <a:xfrm>
          <a:off x="10567243" y="4668985"/>
          <a:ext cx="333754" cy="41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1333855</xdr:colOff>
      <xdr:row>17</xdr:row>
      <xdr:rowOff>110173</xdr:rowOff>
    </xdr:from>
    <xdr:to>
      <xdr:col>13</xdr:col>
      <xdr:colOff>1667609</xdr:colOff>
      <xdr:row>17</xdr:row>
      <xdr:rowOff>114300</xdr:rowOff>
    </xdr:to>
    <xdr:cxnSp macro="">
      <xdr:nvCxnSpPr>
        <xdr:cNvPr id="6" name="Connettore 2 5">
          <a:extLst>
            <a:ext uri="{FF2B5EF4-FFF2-40B4-BE49-F238E27FC236}">
              <a16:creationId xmlns:a16="http://schemas.microsoft.com/office/drawing/2014/main" id="{DD0E5637-E4AC-4211-99AC-10A5AD692638}"/>
            </a:ext>
          </a:extLst>
        </xdr:cNvPr>
        <xdr:cNvCxnSpPr/>
      </xdr:nvCxnSpPr>
      <xdr:spPr>
        <a:xfrm>
          <a:off x="10558451" y="4425731"/>
          <a:ext cx="333754" cy="41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186053</xdr:colOff>
      <xdr:row>61</xdr:row>
      <xdr:rowOff>0</xdr:rowOff>
    </xdr:from>
    <xdr:ext cx="7068450" cy="4727368"/>
    <xdr:pic>
      <xdr:nvPicPr>
        <xdr:cNvPr id="3" name="Immagine 2">
          <a:extLst>
            <a:ext uri="{FF2B5EF4-FFF2-40B4-BE49-F238E27FC236}">
              <a16:creationId xmlns:a16="http://schemas.microsoft.com/office/drawing/2014/main" id="{A8607374-6740-4FA4-ACDA-571BC81EE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8053" y="11766176"/>
          <a:ext cx="7068450" cy="4727368"/>
        </a:xfrm>
        <a:prstGeom prst="rect">
          <a:avLst/>
        </a:prstGeom>
      </xdr:spPr>
    </xdr:pic>
    <xdr:clientData/>
  </xdr:oneCellAnchor>
  <xdr:twoCellAnchor>
    <xdr:from>
      <xdr:col>4</xdr:col>
      <xdr:colOff>888794</xdr:colOff>
      <xdr:row>127</xdr:row>
      <xdr:rowOff>102693</xdr:rowOff>
    </xdr:from>
    <xdr:to>
      <xdr:col>10</xdr:col>
      <xdr:colOff>22411</xdr:colOff>
      <xdr:row>128</xdr:row>
      <xdr:rowOff>179293</xdr:rowOff>
    </xdr:to>
    <xdr:sp macro="" textlink="">
      <xdr:nvSpPr>
        <xdr:cNvPr id="5" name="Rettangolo 4">
          <a:extLst>
            <a:ext uri="{FF2B5EF4-FFF2-40B4-BE49-F238E27FC236}">
              <a16:creationId xmlns:a16="http://schemas.microsoft.com/office/drawing/2014/main" id="{1C447202-A366-4A4E-853E-DFABFE7711D4}"/>
            </a:ext>
          </a:extLst>
        </xdr:cNvPr>
        <xdr:cNvSpPr/>
      </xdr:nvSpPr>
      <xdr:spPr>
        <a:xfrm>
          <a:off x="4373823" y="24665987"/>
          <a:ext cx="5442529" cy="27830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Per</a:t>
          </a:r>
          <a:r>
            <a:rPr lang="it-IT" sz="1100" baseline="0"/>
            <a:t> </a:t>
          </a:r>
          <a:r>
            <a:rPr lang="it-IT" sz="1100"/>
            <a:t> inserire K in SAP</a:t>
          </a:r>
          <a:r>
            <a:rPr lang="it-IT" sz="1100" baseline="0"/>
            <a:t> </a:t>
          </a:r>
          <a:r>
            <a:rPr lang="it-IT" sz="1100"/>
            <a:t>devo dividere K [KN/m^3] per B</a:t>
          </a:r>
          <a:r>
            <a:rPr lang="it-IT" sz="1100" baseline="0"/>
            <a:t>  in modo tale da avere k in [KN/m^2]</a:t>
          </a:r>
          <a:endParaRPr lang="it-IT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274008</xdr:colOff>
      <xdr:row>4</xdr:row>
      <xdr:rowOff>144636</xdr:rowOff>
    </xdr:from>
    <xdr:ext cx="4822692" cy="3225409"/>
    <xdr:pic>
      <xdr:nvPicPr>
        <xdr:cNvPr id="3" name="Immagine 2">
          <a:extLst>
            <a:ext uri="{FF2B5EF4-FFF2-40B4-BE49-F238E27FC236}">
              <a16:creationId xmlns:a16="http://schemas.microsoft.com/office/drawing/2014/main" id="{B8236039-BF91-478B-A096-770E5D679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2408" y="11755611"/>
          <a:ext cx="4822692" cy="3225409"/>
        </a:xfrm>
        <a:prstGeom prst="rect">
          <a:avLst/>
        </a:prstGeom>
      </xdr:spPr>
    </xdr:pic>
    <xdr:clientData/>
  </xdr:oneCellAnchor>
  <xdr:twoCellAnchor>
    <xdr:from>
      <xdr:col>5</xdr:col>
      <xdr:colOff>313149</xdr:colOff>
      <xdr:row>22</xdr:row>
      <xdr:rowOff>65239</xdr:rowOff>
    </xdr:from>
    <xdr:to>
      <xdr:col>9</xdr:col>
      <xdr:colOff>143528</xdr:colOff>
      <xdr:row>24</xdr:row>
      <xdr:rowOff>0</xdr:rowOff>
    </xdr:to>
    <xdr:sp macro="" textlink="">
      <xdr:nvSpPr>
        <xdr:cNvPr id="5" name="Callout: linea piegata 4">
          <a:extLst>
            <a:ext uri="{FF2B5EF4-FFF2-40B4-BE49-F238E27FC236}">
              <a16:creationId xmlns:a16="http://schemas.microsoft.com/office/drawing/2014/main" id="{8F56EA11-B74D-4C28-92B7-3FB44886E560}"/>
            </a:ext>
          </a:extLst>
        </xdr:cNvPr>
        <xdr:cNvSpPr/>
      </xdr:nvSpPr>
      <xdr:spPr>
        <a:xfrm>
          <a:off x="3970749" y="15162364"/>
          <a:ext cx="2487854" cy="315761"/>
        </a:xfrm>
        <a:prstGeom prst="borderCallout2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da combinazione SLE quasi permanente</a:t>
          </a:r>
        </a:p>
        <a:p>
          <a:pPr algn="l"/>
          <a:endParaRPr lang="it-IT" sz="1100"/>
        </a:p>
      </xdr:txBody>
    </xdr:sp>
    <xdr:clientData/>
  </xdr:twoCellAnchor>
  <xdr:twoCellAnchor>
    <xdr:from>
      <xdr:col>6</xdr:col>
      <xdr:colOff>13049</xdr:colOff>
      <xdr:row>51</xdr:row>
      <xdr:rowOff>104384</xdr:rowOff>
    </xdr:from>
    <xdr:to>
      <xdr:col>9</xdr:col>
      <xdr:colOff>1</xdr:colOff>
      <xdr:row>51</xdr:row>
      <xdr:rowOff>104384</xdr:rowOff>
    </xdr:to>
    <xdr:cxnSp macro="">
      <xdr:nvCxnSpPr>
        <xdr:cNvPr id="4" name="Connettore 2 3">
          <a:extLst>
            <a:ext uri="{FF2B5EF4-FFF2-40B4-BE49-F238E27FC236}">
              <a16:creationId xmlns:a16="http://schemas.microsoft.com/office/drawing/2014/main" id="{25E00FDD-BF0D-471A-B704-0027E2023571}"/>
            </a:ext>
          </a:extLst>
        </xdr:cNvPr>
        <xdr:cNvCxnSpPr/>
      </xdr:nvCxnSpPr>
      <xdr:spPr>
        <a:xfrm>
          <a:off x="4756499" y="10181834"/>
          <a:ext cx="181575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104385</xdr:colOff>
      <xdr:row>52</xdr:row>
      <xdr:rowOff>13048</xdr:rowOff>
    </xdr:from>
    <xdr:to>
      <xdr:col>8</xdr:col>
      <xdr:colOff>482775</xdr:colOff>
      <xdr:row>55</xdr:row>
      <xdr:rowOff>52192</xdr:rowOff>
    </xdr:to>
    <xdr:sp macro="" textlink="">
      <xdr:nvSpPr>
        <xdr:cNvPr id="6" name="Rettangolo 5">
          <a:extLst>
            <a:ext uri="{FF2B5EF4-FFF2-40B4-BE49-F238E27FC236}">
              <a16:creationId xmlns:a16="http://schemas.microsoft.com/office/drawing/2014/main" id="{51050694-6850-4F6E-975F-56F43692DF48}"/>
            </a:ext>
          </a:extLst>
        </xdr:cNvPr>
        <xdr:cNvSpPr/>
      </xdr:nvSpPr>
      <xdr:spPr>
        <a:xfrm>
          <a:off x="4847835" y="10290523"/>
          <a:ext cx="1597590" cy="62016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Da inserire in SAP, devo dividere K [KN/m^3] per B*L</a:t>
          </a:r>
          <a:r>
            <a:rPr lang="it-IT" sz="1100" baseline="0"/>
            <a:t>  diviene cosi: [KN/m]</a:t>
          </a:r>
          <a:endParaRPr lang="it-IT" sz="1100"/>
        </a:p>
      </xdr:txBody>
    </xdr:sp>
    <xdr:clientData/>
  </xdr:twoCellAnchor>
  <xdr:twoCellAnchor>
    <xdr:from>
      <xdr:col>6</xdr:col>
      <xdr:colOff>13049</xdr:colOff>
      <xdr:row>51</xdr:row>
      <xdr:rowOff>104384</xdr:rowOff>
    </xdr:from>
    <xdr:to>
      <xdr:col>9</xdr:col>
      <xdr:colOff>1</xdr:colOff>
      <xdr:row>51</xdr:row>
      <xdr:rowOff>104384</xdr:rowOff>
    </xdr:to>
    <xdr:cxnSp macro="">
      <xdr:nvCxnSpPr>
        <xdr:cNvPr id="7" name="Connettore 2 6">
          <a:extLst>
            <a:ext uri="{FF2B5EF4-FFF2-40B4-BE49-F238E27FC236}">
              <a16:creationId xmlns:a16="http://schemas.microsoft.com/office/drawing/2014/main" id="{D8C32AEE-1308-44F0-A692-68DD8E36BC98}"/>
            </a:ext>
          </a:extLst>
        </xdr:cNvPr>
        <xdr:cNvCxnSpPr/>
      </xdr:nvCxnSpPr>
      <xdr:spPr>
        <a:xfrm>
          <a:off x="4499324" y="10181834"/>
          <a:ext cx="181575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104385</xdr:colOff>
      <xdr:row>52</xdr:row>
      <xdr:rowOff>13047</xdr:rowOff>
    </xdr:from>
    <xdr:to>
      <xdr:col>8</xdr:col>
      <xdr:colOff>534966</xdr:colOff>
      <xdr:row>55</xdr:row>
      <xdr:rowOff>117430</xdr:rowOff>
    </xdr:to>
    <xdr:sp macro="" textlink="">
      <xdr:nvSpPr>
        <xdr:cNvPr id="8" name="Rettangolo 7">
          <a:extLst>
            <a:ext uri="{FF2B5EF4-FFF2-40B4-BE49-F238E27FC236}">
              <a16:creationId xmlns:a16="http://schemas.microsoft.com/office/drawing/2014/main" id="{87313293-BFEB-43BD-9B32-3FBDB89045D8}"/>
            </a:ext>
          </a:extLst>
        </xdr:cNvPr>
        <xdr:cNvSpPr/>
      </xdr:nvSpPr>
      <xdr:spPr>
        <a:xfrm>
          <a:off x="4590660" y="10290522"/>
          <a:ext cx="1649781" cy="68540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Da inserire in SAP, devo dividere K [KN/m^3] per B</a:t>
          </a:r>
          <a:r>
            <a:rPr lang="it-IT" sz="1100" baseline="0"/>
            <a:t>  diviene cosi: [KN/m^2]</a:t>
          </a:r>
          <a:endParaRPr lang="it-IT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7681</xdr:colOff>
      <xdr:row>0</xdr:row>
      <xdr:rowOff>84495</xdr:rowOff>
    </xdr:from>
    <xdr:to>
      <xdr:col>14</xdr:col>
      <xdr:colOff>185144</xdr:colOff>
      <xdr:row>14</xdr:row>
      <xdr:rowOff>45591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0921C1D4-1219-4FE1-A990-D888CFF18E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01" t="14343" r="25794" b="45130"/>
        <a:stretch/>
      </xdr:blipFill>
      <xdr:spPr bwMode="auto">
        <a:xfrm>
          <a:off x="5092802" y="84495"/>
          <a:ext cx="4701050" cy="2734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440236</xdr:colOff>
      <xdr:row>18</xdr:row>
      <xdr:rowOff>10468</xdr:rowOff>
    </xdr:from>
    <xdr:to>
      <xdr:col>4</xdr:col>
      <xdr:colOff>501488</xdr:colOff>
      <xdr:row>42</xdr:row>
      <xdr:rowOff>94203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E121EC91-775B-466E-9459-7CF72B1526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64" t="7078" r="63445" b="60581"/>
        <a:stretch/>
      </xdr:blipFill>
      <xdr:spPr bwMode="auto">
        <a:xfrm>
          <a:off x="440236" y="3537858"/>
          <a:ext cx="3182173" cy="4657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122989</xdr:colOff>
      <xdr:row>53</xdr:row>
      <xdr:rowOff>39250</xdr:rowOff>
    </xdr:from>
    <xdr:to>
      <xdr:col>4</xdr:col>
      <xdr:colOff>377685</xdr:colOff>
      <xdr:row>66</xdr:row>
      <xdr:rowOff>125603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5B287E9A-6E3A-4589-9C80-5E648F550F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6" t="38981" r="63161" b="39392"/>
        <a:stretch/>
      </xdr:blipFill>
      <xdr:spPr bwMode="auto">
        <a:xfrm>
          <a:off x="573071" y="10276008"/>
          <a:ext cx="2925535" cy="2535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339193</xdr:colOff>
      <xdr:row>1</xdr:row>
      <xdr:rowOff>18240</xdr:rowOff>
    </xdr:from>
    <xdr:to>
      <xdr:col>23</xdr:col>
      <xdr:colOff>460728</xdr:colOff>
      <xdr:row>12</xdr:row>
      <xdr:rowOff>44750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1AC5ED75-8588-4D16-A5B8-27C80D36BE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0" t="9484" r="34741" b="81171"/>
        <a:stretch/>
      </xdr:blipFill>
      <xdr:spPr bwMode="auto">
        <a:xfrm>
          <a:off x="10637236" y="211501"/>
          <a:ext cx="4626532" cy="2190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157006</xdr:colOff>
      <xdr:row>41</xdr:row>
      <xdr:rowOff>114545</xdr:rowOff>
    </xdr:from>
    <xdr:to>
      <xdr:col>3</xdr:col>
      <xdr:colOff>89047</xdr:colOff>
      <xdr:row>43</xdr:row>
      <xdr:rowOff>9555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CCF25743-F428-485B-8FFE-F9A5D3DAC1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73" t="57009" r="71077" b="40855"/>
        <a:stretch/>
      </xdr:blipFill>
      <xdr:spPr bwMode="auto">
        <a:xfrm>
          <a:off x="1559588" y="8027622"/>
          <a:ext cx="821739" cy="2718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554753</xdr:colOff>
      <xdr:row>19</xdr:row>
      <xdr:rowOff>62802</xdr:rowOff>
    </xdr:from>
    <xdr:to>
      <xdr:col>8</xdr:col>
      <xdr:colOff>31402</xdr:colOff>
      <xdr:row>24</xdr:row>
      <xdr:rowOff>41868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C35B12B5-F3A9-4D75-9B70-7AE5B721CB4A}"/>
            </a:ext>
          </a:extLst>
        </xdr:cNvPr>
        <xdr:cNvSpPr/>
      </xdr:nvSpPr>
      <xdr:spPr>
        <a:xfrm>
          <a:off x="4270550" y="3778599"/>
          <a:ext cx="1297912" cy="9629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poichè per</a:t>
          </a:r>
          <a:r>
            <a:rPr lang="it-IT" sz="1100" baseline="0"/>
            <a:t> noi ao è molto piccolo:</a:t>
          </a:r>
        </a:p>
        <a:p>
          <a:pPr algn="l"/>
          <a:r>
            <a:rPr lang="it-IT" sz="1100" baseline="0"/>
            <a:t>ao=0,0007</a:t>
          </a:r>
        </a:p>
        <a:p>
          <a:pPr algn="l"/>
          <a:r>
            <a:rPr lang="it-IT" sz="1100" baseline="0"/>
            <a:t>allora Kz sara nell'intorno di 1</a:t>
          </a:r>
        </a:p>
        <a:p>
          <a:pPr algn="l"/>
          <a:endParaRPr lang="it-IT" sz="1100"/>
        </a:p>
      </xdr:txBody>
    </xdr:sp>
    <xdr:clientData/>
  </xdr:twoCellAnchor>
  <xdr:twoCellAnchor>
    <xdr:from>
      <xdr:col>5</xdr:col>
      <xdr:colOff>62231</xdr:colOff>
      <xdr:row>50</xdr:row>
      <xdr:rowOff>107145</xdr:rowOff>
    </xdr:from>
    <xdr:to>
      <xdr:col>7</xdr:col>
      <xdr:colOff>145016</xdr:colOff>
      <xdr:row>55</xdr:row>
      <xdr:rowOff>120848</xdr:rowOff>
    </xdr:to>
    <xdr:sp macro="" textlink="">
      <xdr:nvSpPr>
        <xdr:cNvPr id="9" name="Rettangolo 8">
          <a:extLst>
            <a:ext uri="{FF2B5EF4-FFF2-40B4-BE49-F238E27FC236}">
              <a16:creationId xmlns:a16="http://schemas.microsoft.com/office/drawing/2014/main" id="{EC572541-B0F3-4501-9626-014803429CD9}"/>
            </a:ext>
          </a:extLst>
        </xdr:cNvPr>
        <xdr:cNvSpPr/>
      </xdr:nvSpPr>
      <xdr:spPr>
        <a:xfrm>
          <a:off x="3768322" y="9978509"/>
          <a:ext cx="1295058" cy="100083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poichè per</a:t>
          </a:r>
          <a:r>
            <a:rPr lang="it-IT" sz="1100" baseline="0"/>
            <a:t> noi ao è molto piccolo:</a:t>
          </a:r>
        </a:p>
        <a:p>
          <a:pPr algn="l"/>
          <a:r>
            <a:rPr lang="it-IT" sz="1100" baseline="0"/>
            <a:t>ao=0,0007</a:t>
          </a:r>
        </a:p>
        <a:p>
          <a:pPr algn="l"/>
          <a:r>
            <a:rPr lang="it-IT" sz="1100" baseline="0"/>
            <a:t>allora Kz sara nell'intorno di 1</a:t>
          </a:r>
        </a:p>
        <a:p>
          <a:pPr algn="l"/>
          <a:endParaRPr lang="it-IT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7681</xdr:colOff>
      <xdr:row>0</xdr:row>
      <xdr:rowOff>84495</xdr:rowOff>
    </xdr:from>
    <xdr:to>
      <xdr:col>13</xdr:col>
      <xdr:colOff>445806</xdr:colOff>
      <xdr:row>14</xdr:row>
      <xdr:rowOff>45591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651ECFE-D1D2-4048-8D8C-14815BD630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01" t="14343" r="25794" b="45130"/>
        <a:stretch/>
      </xdr:blipFill>
      <xdr:spPr bwMode="auto">
        <a:xfrm>
          <a:off x="5551231" y="84495"/>
          <a:ext cx="4719179" cy="2723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440236</xdr:colOff>
      <xdr:row>18</xdr:row>
      <xdr:rowOff>10468</xdr:rowOff>
    </xdr:from>
    <xdr:to>
      <xdr:col>4</xdr:col>
      <xdr:colOff>219291</xdr:colOff>
      <xdr:row>42</xdr:row>
      <xdr:rowOff>94203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84799C53-673E-4913-8274-29F4ECDEBB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64" t="7078" r="63445" b="60581"/>
        <a:stretch/>
      </xdr:blipFill>
      <xdr:spPr bwMode="auto">
        <a:xfrm>
          <a:off x="440236" y="3563293"/>
          <a:ext cx="3178614" cy="470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122989</xdr:colOff>
      <xdr:row>53</xdr:row>
      <xdr:rowOff>39250</xdr:rowOff>
    </xdr:from>
    <xdr:to>
      <xdr:col>4</xdr:col>
      <xdr:colOff>95488</xdr:colOff>
      <xdr:row>66</xdr:row>
      <xdr:rowOff>125603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3851E7D0-159B-4359-9756-614B2D5C9D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6" t="38981" r="63161" b="39392"/>
        <a:stretch/>
      </xdr:blipFill>
      <xdr:spPr bwMode="auto">
        <a:xfrm>
          <a:off x="570664" y="10364350"/>
          <a:ext cx="2924383" cy="2562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339193</xdr:colOff>
      <xdr:row>1</xdr:row>
      <xdr:rowOff>18240</xdr:rowOff>
    </xdr:from>
    <xdr:to>
      <xdr:col>24</xdr:col>
      <xdr:colOff>106592</xdr:colOff>
      <xdr:row>12</xdr:row>
      <xdr:rowOff>44750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1C9F33E3-C6FE-48C9-AB56-7B57614292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0" t="9484" r="34741" b="81171"/>
        <a:stretch/>
      </xdr:blipFill>
      <xdr:spPr bwMode="auto">
        <a:xfrm>
          <a:off x="10911943" y="208740"/>
          <a:ext cx="4644200" cy="2207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157006</xdr:colOff>
      <xdr:row>41</xdr:row>
      <xdr:rowOff>114545</xdr:rowOff>
    </xdr:from>
    <xdr:to>
      <xdr:col>3</xdr:col>
      <xdr:colOff>89047</xdr:colOff>
      <xdr:row>43</xdr:row>
      <xdr:rowOff>9555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D8A878D1-629D-4FB2-BC89-F1E880B494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73" t="57009" r="71077" b="40855"/>
        <a:stretch/>
      </xdr:blipFill>
      <xdr:spPr bwMode="auto">
        <a:xfrm>
          <a:off x="1557181" y="8096495"/>
          <a:ext cx="817866" cy="276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554753</xdr:colOff>
      <xdr:row>19</xdr:row>
      <xdr:rowOff>62802</xdr:rowOff>
    </xdr:from>
    <xdr:to>
      <xdr:col>8</xdr:col>
      <xdr:colOff>31402</xdr:colOff>
      <xdr:row>24</xdr:row>
      <xdr:rowOff>41868</xdr:rowOff>
    </xdr:to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36D4CFA6-4CAE-4BF3-ADFE-12F8F3EC5FE9}"/>
            </a:ext>
          </a:extLst>
        </xdr:cNvPr>
        <xdr:cNvSpPr/>
      </xdr:nvSpPr>
      <xdr:spPr>
        <a:xfrm>
          <a:off x="4269503" y="3815652"/>
          <a:ext cx="1305449" cy="96966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poichè per</a:t>
          </a:r>
          <a:r>
            <a:rPr lang="it-IT" sz="1100" baseline="0"/>
            <a:t> noi ao è molto piccolo:</a:t>
          </a:r>
        </a:p>
        <a:p>
          <a:pPr algn="l"/>
          <a:r>
            <a:rPr lang="it-IT" sz="1100" baseline="0"/>
            <a:t>ao=0,0007</a:t>
          </a:r>
        </a:p>
        <a:p>
          <a:pPr algn="l"/>
          <a:r>
            <a:rPr lang="it-IT" sz="1100" baseline="0"/>
            <a:t>allora Kz sara nell'intorno di 1</a:t>
          </a:r>
        </a:p>
        <a:p>
          <a:pPr algn="l"/>
          <a:endParaRPr lang="it-IT" sz="1100"/>
        </a:p>
      </xdr:txBody>
    </xdr:sp>
    <xdr:clientData/>
  </xdr:twoCellAnchor>
  <xdr:twoCellAnchor>
    <xdr:from>
      <xdr:col>5</xdr:col>
      <xdr:colOff>62231</xdr:colOff>
      <xdr:row>50</xdr:row>
      <xdr:rowOff>107145</xdr:rowOff>
    </xdr:from>
    <xdr:to>
      <xdr:col>7</xdr:col>
      <xdr:colOff>145016</xdr:colOff>
      <xdr:row>55</xdr:row>
      <xdr:rowOff>120848</xdr:rowOff>
    </xdr:to>
    <xdr:sp macro="" textlink="">
      <xdr:nvSpPr>
        <xdr:cNvPr id="8" name="Rettangolo 7">
          <a:extLst>
            <a:ext uri="{FF2B5EF4-FFF2-40B4-BE49-F238E27FC236}">
              <a16:creationId xmlns:a16="http://schemas.microsoft.com/office/drawing/2014/main" id="{1374DCC8-F181-4695-BB92-899A574E72E3}"/>
            </a:ext>
          </a:extLst>
        </xdr:cNvPr>
        <xdr:cNvSpPr/>
      </xdr:nvSpPr>
      <xdr:spPr>
        <a:xfrm>
          <a:off x="3776981" y="9841695"/>
          <a:ext cx="1301985" cy="98525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poichè per</a:t>
          </a:r>
          <a:r>
            <a:rPr lang="it-IT" sz="1100" baseline="0"/>
            <a:t> noi ao è molto piccolo:</a:t>
          </a:r>
        </a:p>
        <a:p>
          <a:pPr algn="l"/>
          <a:r>
            <a:rPr lang="it-IT" sz="1100" baseline="0"/>
            <a:t>ao=0,0007</a:t>
          </a:r>
        </a:p>
        <a:p>
          <a:pPr algn="l"/>
          <a:r>
            <a:rPr lang="it-IT" sz="1100" baseline="0"/>
            <a:t>allora Kz sara nell'intorno di 1</a:t>
          </a:r>
        </a:p>
        <a:p>
          <a:pPr algn="l"/>
          <a:endParaRPr lang="it-IT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7681</xdr:colOff>
      <xdr:row>0</xdr:row>
      <xdr:rowOff>84495</xdr:rowOff>
    </xdr:from>
    <xdr:to>
      <xdr:col>13</xdr:col>
      <xdr:colOff>493381</xdr:colOff>
      <xdr:row>13</xdr:row>
      <xdr:rowOff>122229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2FA5DA0-5B9A-4068-8DD5-2D99C5C238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01" t="14343" r="25794" b="45130"/>
        <a:stretch/>
      </xdr:blipFill>
      <xdr:spPr bwMode="auto">
        <a:xfrm>
          <a:off x="5551231" y="84495"/>
          <a:ext cx="4719179" cy="2723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440236</xdr:colOff>
      <xdr:row>18</xdr:row>
      <xdr:rowOff>10468</xdr:rowOff>
    </xdr:from>
    <xdr:to>
      <xdr:col>4</xdr:col>
      <xdr:colOff>119562</xdr:colOff>
      <xdr:row>42</xdr:row>
      <xdr:rowOff>105152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7146B52C-BDB3-4866-BCAB-69AB179586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64" t="7078" r="63445" b="60581"/>
        <a:stretch/>
      </xdr:blipFill>
      <xdr:spPr bwMode="auto">
        <a:xfrm>
          <a:off x="440236" y="3563293"/>
          <a:ext cx="3178614" cy="470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122989</xdr:colOff>
      <xdr:row>53</xdr:row>
      <xdr:rowOff>39250</xdr:rowOff>
    </xdr:from>
    <xdr:to>
      <xdr:col>3</xdr:col>
      <xdr:colOff>816879</xdr:colOff>
      <xdr:row>66</xdr:row>
      <xdr:rowOff>125603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845FF56A-1C6E-41EC-9F04-44015AC00E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6" t="38981" r="63161" b="39392"/>
        <a:stretch/>
      </xdr:blipFill>
      <xdr:spPr bwMode="auto">
        <a:xfrm>
          <a:off x="570664" y="10364350"/>
          <a:ext cx="2924383" cy="2562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339193</xdr:colOff>
      <xdr:row>1</xdr:row>
      <xdr:rowOff>18240</xdr:rowOff>
    </xdr:from>
    <xdr:to>
      <xdr:col>24</xdr:col>
      <xdr:colOff>106592</xdr:colOff>
      <xdr:row>11</xdr:row>
      <xdr:rowOff>132336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19654F8C-5898-43FE-8768-AFFE306C79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0" t="9484" r="34741" b="81171"/>
        <a:stretch/>
      </xdr:blipFill>
      <xdr:spPr bwMode="auto">
        <a:xfrm>
          <a:off x="10911943" y="208740"/>
          <a:ext cx="4644200" cy="2207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157006</xdr:colOff>
      <xdr:row>41</xdr:row>
      <xdr:rowOff>114545</xdr:rowOff>
    </xdr:from>
    <xdr:to>
      <xdr:col>3</xdr:col>
      <xdr:colOff>89047</xdr:colOff>
      <xdr:row>43</xdr:row>
      <xdr:rowOff>9556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1B14FCF6-58B6-4447-9700-B979FE4446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73" t="57009" r="71077" b="40855"/>
        <a:stretch/>
      </xdr:blipFill>
      <xdr:spPr bwMode="auto">
        <a:xfrm>
          <a:off x="1557181" y="8096495"/>
          <a:ext cx="817866" cy="276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554753</xdr:colOff>
      <xdr:row>19</xdr:row>
      <xdr:rowOff>62802</xdr:rowOff>
    </xdr:from>
    <xdr:to>
      <xdr:col>8</xdr:col>
      <xdr:colOff>31402</xdr:colOff>
      <xdr:row>24</xdr:row>
      <xdr:rowOff>41868</xdr:rowOff>
    </xdr:to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E4881DC7-936C-4200-85C8-DCF8F708F124}"/>
            </a:ext>
          </a:extLst>
        </xdr:cNvPr>
        <xdr:cNvSpPr/>
      </xdr:nvSpPr>
      <xdr:spPr>
        <a:xfrm>
          <a:off x="4269503" y="3815652"/>
          <a:ext cx="1305449" cy="96966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poichè per</a:t>
          </a:r>
          <a:r>
            <a:rPr lang="it-IT" sz="1100" baseline="0"/>
            <a:t> noi ao è molto piccolo:</a:t>
          </a:r>
        </a:p>
        <a:p>
          <a:pPr algn="l"/>
          <a:r>
            <a:rPr lang="it-IT" sz="1100" baseline="0"/>
            <a:t>ao=0,0007</a:t>
          </a:r>
        </a:p>
        <a:p>
          <a:pPr algn="l"/>
          <a:r>
            <a:rPr lang="it-IT" sz="1100" baseline="0"/>
            <a:t>allora Kz sara nell'intorno di 1</a:t>
          </a:r>
        </a:p>
        <a:p>
          <a:pPr algn="l"/>
          <a:endParaRPr lang="it-IT" sz="1100"/>
        </a:p>
      </xdr:txBody>
    </xdr:sp>
    <xdr:clientData/>
  </xdr:twoCellAnchor>
  <xdr:twoCellAnchor>
    <xdr:from>
      <xdr:col>5</xdr:col>
      <xdr:colOff>62231</xdr:colOff>
      <xdr:row>50</xdr:row>
      <xdr:rowOff>107145</xdr:rowOff>
    </xdr:from>
    <xdr:to>
      <xdr:col>7</xdr:col>
      <xdr:colOff>145016</xdr:colOff>
      <xdr:row>55</xdr:row>
      <xdr:rowOff>120848</xdr:rowOff>
    </xdr:to>
    <xdr:sp macro="" textlink="">
      <xdr:nvSpPr>
        <xdr:cNvPr id="8" name="Rettangolo 7">
          <a:extLst>
            <a:ext uri="{FF2B5EF4-FFF2-40B4-BE49-F238E27FC236}">
              <a16:creationId xmlns:a16="http://schemas.microsoft.com/office/drawing/2014/main" id="{A1255F46-A93B-4F39-9355-497C93527CA7}"/>
            </a:ext>
          </a:extLst>
        </xdr:cNvPr>
        <xdr:cNvSpPr/>
      </xdr:nvSpPr>
      <xdr:spPr>
        <a:xfrm>
          <a:off x="3776981" y="9841695"/>
          <a:ext cx="1301985" cy="98525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poichè per</a:t>
          </a:r>
          <a:r>
            <a:rPr lang="it-IT" sz="1100" baseline="0"/>
            <a:t> noi ao è molto piccolo:</a:t>
          </a:r>
        </a:p>
        <a:p>
          <a:pPr algn="l"/>
          <a:r>
            <a:rPr lang="it-IT" sz="1100" baseline="0"/>
            <a:t>ao=0,0007</a:t>
          </a:r>
        </a:p>
        <a:p>
          <a:pPr algn="l"/>
          <a:r>
            <a:rPr lang="it-IT" sz="1100" baseline="0"/>
            <a:t>allora Kz sara nell'intorno di 1</a:t>
          </a:r>
        </a:p>
        <a:p>
          <a:pPr algn="l"/>
          <a:endParaRPr lang="it-IT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7681</xdr:colOff>
      <xdr:row>0</xdr:row>
      <xdr:rowOff>84495</xdr:rowOff>
    </xdr:from>
    <xdr:to>
      <xdr:col>13</xdr:col>
      <xdr:colOff>307259</xdr:colOff>
      <xdr:row>14</xdr:row>
      <xdr:rowOff>45591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A885B14-A1AF-4312-B251-34949F266C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01" t="14343" r="25794" b="45130"/>
        <a:stretch/>
      </xdr:blipFill>
      <xdr:spPr bwMode="auto">
        <a:xfrm>
          <a:off x="5551231" y="84495"/>
          <a:ext cx="4719179" cy="2723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440236</xdr:colOff>
      <xdr:row>18</xdr:row>
      <xdr:rowOff>10468</xdr:rowOff>
    </xdr:from>
    <xdr:to>
      <xdr:col>4</xdr:col>
      <xdr:colOff>288564</xdr:colOff>
      <xdr:row>42</xdr:row>
      <xdr:rowOff>94203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34385E8C-D652-4254-9083-E5E6E009F2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64" t="7078" r="63445" b="60581"/>
        <a:stretch/>
      </xdr:blipFill>
      <xdr:spPr bwMode="auto">
        <a:xfrm>
          <a:off x="440236" y="3563293"/>
          <a:ext cx="3178614" cy="470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122989</xdr:colOff>
      <xdr:row>53</xdr:row>
      <xdr:rowOff>39250</xdr:rowOff>
    </xdr:from>
    <xdr:to>
      <xdr:col>4</xdr:col>
      <xdr:colOff>164761</xdr:colOff>
      <xdr:row>66</xdr:row>
      <xdr:rowOff>125603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7476464B-E234-4F66-82B7-1901E64E94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6" t="38981" r="63161" b="39392"/>
        <a:stretch/>
      </xdr:blipFill>
      <xdr:spPr bwMode="auto">
        <a:xfrm>
          <a:off x="570664" y="10364350"/>
          <a:ext cx="2924383" cy="2562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339193</xdr:colOff>
      <xdr:row>1</xdr:row>
      <xdr:rowOff>18240</xdr:rowOff>
    </xdr:from>
    <xdr:to>
      <xdr:col>24</xdr:col>
      <xdr:colOff>106592</xdr:colOff>
      <xdr:row>12</xdr:row>
      <xdr:rowOff>44750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ABB44120-3C81-4073-A855-9156D4FF1F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0" t="9484" r="34741" b="81171"/>
        <a:stretch/>
      </xdr:blipFill>
      <xdr:spPr bwMode="auto">
        <a:xfrm>
          <a:off x="10911943" y="208740"/>
          <a:ext cx="4644200" cy="2207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157006</xdr:colOff>
      <xdr:row>41</xdr:row>
      <xdr:rowOff>114545</xdr:rowOff>
    </xdr:from>
    <xdr:to>
      <xdr:col>3</xdr:col>
      <xdr:colOff>89047</xdr:colOff>
      <xdr:row>43</xdr:row>
      <xdr:rowOff>9555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DB4947EF-18C8-4FFA-A07B-F7CF38F1A2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73" t="57009" r="71077" b="40855"/>
        <a:stretch/>
      </xdr:blipFill>
      <xdr:spPr bwMode="auto">
        <a:xfrm>
          <a:off x="1557181" y="8096495"/>
          <a:ext cx="817866" cy="276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783353</xdr:colOff>
      <xdr:row>18</xdr:row>
      <xdr:rowOff>202502</xdr:rowOff>
    </xdr:from>
    <xdr:to>
      <xdr:col>7</xdr:col>
      <xdr:colOff>31402</xdr:colOff>
      <xdr:row>23</xdr:row>
      <xdr:rowOff>168868</xdr:rowOff>
    </xdr:to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12D4DCBB-98CA-4E45-BF68-01233D064583}"/>
            </a:ext>
          </a:extLst>
        </xdr:cNvPr>
        <xdr:cNvSpPr/>
      </xdr:nvSpPr>
      <xdr:spPr>
        <a:xfrm>
          <a:off x="4110753" y="3796602"/>
          <a:ext cx="1457849" cy="98236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poichè per</a:t>
          </a:r>
          <a:r>
            <a:rPr lang="it-IT" sz="1100" baseline="0"/>
            <a:t> noi ao è molto piccolo:</a:t>
          </a:r>
        </a:p>
        <a:p>
          <a:pPr algn="l"/>
          <a:r>
            <a:rPr lang="it-IT" sz="1100" baseline="0"/>
            <a:t>ao=0,0007</a:t>
          </a:r>
        </a:p>
        <a:p>
          <a:pPr algn="l"/>
          <a:r>
            <a:rPr lang="it-IT" sz="1100" baseline="0"/>
            <a:t>allora Kz sara nell'intorno di 1</a:t>
          </a:r>
        </a:p>
        <a:p>
          <a:pPr algn="l"/>
          <a:endParaRPr lang="it-IT" sz="1100"/>
        </a:p>
      </xdr:txBody>
    </xdr:sp>
    <xdr:clientData/>
  </xdr:twoCellAnchor>
  <xdr:twoCellAnchor>
    <xdr:from>
      <xdr:col>5</xdr:col>
      <xdr:colOff>62231</xdr:colOff>
      <xdr:row>50</xdr:row>
      <xdr:rowOff>107145</xdr:rowOff>
    </xdr:from>
    <xdr:to>
      <xdr:col>7</xdr:col>
      <xdr:colOff>145016</xdr:colOff>
      <xdr:row>55</xdr:row>
      <xdr:rowOff>120848</xdr:rowOff>
    </xdr:to>
    <xdr:sp macro="" textlink="">
      <xdr:nvSpPr>
        <xdr:cNvPr id="8" name="Rettangolo 7">
          <a:extLst>
            <a:ext uri="{FF2B5EF4-FFF2-40B4-BE49-F238E27FC236}">
              <a16:creationId xmlns:a16="http://schemas.microsoft.com/office/drawing/2014/main" id="{7DA78E31-F7A3-4BC5-8526-BFA817B44C24}"/>
            </a:ext>
          </a:extLst>
        </xdr:cNvPr>
        <xdr:cNvSpPr/>
      </xdr:nvSpPr>
      <xdr:spPr>
        <a:xfrm>
          <a:off x="3776981" y="9841695"/>
          <a:ext cx="1301985" cy="98525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poichè per</a:t>
          </a:r>
          <a:r>
            <a:rPr lang="it-IT" sz="1100" baseline="0"/>
            <a:t> noi ao è molto piccolo:</a:t>
          </a:r>
        </a:p>
        <a:p>
          <a:pPr algn="l"/>
          <a:r>
            <a:rPr lang="it-IT" sz="1100" baseline="0"/>
            <a:t>ao=0,0007</a:t>
          </a:r>
        </a:p>
        <a:p>
          <a:pPr algn="l"/>
          <a:r>
            <a:rPr lang="it-IT" sz="1100" baseline="0"/>
            <a:t>allora Kz sara nell'intorno di 1</a:t>
          </a:r>
        </a:p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024E-8DA6-4EC7-A742-D1D1C37DF6D0}">
  <sheetPr>
    <pageSetUpPr fitToPage="1"/>
  </sheetPr>
  <dimension ref="B1:Q87"/>
  <sheetViews>
    <sheetView topLeftCell="A43" zoomScale="85" zoomScaleNormal="85" workbookViewId="0">
      <selection activeCell="D53" sqref="D53"/>
    </sheetView>
  </sheetViews>
  <sheetFormatPr defaultRowHeight="15"/>
  <cols>
    <col min="1" max="1" width="3.85546875" customWidth="1"/>
    <col min="2" max="2" width="19.5703125" customWidth="1"/>
    <col min="3" max="3" width="27.7109375" customWidth="1"/>
    <col min="4" max="4" width="15.42578125" customWidth="1"/>
    <col min="5" max="5" width="10.140625" customWidth="1"/>
    <col min="6" max="6" width="22.28515625" customWidth="1"/>
    <col min="7" max="7" width="12.5703125" customWidth="1"/>
    <col min="9" max="9" width="18" customWidth="1"/>
    <col min="10" max="10" width="15.42578125" customWidth="1"/>
    <col min="11" max="11" width="9.7109375" customWidth="1"/>
    <col min="12" max="12" width="12.42578125" customWidth="1"/>
    <col min="13" max="13" width="9.5703125" customWidth="1"/>
    <col min="14" max="14" width="12.85546875" customWidth="1"/>
    <col min="15" max="15" width="9.140625" customWidth="1"/>
    <col min="16" max="16" width="15.140625" customWidth="1"/>
    <col min="17" max="17" width="11.42578125" customWidth="1"/>
    <col min="20" max="20" width="13.85546875" customWidth="1"/>
  </cols>
  <sheetData>
    <row r="1" spans="2:17" ht="15.75" thickBot="1"/>
    <row r="2" spans="2:17" ht="15.75" thickBot="1">
      <c r="B2" s="591" t="s">
        <v>0</v>
      </c>
      <c r="C2" s="591"/>
      <c r="D2" s="591"/>
      <c r="F2" s="591" t="s">
        <v>7</v>
      </c>
      <c r="G2" s="591"/>
      <c r="H2" s="591"/>
      <c r="J2" s="594" t="s">
        <v>8</v>
      </c>
      <c r="K2" s="595"/>
      <c r="L2" s="596"/>
    </row>
    <row r="3" spans="2:17">
      <c r="J3" s="5" t="s">
        <v>9</v>
      </c>
      <c r="K3" s="24">
        <v>0.3</v>
      </c>
      <c r="L3" s="321" t="s">
        <v>2</v>
      </c>
      <c r="Q3" s="1"/>
    </row>
    <row r="4" spans="2:17">
      <c r="J4" s="11" t="s">
        <v>10</v>
      </c>
      <c r="K4" s="24">
        <v>0.6</v>
      </c>
      <c r="L4" s="321" t="s">
        <v>2</v>
      </c>
      <c r="Q4" s="1"/>
    </row>
    <row r="5" spans="2:17">
      <c r="J5" s="11" t="s">
        <v>19</v>
      </c>
      <c r="K5" s="24">
        <v>25</v>
      </c>
      <c r="L5" s="321" t="s">
        <v>11</v>
      </c>
      <c r="Q5" s="1"/>
    </row>
    <row r="6" spans="2:17" ht="15.75" thickBot="1">
      <c r="J6" s="4" t="s">
        <v>14</v>
      </c>
      <c r="K6" s="23">
        <v>3.5</v>
      </c>
      <c r="L6" s="322" t="s">
        <v>2</v>
      </c>
      <c r="Q6" s="1"/>
    </row>
    <row r="7" spans="2:17" ht="16.5" thickBot="1">
      <c r="J7" s="13" t="s">
        <v>12</v>
      </c>
      <c r="K7" s="14">
        <f>K5*K4*K3</f>
        <v>4.5</v>
      </c>
      <c r="L7" s="285" t="s">
        <v>13</v>
      </c>
    </row>
    <row r="8" spans="2:17" ht="15.75" thickBot="1"/>
    <row r="9" spans="2:17" ht="15.75" thickBot="1">
      <c r="J9" s="585" t="s">
        <v>15</v>
      </c>
      <c r="K9" s="586"/>
      <c r="L9" s="587"/>
    </row>
    <row r="10" spans="2:17">
      <c r="J10" s="5" t="s">
        <v>16</v>
      </c>
      <c r="K10" s="24">
        <v>0.3</v>
      </c>
      <c r="L10" s="321" t="s">
        <v>2</v>
      </c>
    </row>
    <row r="11" spans="2:17">
      <c r="J11" s="11" t="s">
        <v>10</v>
      </c>
      <c r="K11" s="24">
        <v>0.7</v>
      </c>
      <c r="L11" s="321" t="s">
        <v>2</v>
      </c>
    </row>
    <row r="12" spans="2:17" ht="15.75" thickBot="1">
      <c r="J12" s="4" t="s">
        <v>19</v>
      </c>
      <c r="K12" s="23">
        <v>25</v>
      </c>
      <c r="L12" s="322" t="s">
        <v>11</v>
      </c>
    </row>
    <row r="13" spans="2:17" ht="16.5" thickBot="1">
      <c r="J13" s="13" t="s">
        <v>12</v>
      </c>
      <c r="K13" s="14">
        <f>K12*K11*K10</f>
        <v>5.25</v>
      </c>
      <c r="L13" s="285" t="s">
        <v>17</v>
      </c>
    </row>
    <row r="14" spans="2:17" ht="15.75" thickBot="1"/>
    <row r="15" spans="2:17" ht="15.75" thickBot="1">
      <c r="J15" s="585" t="s">
        <v>18</v>
      </c>
      <c r="K15" s="586"/>
      <c r="L15" s="587"/>
    </row>
    <row r="16" spans="2:17" ht="15.75" thickBot="1">
      <c r="J16" s="5" t="s">
        <v>9</v>
      </c>
      <c r="K16" s="24">
        <v>0.6</v>
      </c>
      <c r="L16" s="321" t="s">
        <v>2</v>
      </c>
    </row>
    <row r="17" spans="2:12" ht="21">
      <c r="B17" s="351" t="s">
        <v>420</v>
      </c>
      <c r="C17" s="334">
        <v>9</v>
      </c>
      <c r="D17" s="335" t="s">
        <v>1</v>
      </c>
      <c r="F17" s="360" t="s">
        <v>428</v>
      </c>
      <c r="G17" s="334">
        <v>9</v>
      </c>
      <c r="H17" s="343" t="s">
        <v>1</v>
      </c>
      <c r="J17" s="11" t="s">
        <v>10</v>
      </c>
      <c r="K17" s="24">
        <v>0.22</v>
      </c>
      <c r="L17" s="321" t="s">
        <v>2</v>
      </c>
    </row>
    <row r="18" spans="2:12" ht="21.75" thickBot="1">
      <c r="B18" s="352" t="s">
        <v>421</v>
      </c>
      <c r="C18" s="331">
        <v>0.06</v>
      </c>
      <c r="D18" s="333" t="s">
        <v>2</v>
      </c>
      <c r="F18" s="361" t="s">
        <v>429</v>
      </c>
      <c r="G18" s="331">
        <v>0.06</v>
      </c>
      <c r="H18" s="344" t="s">
        <v>2</v>
      </c>
      <c r="J18" s="4" t="s">
        <v>19</v>
      </c>
      <c r="K18" s="23">
        <v>25</v>
      </c>
      <c r="L18" s="322" t="s">
        <v>11</v>
      </c>
    </row>
    <row r="19" spans="2:12" ht="21.75" thickBot="1">
      <c r="B19" s="353" t="s">
        <v>422</v>
      </c>
      <c r="C19" s="331">
        <v>18</v>
      </c>
      <c r="D19" s="332" t="s">
        <v>1</v>
      </c>
      <c r="F19" s="361" t="s">
        <v>430</v>
      </c>
      <c r="G19" s="331">
        <v>0.12</v>
      </c>
      <c r="H19" s="344" t="s">
        <v>2</v>
      </c>
      <c r="J19" s="13" t="s">
        <v>12</v>
      </c>
      <c r="K19" s="14">
        <f>K18*K17*K16</f>
        <v>3.3</v>
      </c>
      <c r="L19" s="285" t="s">
        <v>17</v>
      </c>
    </row>
    <row r="20" spans="2:12" ht="21">
      <c r="B20" s="352" t="s">
        <v>423</v>
      </c>
      <c r="C20" s="331">
        <v>1.4999999999999999E-2</v>
      </c>
      <c r="D20" s="333" t="s">
        <v>2</v>
      </c>
      <c r="F20" s="362" t="s">
        <v>431</v>
      </c>
      <c r="G20" s="331">
        <v>18</v>
      </c>
      <c r="H20" s="345" t="s">
        <v>1</v>
      </c>
    </row>
    <row r="21" spans="2:12" ht="21.75" thickBot="1">
      <c r="B21" s="354" t="s">
        <v>3</v>
      </c>
      <c r="C21" s="127">
        <f>3.5-0.3</f>
        <v>3.2</v>
      </c>
      <c r="D21" s="327" t="s">
        <v>2</v>
      </c>
      <c r="F21" s="361" t="s">
        <v>423</v>
      </c>
      <c r="G21" s="331">
        <v>1.4999999999999999E-2</v>
      </c>
      <c r="H21" s="344" t="s">
        <v>2</v>
      </c>
    </row>
    <row r="22" spans="2:12" ht="21">
      <c r="B22" s="355" t="s">
        <v>424</v>
      </c>
      <c r="C22" s="336">
        <f>C17*C18</f>
        <v>0.54</v>
      </c>
      <c r="D22" s="337" t="s">
        <v>4</v>
      </c>
      <c r="F22" s="362" t="s">
        <v>432</v>
      </c>
      <c r="G22" s="368">
        <v>22</v>
      </c>
      <c r="H22" s="345" t="s">
        <v>1</v>
      </c>
    </row>
    <row r="23" spans="2:12" ht="21">
      <c r="B23" s="356" t="s">
        <v>425</v>
      </c>
      <c r="C23" s="330">
        <f>2*C19*C20</f>
        <v>0.54</v>
      </c>
      <c r="D23" s="338" t="s">
        <v>4</v>
      </c>
      <c r="F23" s="361" t="s">
        <v>433</v>
      </c>
      <c r="G23" s="368">
        <v>2.5000000000000001E-2</v>
      </c>
      <c r="H23" s="346" t="s">
        <v>2</v>
      </c>
    </row>
    <row r="24" spans="2:12" ht="21.75" thickBot="1">
      <c r="B24" s="357" t="s">
        <v>426</v>
      </c>
      <c r="C24" s="339">
        <f>SUM(C22:C23)</f>
        <v>1.08</v>
      </c>
      <c r="D24" s="340" t="s">
        <v>4</v>
      </c>
      <c r="F24" s="363" t="s">
        <v>3</v>
      </c>
      <c r="G24" s="127">
        <f>3.5-0.7</f>
        <v>2.8</v>
      </c>
      <c r="H24" s="347" t="s">
        <v>2</v>
      </c>
    </row>
    <row r="25" spans="2:12" ht="21">
      <c r="B25" s="358" t="s">
        <v>5</v>
      </c>
      <c r="C25" s="341">
        <f>C24*C21</f>
        <v>3.4560000000000004</v>
      </c>
      <c r="D25" s="342" t="s">
        <v>6</v>
      </c>
      <c r="F25" s="364" t="s">
        <v>434</v>
      </c>
      <c r="G25" s="336">
        <f>G17*(G19+G18)</f>
        <v>1.6199999999999999</v>
      </c>
      <c r="H25" s="348" t="s">
        <v>4</v>
      </c>
    </row>
    <row r="26" spans="2:12" ht="21.75" thickBot="1">
      <c r="B26" s="359" t="s">
        <v>427</v>
      </c>
      <c r="C26" s="328">
        <v>1.6</v>
      </c>
      <c r="D26" s="329" t="s">
        <v>4</v>
      </c>
      <c r="F26" s="365" t="s">
        <v>435</v>
      </c>
      <c r="G26" s="330">
        <f>G20*G21</f>
        <v>0.27</v>
      </c>
      <c r="H26" s="349" t="s">
        <v>4</v>
      </c>
    </row>
    <row r="27" spans="2:12" ht="21">
      <c r="F27" s="365" t="s">
        <v>436</v>
      </c>
      <c r="G27" s="330">
        <f>G22*G23</f>
        <v>0.55000000000000004</v>
      </c>
      <c r="H27" s="349" t="s">
        <v>4</v>
      </c>
    </row>
    <row r="28" spans="2:12" ht="21">
      <c r="F28" s="365" t="s">
        <v>437</v>
      </c>
      <c r="G28" s="330">
        <v>0.09</v>
      </c>
      <c r="H28" s="349" t="s">
        <v>4</v>
      </c>
    </row>
    <row r="29" spans="2:12" ht="21">
      <c r="B29" s="16"/>
      <c r="C29" s="16"/>
      <c r="D29" s="16"/>
      <c r="E29" s="16"/>
      <c r="F29" s="365" t="s">
        <v>438</v>
      </c>
      <c r="G29" s="330">
        <v>0.35</v>
      </c>
      <c r="H29" s="349" t="s">
        <v>4</v>
      </c>
    </row>
    <row r="30" spans="2:12" ht="21">
      <c r="F30" s="365" t="s">
        <v>426</v>
      </c>
      <c r="G30" s="330">
        <f>SUM(G25:G29)</f>
        <v>2.88</v>
      </c>
      <c r="H30" s="349" t="s">
        <v>4</v>
      </c>
    </row>
    <row r="31" spans="2:12" ht="21.75" thickBot="1">
      <c r="F31" s="366" t="s">
        <v>439</v>
      </c>
      <c r="G31" s="369">
        <f>G30*G24</f>
        <v>8.0640000000000001</v>
      </c>
      <c r="H31" s="98" t="s">
        <v>6</v>
      </c>
    </row>
    <row r="32" spans="2:12" ht="18.75" thickBot="1">
      <c r="F32" s="367" t="s">
        <v>5</v>
      </c>
      <c r="G32" s="370">
        <f>G31</f>
        <v>8.0640000000000001</v>
      </c>
      <c r="H32" s="350" t="s">
        <v>6</v>
      </c>
    </row>
    <row r="36" spans="2:12" ht="15.75" thickBot="1">
      <c r="H36" s="3"/>
      <c r="I36" s="3"/>
      <c r="J36" s="3"/>
      <c r="K36" s="3"/>
      <c r="L36" s="3"/>
    </row>
    <row r="37" spans="2:12">
      <c r="C37" s="588" t="s">
        <v>35</v>
      </c>
      <c r="D37" s="589"/>
      <c r="E37" s="589"/>
      <c r="F37" s="589"/>
      <c r="G37" s="590"/>
      <c r="H37" s="18"/>
      <c r="I37" s="18"/>
      <c r="J37" s="18"/>
      <c r="K37" s="18"/>
      <c r="L37" s="3"/>
    </row>
    <row r="38" spans="2:1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2">
      <c r="B39" s="3"/>
      <c r="C39" s="11" t="s">
        <v>411</v>
      </c>
      <c r="D39" s="11">
        <v>0.22</v>
      </c>
      <c r="F39" s="3"/>
      <c r="G39" s="3"/>
      <c r="H39" s="3"/>
      <c r="I39" s="3"/>
      <c r="J39" s="3"/>
      <c r="K39" s="3"/>
      <c r="L39" s="3"/>
    </row>
    <row r="40" spans="2:12">
      <c r="B40" s="3"/>
      <c r="C40" s="11" t="s">
        <v>412</v>
      </c>
      <c r="D40" s="11">
        <v>0.04</v>
      </c>
      <c r="F40" s="3"/>
      <c r="G40" s="3"/>
    </row>
    <row r="41" spans="2:12">
      <c r="B41" s="3"/>
      <c r="C41" s="11" t="s">
        <v>413</v>
      </c>
      <c r="D41" s="11">
        <v>0.18</v>
      </c>
      <c r="F41" s="3"/>
      <c r="G41" s="3"/>
    </row>
    <row r="42" spans="2:12">
      <c r="B42" s="3"/>
      <c r="C42" s="11" t="s">
        <v>414</v>
      </c>
      <c r="D42" s="11">
        <v>0.5</v>
      </c>
      <c r="F42" s="3"/>
      <c r="G42" s="3"/>
    </row>
    <row r="43" spans="2:12">
      <c r="B43" s="3"/>
      <c r="C43" s="3"/>
      <c r="D43" s="3"/>
      <c r="E43" s="3"/>
      <c r="F43" s="3"/>
      <c r="G43" s="3"/>
    </row>
    <row r="44" spans="2:12">
      <c r="B44" s="3"/>
      <c r="C44" s="3"/>
      <c r="D44" s="326" t="s">
        <v>20</v>
      </c>
      <c r="E44" s="326" t="s">
        <v>21</v>
      </c>
      <c r="F44" s="326" t="s">
        <v>22</v>
      </c>
      <c r="G44" s="326" t="s">
        <v>415</v>
      </c>
    </row>
    <row r="45" spans="2:12">
      <c r="B45" s="3"/>
      <c r="C45" s="326" t="s">
        <v>24</v>
      </c>
      <c r="D45" s="11">
        <v>0.18</v>
      </c>
      <c r="E45" s="11">
        <v>0.1</v>
      </c>
      <c r="F45" s="11">
        <v>25</v>
      </c>
      <c r="G45" s="11">
        <f>2*D45*E45*F45</f>
        <v>0.89999999999999991</v>
      </c>
    </row>
    <row r="46" spans="2:12" ht="15" customHeight="1">
      <c r="B46" s="3"/>
      <c r="C46" s="326" t="s">
        <v>25</v>
      </c>
      <c r="D46" s="11">
        <v>0.04</v>
      </c>
      <c r="E46" s="11">
        <v>1</v>
      </c>
      <c r="F46" s="11">
        <v>25</v>
      </c>
      <c r="G46" s="11">
        <f>D46*E46*F46</f>
        <v>1</v>
      </c>
    </row>
    <row r="47" spans="2:12" ht="15.75" thickBot="1">
      <c r="B47" s="3"/>
      <c r="C47" s="10"/>
    </row>
    <row r="48" spans="2:12" ht="15.75" thickBot="1">
      <c r="B48" s="3"/>
      <c r="C48" s="10"/>
      <c r="D48" s="185" t="s">
        <v>416</v>
      </c>
      <c r="G48" s="325">
        <f>SUM(G45:G46)</f>
        <v>1.9</v>
      </c>
    </row>
    <row r="49" spans="2:13">
      <c r="B49" s="3"/>
      <c r="C49" s="10"/>
      <c r="D49" s="3"/>
      <c r="E49" s="3"/>
      <c r="F49" s="3"/>
      <c r="G49" s="3"/>
    </row>
    <row r="50" spans="2:13">
      <c r="B50" s="3"/>
      <c r="C50" s="10"/>
      <c r="D50" s="326" t="s">
        <v>20</v>
      </c>
      <c r="E50" s="326" t="s">
        <v>21</v>
      </c>
      <c r="F50" s="326" t="s">
        <v>22</v>
      </c>
      <c r="G50" s="326" t="s">
        <v>415</v>
      </c>
      <c r="M50" s="6"/>
    </row>
    <row r="51" spans="2:13">
      <c r="B51" s="3"/>
      <c r="C51" s="326" t="s">
        <v>26</v>
      </c>
      <c r="D51" s="11">
        <v>0.02</v>
      </c>
      <c r="E51" s="11">
        <v>1</v>
      </c>
      <c r="F51" s="11">
        <v>20</v>
      </c>
      <c r="G51" s="11">
        <f t="shared" ref="G51:G54" si="0">D51*E51*F51</f>
        <v>0.4</v>
      </c>
      <c r="M51" s="9"/>
    </row>
    <row r="52" spans="2:13">
      <c r="B52" s="3"/>
      <c r="C52" s="326" t="s">
        <v>27</v>
      </c>
      <c r="D52" s="11">
        <v>0.04</v>
      </c>
      <c r="E52" s="11">
        <v>1</v>
      </c>
      <c r="F52" s="11">
        <v>18</v>
      </c>
      <c r="G52" s="11">
        <f t="shared" si="0"/>
        <v>0.72</v>
      </c>
      <c r="J52" s="592" t="s">
        <v>93</v>
      </c>
      <c r="K52" s="593"/>
      <c r="M52" s="9"/>
    </row>
    <row r="53" spans="2:13">
      <c r="B53" s="3"/>
      <c r="C53" s="326" t="s">
        <v>28</v>
      </c>
      <c r="D53" s="11">
        <v>0.02</v>
      </c>
      <c r="E53" s="11">
        <v>1</v>
      </c>
      <c r="F53" s="11">
        <v>20</v>
      </c>
      <c r="G53" s="11">
        <f t="shared" si="0"/>
        <v>0.4</v>
      </c>
      <c r="M53" s="9"/>
    </row>
    <row r="54" spans="2:13" ht="18">
      <c r="B54" s="3"/>
      <c r="C54" s="326" t="s">
        <v>29</v>
      </c>
      <c r="D54" s="11">
        <v>0.02</v>
      </c>
      <c r="E54" s="11">
        <v>1</v>
      </c>
      <c r="F54" s="11">
        <v>20</v>
      </c>
      <c r="G54" s="11">
        <f t="shared" si="0"/>
        <v>0.4</v>
      </c>
      <c r="I54" s="372" t="s">
        <v>94</v>
      </c>
      <c r="J54" s="373" t="s">
        <v>442</v>
      </c>
      <c r="K54" s="373" t="s">
        <v>440</v>
      </c>
      <c r="L54" s="373" t="s">
        <v>441</v>
      </c>
      <c r="M54" s="9"/>
    </row>
    <row r="55" spans="2:13">
      <c r="B55" s="3"/>
      <c r="C55" s="326" t="s">
        <v>23</v>
      </c>
      <c r="D55" s="11">
        <v>0.18</v>
      </c>
      <c r="E55" s="11">
        <v>0.4</v>
      </c>
      <c r="F55" s="11">
        <v>6.5</v>
      </c>
      <c r="G55" s="296">
        <f>2*E55*D55*F55</f>
        <v>0.93599999999999994</v>
      </c>
      <c r="I55" s="11" t="s">
        <v>97</v>
      </c>
      <c r="J55" s="21">
        <v>3</v>
      </c>
      <c r="K55" s="11">
        <v>2</v>
      </c>
      <c r="L55" s="11">
        <v>1</v>
      </c>
      <c r="M55" s="9"/>
    </row>
    <row r="56" spans="2:13" ht="16.5" thickBot="1">
      <c r="B56" s="3"/>
      <c r="C56" s="3"/>
      <c r="D56" s="3"/>
      <c r="E56" s="3"/>
      <c r="F56" s="3"/>
      <c r="G56" s="3"/>
      <c r="I56" s="372" t="s">
        <v>95</v>
      </c>
      <c r="J56" s="323"/>
      <c r="K56" s="10"/>
      <c r="L56" s="324"/>
    </row>
    <row r="57" spans="2:13" ht="15.75" thickBot="1">
      <c r="B57" s="3"/>
      <c r="C57" s="3"/>
      <c r="D57" s="185" t="s">
        <v>417</v>
      </c>
      <c r="G57" s="325">
        <f>SUM(G51:G55)</f>
        <v>2.8559999999999999</v>
      </c>
      <c r="I57" s="11" t="s">
        <v>96</v>
      </c>
      <c r="J57" s="21">
        <f>J55</f>
        <v>3</v>
      </c>
      <c r="K57" s="11">
        <v>2</v>
      </c>
      <c r="L57" s="11">
        <v>1</v>
      </c>
    </row>
    <row r="58" spans="2:13">
      <c r="B58" s="3"/>
      <c r="C58" s="3"/>
      <c r="D58" s="3"/>
      <c r="E58" s="3"/>
      <c r="F58" s="3"/>
      <c r="G58" s="3"/>
    </row>
    <row r="60" spans="2:13" ht="15.75" thickBot="1"/>
    <row r="61" spans="2:13" ht="15.75" thickBot="1">
      <c r="B61" s="3"/>
      <c r="C61" s="582" t="s">
        <v>283</v>
      </c>
      <c r="D61" s="583"/>
      <c r="E61" s="583"/>
      <c r="F61" s="583"/>
      <c r="G61" s="584"/>
      <c r="I61" s="9"/>
      <c r="J61" s="9"/>
      <c r="K61" s="9"/>
    </row>
    <row r="62" spans="2:13">
      <c r="B62" s="3"/>
      <c r="C62" s="25"/>
      <c r="D62" s="25"/>
      <c r="E62" s="25"/>
      <c r="F62" s="25"/>
      <c r="G62" s="25"/>
      <c r="H62" s="3"/>
      <c r="I62" s="323"/>
      <c r="J62" s="323"/>
      <c r="K62" s="9"/>
    </row>
    <row r="63" spans="2:13">
      <c r="B63" s="3"/>
      <c r="C63" s="22" t="s">
        <v>31</v>
      </c>
      <c r="D63" s="12">
        <v>0.22</v>
      </c>
      <c r="H63" s="3"/>
      <c r="I63" s="9"/>
      <c r="J63" s="9"/>
      <c r="K63" s="9"/>
    </row>
    <row r="64" spans="2:13">
      <c r="B64" s="3"/>
      <c r="C64" s="23" t="s">
        <v>32</v>
      </c>
      <c r="D64" s="317">
        <v>0.04</v>
      </c>
      <c r="H64" s="3"/>
      <c r="I64" s="9"/>
      <c r="J64" s="9"/>
      <c r="K64" s="9"/>
    </row>
    <row r="65" spans="2:8">
      <c r="B65" s="3"/>
      <c r="C65" s="23" t="s">
        <v>33</v>
      </c>
      <c r="D65" s="317">
        <v>0.18</v>
      </c>
      <c r="H65" s="3"/>
    </row>
    <row r="66" spans="2:8">
      <c r="B66" s="3"/>
      <c r="C66" s="24" t="s">
        <v>34</v>
      </c>
      <c r="D66" s="8">
        <v>0.5</v>
      </c>
      <c r="H66" s="3"/>
    </row>
    <row r="67" spans="2:8">
      <c r="B67" s="3"/>
      <c r="C67" s="3"/>
      <c r="D67" s="3"/>
      <c r="E67" s="3"/>
      <c r="F67" s="3"/>
      <c r="G67" s="3"/>
      <c r="H67" s="3"/>
    </row>
    <row r="68" spans="2:8">
      <c r="B68" s="3"/>
      <c r="C68" s="3"/>
      <c r="D68" s="326" t="s">
        <v>20</v>
      </c>
      <c r="E68" s="326" t="s">
        <v>21</v>
      </c>
      <c r="F68" s="326" t="s">
        <v>22</v>
      </c>
      <c r="G68" s="326" t="s">
        <v>415</v>
      </c>
      <c r="H68" s="3"/>
    </row>
    <row r="69" spans="2:8">
      <c r="B69" s="3"/>
      <c r="C69" s="326" t="s">
        <v>24</v>
      </c>
      <c r="D69" s="11">
        <v>0.18</v>
      </c>
      <c r="E69" s="11">
        <v>0.1</v>
      </c>
      <c r="F69" s="11">
        <v>25</v>
      </c>
      <c r="G69" s="11">
        <f>2*D69*E69*F69</f>
        <v>0.89999999999999991</v>
      </c>
      <c r="H69" s="3"/>
    </row>
    <row r="70" spans="2:8">
      <c r="B70" s="3"/>
      <c r="C70" s="326" t="s">
        <v>25</v>
      </c>
      <c r="D70" s="11">
        <v>0.04</v>
      </c>
      <c r="E70" s="11">
        <v>1</v>
      </c>
      <c r="F70" s="11">
        <v>25</v>
      </c>
      <c r="G70" s="11">
        <f>D70*E70*F70</f>
        <v>1</v>
      </c>
      <c r="H70" s="3"/>
    </row>
    <row r="71" spans="2:8" ht="15.75" thickBot="1">
      <c r="B71" s="3"/>
      <c r="C71" s="10"/>
      <c r="D71" s="3"/>
      <c r="E71" s="3"/>
      <c r="F71" s="3"/>
      <c r="G71" s="3"/>
      <c r="H71" s="3"/>
    </row>
    <row r="72" spans="2:8" ht="15.75" thickBot="1">
      <c r="B72" s="3"/>
      <c r="C72" s="10"/>
      <c r="D72" s="185" t="s">
        <v>30</v>
      </c>
      <c r="G72" s="325">
        <f>SUM(G69:G70)</f>
        <v>1.9</v>
      </c>
      <c r="H72" s="3"/>
    </row>
    <row r="73" spans="2:8">
      <c r="B73" s="3"/>
      <c r="C73" s="10"/>
      <c r="D73" s="3"/>
      <c r="E73" s="3"/>
      <c r="F73" s="3"/>
      <c r="G73" s="3"/>
      <c r="H73" s="3"/>
    </row>
    <row r="74" spans="2:8">
      <c r="B74" s="3"/>
      <c r="C74" s="10"/>
      <c r="D74" s="326" t="s">
        <v>20</v>
      </c>
      <c r="E74" s="326" t="s">
        <v>21</v>
      </c>
      <c r="F74" s="326" t="s">
        <v>22</v>
      </c>
      <c r="G74" s="326" t="s">
        <v>415</v>
      </c>
    </row>
    <row r="75" spans="2:8">
      <c r="B75" s="3"/>
      <c r="C75" s="326" t="s">
        <v>26</v>
      </c>
      <c r="D75" s="11">
        <v>0.02</v>
      </c>
      <c r="E75" s="11">
        <v>1</v>
      </c>
      <c r="F75" s="11">
        <v>20</v>
      </c>
      <c r="G75" s="11">
        <f>D75*E75*F75</f>
        <v>0.4</v>
      </c>
    </row>
    <row r="76" spans="2:8">
      <c r="B76" s="3"/>
      <c r="C76" s="326" t="s">
        <v>23</v>
      </c>
      <c r="D76" s="11">
        <v>0.18</v>
      </c>
      <c r="E76" s="11">
        <v>0.4</v>
      </c>
      <c r="F76" s="11">
        <v>6.5</v>
      </c>
      <c r="G76" s="296">
        <f>2*E76*D76*F76</f>
        <v>0.93599999999999994</v>
      </c>
    </row>
    <row r="77" spans="2:8">
      <c r="B77" s="3"/>
      <c r="C77" s="326" t="s">
        <v>27</v>
      </c>
      <c r="D77" s="11">
        <v>0.04</v>
      </c>
      <c r="E77" s="11">
        <v>1</v>
      </c>
      <c r="F77" s="11">
        <v>18</v>
      </c>
      <c r="G77" s="11">
        <f>D77*E77*F77</f>
        <v>0.72</v>
      </c>
    </row>
    <row r="78" spans="2:8">
      <c r="B78" s="3"/>
      <c r="C78" s="326" t="s">
        <v>280</v>
      </c>
      <c r="D78" s="11" t="s">
        <v>418</v>
      </c>
      <c r="E78" s="11">
        <v>1</v>
      </c>
      <c r="F78" s="11">
        <v>1</v>
      </c>
      <c r="G78" s="11">
        <v>0.05</v>
      </c>
    </row>
    <row r="79" spans="2:8">
      <c r="B79" s="3"/>
      <c r="C79" s="326" t="s">
        <v>282</v>
      </c>
      <c r="D79" s="11" t="s">
        <v>419</v>
      </c>
      <c r="E79" s="11">
        <v>1</v>
      </c>
      <c r="F79" s="11">
        <v>1</v>
      </c>
      <c r="G79" s="11">
        <v>0.1</v>
      </c>
    </row>
    <row r="80" spans="2:8">
      <c r="B80" s="3"/>
      <c r="C80" s="326" t="s">
        <v>281</v>
      </c>
      <c r="D80" s="11">
        <v>7.0000000000000007E-2</v>
      </c>
      <c r="E80" s="21">
        <v>1</v>
      </c>
      <c r="F80" s="11">
        <v>16</v>
      </c>
      <c r="G80" s="11">
        <f>D80*F80</f>
        <v>1.1200000000000001</v>
      </c>
    </row>
    <row r="81" spans="2:8">
      <c r="B81" s="3"/>
      <c r="C81" s="326" t="s">
        <v>28</v>
      </c>
      <c r="D81" s="11">
        <v>0.02</v>
      </c>
      <c r="E81" s="11">
        <v>1</v>
      </c>
      <c r="F81" s="11">
        <v>20</v>
      </c>
      <c r="G81" s="11">
        <f>D81*E81*F81</f>
        <v>0.4</v>
      </c>
    </row>
    <row r="82" spans="2:8">
      <c r="B82" s="3"/>
      <c r="C82" s="326" t="s">
        <v>29</v>
      </c>
      <c r="D82" s="11">
        <v>0.02</v>
      </c>
      <c r="E82" s="11">
        <v>1</v>
      </c>
      <c r="F82" s="11">
        <v>20</v>
      </c>
      <c r="G82" s="11">
        <f>D82*E82*F82</f>
        <v>0.4</v>
      </c>
    </row>
    <row r="83" spans="2:8" ht="15.75" thickBot="1">
      <c r="B83" s="3"/>
      <c r="H83" s="3"/>
    </row>
    <row r="84" spans="2:8" ht="15.75" thickBot="1">
      <c r="B84" s="3"/>
      <c r="C84" s="3"/>
      <c r="D84" s="185" t="s">
        <v>417</v>
      </c>
      <c r="G84" s="325">
        <f>SUM(G75:G83)</f>
        <v>4.1260000000000003</v>
      </c>
      <c r="H84" s="3"/>
    </row>
    <row r="85" spans="2:8">
      <c r="B85" s="3"/>
      <c r="C85" s="3"/>
      <c r="H85" s="3"/>
    </row>
    <row r="86" spans="2:8">
      <c r="B86" s="3"/>
      <c r="C86" s="3"/>
      <c r="D86" s="3"/>
      <c r="E86" s="3"/>
      <c r="F86" s="3"/>
      <c r="G86" s="3"/>
      <c r="H86" s="3"/>
    </row>
    <row r="87" spans="2:8">
      <c r="B87" s="3"/>
      <c r="C87" s="3"/>
      <c r="D87" s="3"/>
      <c r="E87" s="3"/>
      <c r="F87" s="3"/>
      <c r="G87" s="3"/>
      <c r="H87" s="3"/>
    </row>
  </sheetData>
  <mergeCells count="8">
    <mergeCell ref="C61:G61"/>
    <mergeCell ref="J15:L15"/>
    <mergeCell ref="C37:G37"/>
    <mergeCell ref="B2:D2"/>
    <mergeCell ref="F2:H2"/>
    <mergeCell ref="J52:K52"/>
    <mergeCell ref="J2:L2"/>
    <mergeCell ref="J9:L9"/>
  </mergeCells>
  <pageMargins left="0.25" right="0.25" top="0.75" bottom="0.75" header="0.3" footer="0.3"/>
  <pageSetup paperSize="9"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2A10-835A-4000-94FD-0ACA2CE56025}">
  <sheetPr>
    <pageSetUpPr fitToPage="1"/>
  </sheetPr>
  <dimension ref="A1:T161"/>
  <sheetViews>
    <sheetView topLeftCell="G94" workbookViewId="0">
      <selection activeCell="K4" sqref="K4"/>
    </sheetView>
  </sheetViews>
  <sheetFormatPr defaultRowHeight="15"/>
  <cols>
    <col min="3" max="3" width="19.140625" customWidth="1"/>
    <col min="4" max="4" width="13.7109375" customWidth="1"/>
    <col min="5" max="5" width="6.28515625" customWidth="1"/>
    <col min="11" max="11" width="26.140625" customWidth="1"/>
    <col min="12" max="12" width="14" customWidth="1"/>
    <col min="13" max="13" width="11" customWidth="1"/>
    <col min="14" max="14" width="10.42578125" customWidth="1"/>
    <col min="15" max="15" width="11.28515625" customWidth="1"/>
    <col min="16" max="16" width="12.140625" customWidth="1"/>
    <col min="17" max="17" width="16.85546875" customWidth="1"/>
    <col min="18" max="18" width="10.7109375" customWidth="1"/>
    <col min="19" max="19" width="11.28515625" customWidth="1"/>
    <col min="20" max="20" width="20.42578125" customWidth="1"/>
  </cols>
  <sheetData>
    <row r="1" spans="1:14" ht="16.5" thickTop="1" thickBot="1">
      <c r="A1" s="31"/>
      <c r="B1" s="32"/>
      <c r="C1" s="32"/>
      <c r="D1" s="32"/>
      <c r="E1" s="32"/>
      <c r="F1" s="32"/>
      <c r="G1" s="33"/>
      <c r="H1" s="31"/>
      <c r="I1" s="32"/>
      <c r="J1" s="32"/>
      <c r="K1" s="32"/>
      <c r="L1" s="32"/>
      <c r="M1" s="32"/>
      <c r="N1" s="33"/>
    </row>
    <row r="2" spans="1:14" ht="19.5" thickTop="1" thickBot="1">
      <c r="A2" s="34"/>
      <c r="B2" s="623" t="s">
        <v>36</v>
      </c>
      <c r="C2" s="623"/>
      <c r="D2" s="623"/>
      <c r="E2" s="623"/>
      <c r="F2" s="623"/>
      <c r="G2" s="35"/>
      <c r="H2" s="34"/>
      <c r="I2" s="598" t="s">
        <v>92</v>
      </c>
      <c r="J2" s="599"/>
      <c r="K2" s="599"/>
      <c r="L2" s="599"/>
      <c r="M2" s="600"/>
      <c r="N2" s="35"/>
    </row>
    <row r="3" spans="1:14" ht="20.25" thickTop="1" thickBot="1">
      <c r="A3" s="34"/>
      <c r="G3" s="35"/>
      <c r="H3" s="34"/>
      <c r="I3" s="3"/>
      <c r="J3" s="99" t="s">
        <v>98</v>
      </c>
      <c r="K3" s="100">
        <v>1.94</v>
      </c>
      <c r="L3" s="101" t="s">
        <v>99</v>
      </c>
      <c r="M3" s="3"/>
      <c r="N3" s="35"/>
    </row>
    <row r="4" spans="1:14" ht="20.25" thickTop="1" thickBot="1">
      <c r="A4" s="34"/>
      <c r="C4" s="624" t="s">
        <v>37</v>
      </c>
      <c r="D4" s="624"/>
      <c r="E4" s="624"/>
      <c r="G4" s="35"/>
      <c r="H4" s="34"/>
      <c r="I4" s="3"/>
      <c r="J4" s="102" t="s">
        <v>100</v>
      </c>
      <c r="K4" s="10">
        <v>0.8</v>
      </c>
      <c r="L4" s="103"/>
      <c r="M4" s="3"/>
      <c r="N4" s="35"/>
    </row>
    <row r="5" spans="1:14" ht="20.25" thickTop="1" thickBot="1">
      <c r="A5" s="34"/>
      <c r="C5" s="620" t="s">
        <v>38</v>
      </c>
      <c r="D5" s="620"/>
      <c r="E5" s="620"/>
      <c r="G5" s="35"/>
      <c r="H5" s="34"/>
      <c r="I5" s="3"/>
      <c r="J5" s="104" t="s">
        <v>101</v>
      </c>
      <c r="K5" s="10">
        <v>1</v>
      </c>
      <c r="L5" s="103"/>
      <c r="M5" s="3"/>
      <c r="N5" s="35"/>
    </row>
    <row r="6" spans="1:14" ht="20.25" thickTop="1" thickBot="1">
      <c r="A6" s="34"/>
      <c r="C6" s="36"/>
      <c r="D6" s="36"/>
      <c r="E6" s="36"/>
      <c r="G6" s="35"/>
      <c r="H6" s="34"/>
      <c r="I6" s="3"/>
      <c r="J6" s="105" t="s">
        <v>102</v>
      </c>
      <c r="K6" s="106">
        <v>1</v>
      </c>
      <c r="L6" s="107"/>
      <c r="M6" s="3"/>
      <c r="N6" s="35"/>
    </row>
    <row r="7" spans="1:14" ht="20.25" thickTop="1" thickBot="1">
      <c r="A7" s="34"/>
      <c r="C7" s="37"/>
      <c r="D7" s="38" t="s">
        <v>39</v>
      </c>
      <c r="E7" s="39">
        <v>500</v>
      </c>
      <c r="G7" s="35"/>
      <c r="H7" s="34"/>
      <c r="I7" s="3"/>
      <c r="J7" s="96" t="s">
        <v>103</v>
      </c>
      <c r="K7" s="97">
        <f>K3*K4*K5*K6</f>
        <v>1.552</v>
      </c>
      <c r="L7" s="98" t="s">
        <v>4</v>
      </c>
      <c r="M7" s="3"/>
      <c r="N7" s="35"/>
    </row>
    <row r="8" spans="1:14" ht="18.75">
      <c r="A8" s="34"/>
      <c r="C8" s="40" t="s">
        <v>40</v>
      </c>
      <c r="D8" s="41" t="s">
        <v>41</v>
      </c>
      <c r="E8" s="42">
        <v>0.37</v>
      </c>
      <c r="G8" s="35"/>
      <c r="H8" s="34"/>
      <c r="I8" s="3"/>
      <c r="J8" s="3"/>
      <c r="K8" s="3"/>
      <c r="L8" s="3"/>
      <c r="M8" s="3"/>
      <c r="N8" s="35"/>
    </row>
    <row r="9" spans="1:14" ht="19.5" thickBot="1">
      <c r="A9" s="34"/>
      <c r="C9" s="43"/>
      <c r="D9" s="44" t="s">
        <v>42</v>
      </c>
      <c r="E9" s="45">
        <v>27</v>
      </c>
      <c r="G9" s="35"/>
      <c r="H9" s="61"/>
      <c r="I9" s="62"/>
      <c r="J9" s="62"/>
      <c r="K9" s="62"/>
      <c r="L9" s="62"/>
      <c r="M9" s="62"/>
      <c r="N9" s="63"/>
    </row>
    <row r="10" spans="1:14" ht="18" thickTop="1" thickBot="1">
      <c r="A10" s="34"/>
      <c r="C10" s="36"/>
      <c r="D10" s="36"/>
      <c r="E10" s="36"/>
      <c r="G10" s="35"/>
    </row>
    <row r="11" spans="1:14" ht="20.25" thickTop="1" thickBot="1">
      <c r="A11" s="34"/>
      <c r="C11" s="46" t="s">
        <v>43</v>
      </c>
      <c r="D11" s="47" t="s">
        <v>44</v>
      </c>
      <c r="E11" s="48">
        <v>19</v>
      </c>
      <c r="G11" s="35"/>
    </row>
    <row r="12" spans="1:14" ht="18" thickTop="1" thickBot="1">
      <c r="A12" s="34"/>
      <c r="C12" s="36"/>
      <c r="D12" s="36"/>
      <c r="E12" s="36"/>
      <c r="G12" s="35"/>
    </row>
    <row r="13" spans="1:14" ht="20.25" thickTop="1" thickBot="1">
      <c r="A13" s="34"/>
      <c r="C13" s="49" t="s">
        <v>45</v>
      </c>
      <c r="D13" s="47" t="s">
        <v>46</v>
      </c>
      <c r="E13" s="48">
        <v>1</v>
      </c>
      <c r="G13" s="35"/>
    </row>
    <row r="14" spans="1:14" ht="18" thickTop="1" thickBot="1">
      <c r="A14" s="34"/>
      <c r="C14" s="36"/>
      <c r="D14" s="36"/>
      <c r="E14" s="36"/>
      <c r="G14" s="35"/>
    </row>
    <row r="15" spans="1:14" ht="20.25" thickTop="1" thickBot="1">
      <c r="A15" s="34"/>
      <c r="C15" s="50" t="s">
        <v>47</v>
      </c>
      <c r="D15" s="51">
        <f>E9*E13</f>
        <v>27</v>
      </c>
      <c r="E15" s="52" t="s">
        <v>48</v>
      </c>
      <c r="G15" s="35"/>
    </row>
    <row r="16" spans="1:14" ht="18" thickTop="1" thickBot="1">
      <c r="A16" s="34"/>
      <c r="C16" s="36"/>
      <c r="D16" s="36"/>
      <c r="E16" s="36"/>
      <c r="G16" s="35"/>
    </row>
    <row r="17" spans="1:7" ht="18" thickTop="1" thickBot="1">
      <c r="A17" s="34"/>
      <c r="C17" s="619" t="s">
        <v>49</v>
      </c>
      <c r="D17" s="619"/>
      <c r="E17" s="619"/>
      <c r="G17" s="35"/>
    </row>
    <row r="18" spans="1:7" ht="18" thickTop="1" thickBot="1">
      <c r="A18" s="34"/>
      <c r="C18" s="620" t="s">
        <v>50</v>
      </c>
      <c r="D18" s="620"/>
      <c r="E18" s="620"/>
      <c r="G18" s="35"/>
    </row>
    <row r="19" spans="1:7" ht="17.25" thickTop="1">
      <c r="A19" s="34"/>
      <c r="C19" s="36"/>
      <c r="D19" s="36"/>
      <c r="E19" s="36"/>
      <c r="G19" s="35"/>
    </row>
    <row r="20" spans="1:7" ht="17.25" thickBot="1">
      <c r="A20" s="34"/>
      <c r="C20" s="53" t="s">
        <v>51</v>
      </c>
      <c r="D20" s="41">
        <v>50</v>
      </c>
      <c r="E20" s="36" t="s">
        <v>52</v>
      </c>
      <c r="G20" s="35"/>
    </row>
    <row r="21" spans="1:7" ht="17.25" thickTop="1">
      <c r="A21" s="34"/>
      <c r="C21" s="618" t="s">
        <v>53</v>
      </c>
      <c r="D21" s="618"/>
      <c r="E21" s="618"/>
      <c r="G21" s="35"/>
    </row>
    <row r="22" spans="1:7" ht="19.5" thickBot="1">
      <c r="A22" s="34"/>
      <c r="C22" s="54" t="s">
        <v>54</v>
      </c>
      <c r="D22" s="55">
        <v>1</v>
      </c>
      <c r="E22" s="56" t="s">
        <v>52</v>
      </c>
      <c r="G22" s="35"/>
    </row>
    <row r="23" spans="1:7" ht="17.25" thickTop="1">
      <c r="A23" s="34"/>
      <c r="C23" s="618" t="s">
        <v>55</v>
      </c>
      <c r="D23" s="618"/>
      <c r="E23" s="618"/>
      <c r="G23" s="35"/>
    </row>
    <row r="24" spans="1:7" ht="19.5" thickBot="1">
      <c r="A24" s="34"/>
      <c r="C24" s="54" t="s">
        <v>54</v>
      </c>
      <c r="D24" s="57">
        <f>0.65*SQRT(1-0.138*LN(-LN(1-(1/$D$20))))</f>
        <v>0.80622734600790424</v>
      </c>
      <c r="E24" s="56" t="s">
        <v>52</v>
      </c>
      <c r="G24" s="35"/>
    </row>
    <row r="25" spans="1:7" ht="18" thickTop="1" thickBot="1">
      <c r="A25" s="34"/>
      <c r="C25" s="36"/>
      <c r="D25" s="36"/>
      <c r="E25" s="36"/>
      <c r="G25" s="35"/>
    </row>
    <row r="26" spans="1:7" ht="20.25" thickTop="1" thickBot="1">
      <c r="A26" s="34"/>
      <c r="C26" s="50" t="s">
        <v>56</v>
      </c>
      <c r="D26" s="58">
        <f>D15*D22</f>
        <v>27</v>
      </c>
      <c r="E26" s="52" t="s">
        <v>48</v>
      </c>
      <c r="G26" s="35"/>
    </row>
    <row r="27" spans="1:7" ht="18" thickTop="1" thickBot="1">
      <c r="A27" s="34"/>
      <c r="C27" s="36"/>
      <c r="D27" s="36"/>
      <c r="E27" s="36"/>
      <c r="G27" s="35"/>
    </row>
    <row r="28" spans="1:7" ht="18" thickTop="1" thickBot="1">
      <c r="A28" s="34"/>
      <c r="C28" s="619" t="s">
        <v>57</v>
      </c>
      <c r="D28" s="619"/>
      <c r="E28" s="619"/>
      <c r="G28" s="35"/>
    </row>
    <row r="29" spans="1:7" ht="20.25" thickTop="1" thickBot="1">
      <c r="A29" s="34"/>
      <c r="C29" s="620" t="s">
        <v>58</v>
      </c>
      <c r="D29" s="620"/>
      <c r="E29" s="620"/>
      <c r="G29" s="35"/>
    </row>
    <row r="30" spans="1:7" ht="18" thickTop="1" thickBot="1">
      <c r="A30" s="34"/>
      <c r="C30" s="36"/>
      <c r="D30" s="36"/>
      <c r="E30" s="36"/>
      <c r="G30" s="35"/>
    </row>
    <row r="31" spans="1:7" ht="18" thickTop="1" thickBot="1">
      <c r="A31" s="34"/>
      <c r="C31" s="59" t="s">
        <v>59</v>
      </c>
      <c r="D31" s="47">
        <v>1.25</v>
      </c>
      <c r="E31" s="60" t="s">
        <v>60</v>
      </c>
      <c r="G31" s="35"/>
    </row>
    <row r="32" spans="1:7" ht="18" thickTop="1" thickBot="1">
      <c r="A32" s="34"/>
      <c r="C32" s="36"/>
      <c r="D32" s="36"/>
      <c r="E32" s="36"/>
      <c r="G32" s="35"/>
    </row>
    <row r="33" spans="1:7" ht="20.25" thickTop="1" thickBot="1">
      <c r="A33" s="34"/>
      <c r="C33" s="50" t="s">
        <v>61</v>
      </c>
      <c r="D33" s="58">
        <f>(1/2)*D31*(D26^2)</f>
        <v>455.625</v>
      </c>
      <c r="E33" s="52" t="s">
        <v>62</v>
      </c>
      <c r="G33" s="35"/>
    </row>
    <row r="34" spans="1:7" ht="15.75" thickTop="1">
      <c r="A34" s="34"/>
      <c r="G34" s="35"/>
    </row>
    <row r="35" spans="1:7" ht="15.75" thickBot="1">
      <c r="A35" s="61"/>
      <c r="B35" s="62"/>
      <c r="C35" s="62"/>
      <c r="D35" s="62"/>
      <c r="E35" s="62"/>
      <c r="F35" s="62"/>
      <c r="G35" s="63"/>
    </row>
    <row r="36" spans="1:7" ht="16.5" thickTop="1" thickBot="1">
      <c r="A36" s="31"/>
      <c r="B36" s="32"/>
      <c r="C36" s="32"/>
      <c r="D36" s="32"/>
      <c r="E36" s="32"/>
      <c r="F36" s="32"/>
      <c r="G36" s="33"/>
    </row>
    <row r="37" spans="1:7" ht="20.25" thickTop="1" thickBot="1">
      <c r="A37" s="34"/>
      <c r="C37" s="613" t="s">
        <v>63</v>
      </c>
      <c r="D37" s="613"/>
      <c r="E37" s="613"/>
      <c r="G37" s="35"/>
    </row>
    <row r="38" spans="1:7" ht="16.5" thickTop="1" thickBot="1">
      <c r="A38" s="34"/>
      <c r="G38" s="35"/>
    </row>
    <row r="39" spans="1:7" ht="21" thickTop="1" thickBot="1">
      <c r="A39" s="34"/>
      <c r="C39" s="621" t="s">
        <v>64</v>
      </c>
      <c r="D39" s="621"/>
      <c r="E39" s="621"/>
      <c r="G39" s="35"/>
    </row>
    <row r="40" spans="1:7" ht="15.75" thickTop="1">
      <c r="A40" s="34"/>
      <c r="C40" s="622">
        <v>1</v>
      </c>
      <c r="D40" s="622"/>
      <c r="E40" s="622"/>
      <c r="G40" s="35"/>
    </row>
    <row r="41" spans="1:7" ht="15.75" thickBot="1">
      <c r="A41" s="34"/>
      <c r="G41" s="35"/>
    </row>
    <row r="42" spans="1:7" ht="20.25" thickTop="1" thickBot="1">
      <c r="A42" s="34"/>
      <c r="C42" s="59" t="s">
        <v>65</v>
      </c>
      <c r="D42" s="47">
        <v>0.8</v>
      </c>
      <c r="E42" s="64"/>
      <c r="G42" s="35"/>
    </row>
    <row r="43" spans="1:7" ht="18" thickTop="1" thickBot="1">
      <c r="A43" s="34"/>
      <c r="C43" s="36"/>
      <c r="D43" s="36"/>
      <c r="G43" s="35"/>
    </row>
    <row r="44" spans="1:7" ht="20.25" thickTop="1" thickBot="1">
      <c r="A44" s="34"/>
      <c r="C44" s="59" t="s">
        <v>65</v>
      </c>
      <c r="D44" s="47">
        <v>-0.4</v>
      </c>
      <c r="E44" s="64"/>
      <c r="G44" s="35"/>
    </row>
    <row r="45" spans="1:7" ht="18" thickTop="1" thickBot="1">
      <c r="A45" s="34"/>
      <c r="C45" s="65"/>
      <c r="D45" s="65"/>
      <c r="E45" s="65"/>
      <c r="G45" s="35"/>
    </row>
    <row r="46" spans="1:7" ht="20.25" thickTop="1" thickBot="1">
      <c r="A46" s="34"/>
      <c r="C46" s="613" t="s">
        <v>66</v>
      </c>
      <c r="D46" s="613"/>
      <c r="E46" s="613"/>
      <c r="G46" s="35"/>
    </row>
    <row r="47" spans="1:7" ht="18" thickTop="1" thickBot="1">
      <c r="A47" s="34"/>
      <c r="C47" s="36"/>
      <c r="D47" s="66"/>
      <c r="E47" s="36"/>
      <c r="G47" s="35"/>
    </row>
    <row r="48" spans="1:7" ht="15.75" thickTop="1">
      <c r="A48" s="34"/>
      <c r="C48" s="614" t="s">
        <v>443</v>
      </c>
      <c r="D48" s="614"/>
      <c r="E48" s="614"/>
      <c r="G48" s="35"/>
    </row>
    <row r="49" spans="1:7" ht="16.5">
      <c r="A49" s="34"/>
      <c r="B49" s="36"/>
      <c r="C49" s="615" t="s">
        <v>67</v>
      </c>
      <c r="D49" s="615"/>
      <c r="E49" s="615"/>
      <c r="G49" s="35"/>
    </row>
    <row r="50" spans="1:7" ht="17.25" thickBot="1">
      <c r="A50" s="34"/>
      <c r="B50" s="36"/>
      <c r="C50" s="616" t="s">
        <v>68</v>
      </c>
      <c r="D50" s="616"/>
      <c r="E50" s="616"/>
      <c r="G50" s="35"/>
    </row>
    <row r="51" spans="1:7" ht="17.25" thickTop="1">
      <c r="A51" s="34"/>
      <c r="B51" s="36"/>
      <c r="C51" s="36"/>
      <c r="D51" s="36"/>
      <c r="G51" s="35"/>
    </row>
    <row r="52" spans="1:7" ht="17.25" thickBot="1">
      <c r="A52" s="34"/>
      <c r="B52" s="36"/>
      <c r="C52" s="36"/>
      <c r="D52" s="36"/>
      <c r="G52" s="35"/>
    </row>
    <row r="53" spans="1:7" ht="18" thickTop="1" thickBot="1">
      <c r="A53" s="34"/>
      <c r="B53" s="36"/>
      <c r="C53" s="617" t="s">
        <v>69</v>
      </c>
      <c r="D53" s="617"/>
      <c r="E53" s="617"/>
      <c r="G53" s="35"/>
    </row>
    <row r="54" spans="1:7" ht="20.25" thickTop="1" thickBot="1">
      <c r="A54" s="34"/>
      <c r="B54" s="36"/>
      <c r="C54" s="67" t="s">
        <v>70</v>
      </c>
      <c r="D54" s="67" t="s">
        <v>71</v>
      </c>
      <c r="E54" s="67" t="s">
        <v>72</v>
      </c>
      <c r="G54" s="35"/>
    </row>
    <row r="55" spans="1:7" ht="16.5" thickTop="1" thickBot="1">
      <c r="A55" s="34"/>
      <c r="C55" s="68">
        <v>0.23</v>
      </c>
      <c r="D55" s="68">
        <v>0.7</v>
      </c>
      <c r="E55" s="68">
        <f>12</f>
        <v>12</v>
      </c>
      <c r="G55" s="35"/>
    </row>
    <row r="56" spans="1:7" ht="15.75" thickTop="1">
      <c r="A56" s="34"/>
      <c r="C56" s="69"/>
      <c r="D56" s="66"/>
      <c r="E56" s="69"/>
      <c r="G56" s="35"/>
    </row>
    <row r="57" spans="1:7" ht="18.75">
      <c r="A57" s="34"/>
      <c r="C57" s="69" t="s">
        <v>73</v>
      </c>
      <c r="D57" s="70" t="s">
        <v>74</v>
      </c>
      <c r="E57" s="374">
        <f>$C$55^2*$C$40*LN($E$55/$D$55)*(7+$C$40*LN($E$55/$D$55))</f>
        <v>1.4793832611133761</v>
      </c>
      <c r="G57" s="35"/>
    </row>
    <row r="58" spans="1:7">
      <c r="A58" s="34"/>
      <c r="C58" s="69"/>
      <c r="D58" s="69"/>
      <c r="E58" s="72"/>
      <c r="G58" s="35"/>
    </row>
    <row r="59" spans="1:7" ht="18.75">
      <c r="A59" s="34"/>
      <c r="C59" s="66" t="s">
        <v>75</v>
      </c>
      <c r="D59" s="69"/>
      <c r="E59" s="72"/>
      <c r="G59" s="35"/>
    </row>
    <row r="60" spans="1:7" ht="18.75">
      <c r="A60" s="34"/>
      <c r="C60" s="73">
        <v>7</v>
      </c>
      <c r="D60" s="70" t="s">
        <v>76</v>
      </c>
      <c r="E60" s="71">
        <f>$C$55^2*$C$40*LN(C60/$D$55)*(7+$C$40*LN(C60/$D$55))</f>
        <v>1.1331176699800027</v>
      </c>
      <c r="G60" s="35"/>
    </row>
    <row r="61" spans="1:7" ht="15.75" thickBot="1">
      <c r="A61" s="34"/>
      <c r="C61" s="73"/>
      <c r="D61" s="70"/>
      <c r="E61" s="71"/>
      <c r="G61" s="35"/>
    </row>
    <row r="62" spans="1:7" ht="21" thickTop="1" thickBot="1">
      <c r="A62" s="34"/>
      <c r="C62" s="601" t="s">
        <v>77</v>
      </c>
      <c r="D62" s="602"/>
      <c r="E62" s="603"/>
      <c r="G62" s="35"/>
    </row>
    <row r="63" spans="1:7" ht="15.75" thickTop="1">
      <c r="A63" s="34"/>
      <c r="D63" s="74">
        <v>1</v>
      </c>
      <c r="G63" s="35"/>
    </row>
    <row r="64" spans="1:7" ht="15.75" thickBot="1">
      <c r="A64" s="61"/>
      <c r="B64" s="62"/>
      <c r="C64" s="62"/>
      <c r="D64" s="62"/>
      <c r="E64" s="62"/>
      <c r="F64" s="62"/>
      <c r="G64" s="63"/>
    </row>
    <row r="65" spans="1:7" ht="16.5" thickTop="1" thickBot="1">
      <c r="A65" s="31"/>
      <c r="B65" s="32"/>
      <c r="C65" s="32"/>
      <c r="D65" s="32"/>
      <c r="E65" s="32"/>
      <c r="F65" s="32"/>
      <c r="G65" s="33"/>
    </row>
    <row r="66" spans="1:7" ht="18" thickTop="1" thickBot="1">
      <c r="A66" s="34"/>
      <c r="C66" s="604" t="s">
        <v>78</v>
      </c>
      <c r="D66" s="605"/>
      <c r="E66" s="606"/>
      <c r="G66" s="35"/>
    </row>
    <row r="67" spans="1:7" ht="20.25" thickTop="1" thickBot="1">
      <c r="A67" s="34"/>
      <c r="C67" s="610" t="s">
        <v>79</v>
      </c>
      <c r="D67" s="611"/>
      <c r="E67" s="612"/>
      <c r="G67" s="35"/>
    </row>
    <row r="68" spans="1:7" ht="16.5" thickTop="1" thickBot="1">
      <c r="A68" s="34"/>
      <c r="G68" s="35"/>
    </row>
    <row r="69" spans="1:7" ht="15.75" thickTop="1">
      <c r="A69" s="34"/>
      <c r="C69" s="83" t="s">
        <v>80</v>
      </c>
      <c r="D69" s="84" t="s">
        <v>81</v>
      </c>
      <c r="E69" s="84" t="s">
        <v>82</v>
      </c>
      <c r="G69" s="35"/>
    </row>
    <row r="70" spans="1:7" ht="15.75" thickBot="1">
      <c r="A70" s="34"/>
      <c r="C70" s="85">
        <v>0</v>
      </c>
      <c r="D70" s="86">
        <f>$D$33*$E$57*$D$42*$D$63</f>
        <v>539.2351986758257</v>
      </c>
      <c r="E70" s="86">
        <f>$D$33*$E$57*$D$44*$D$63</f>
        <v>-269.61759933791285</v>
      </c>
      <c r="G70" s="35"/>
    </row>
    <row r="71" spans="1:7" ht="16.5" thickTop="1" thickBot="1">
      <c r="A71" s="34"/>
      <c r="C71" s="77">
        <v>4</v>
      </c>
      <c r="D71" s="78">
        <f>$D$33*$E$57*$D$42*$D$63</f>
        <v>539.2351986758257</v>
      </c>
      <c r="E71" s="78">
        <f>$D$33*$E$57*$D$44*$D$63</f>
        <v>-269.61759933791285</v>
      </c>
      <c r="G71" s="35"/>
    </row>
    <row r="72" spans="1:7" ht="16.5" thickTop="1" thickBot="1">
      <c r="A72" s="34"/>
      <c r="C72" s="87">
        <v>7</v>
      </c>
      <c r="D72" s="88">
        <f>$D$33*E60*$D$42*$D$63</f>
        <v>413.02139070771102</v>
      </c>
      <c r="E72" s="88">
        <f>$D$33*E60*$D$44*$D$63</f>
        <v>-206.51069535385551</v>
      </c>
      <c r="G72" s="35"/>
    </row>
    <row r="73" spans="1:7" ht="16.5" thickTop="1" thickBot="1">
      <c r="A73" s="34"/>
      <c r="C73" s="10"/>
      <c r="D73" s="82"/>
      <c r="E73" s="82"/>
      <c r="F73" s="3"/>
      <c r="G73" s="35"/>
    </row>
    <row r="74" spans="1:7" ht="16.5" thickTop="1" thickBot="1">
      <c r="A74" s="34"/>
      <c r="C74" s="607" t="s">
        <v>83</v>
      </c>
      <c r="D74" s="608"/>
      <c r="E74" s="609"/>
      <c r="G74" s="35"/>
    </row>
    <row r="75" spans="1:7" ht="16.5" thickTop="1" thickBot="1">
      <c r="A75" s="34"/>
      <c r="C75" s="75" t="s">
        <v>80</v>
      </c>
      <c r="D75" s="76" t="s">
        <v>84</v>
      </c>
      <c r="E75" s="76" t="s">
        <v>85</v>
      </c>
      <c r="G75" s="35"/>
    </row>
    <row r="76" spans="1:7" ht="16.5" thickTop="1" thickBot="1">
      <c r="A76" s="34"/>
      <c r="C76" s="77">
        <v>0</v>
      </c>
      <c r="D76" s="78">
        <f t="shared" ref="D76:E78" si="0">D70/1000</f>
        <v>0.5392351986758257</v>
      </c>
      <c r="E76" s="78">
        <f t="shared" si="0"/>
        <v>-0.26961759933791285</v>
      </c>
      <c r="G76" s="35"/>
    </row>
    <row r="77" spans="1:7" ht="16.5" thickTop="1" thickBot="1">
      <c r="A77" s="34"/>
      <c r="C77" s="77">
        <v>4</v>
      </c>
      <c r="D77" s="78">
        <f t="shared" si="0"/>
        <v>0.5392351986758257</v>
      </c>
      <c r="E77" s="78">
        <f t="shared" si="0"/>
        <v>-0.26961759933791285</v>
      </c>
      <c r="G77" s="35"/>
    </row>
    <row r="78" spans="1:7" ht="16.5" thickTop="1" thickBot="1">
      <c r="A78" s="34"/>
      <c r="C78" s="87">
        <v>7</v>
      </c>
      <c r="D78" s="88">
        <f t="shared" si="0"/>
        <v>0.41302139070771104</v>
      </c>
      <c r="E78" s="88">
        <f t="shared" si="0"/>
        <v>-0.20651069535385552</v>
      </c>
      <c r="G78" s="35"/>
    </row>
    <row r="79" spans="1:7" ht="16.5" thickTop="1" thickBot="1">
      <c r="A79" s="34"/>
      <c r="G79" s="35"/>
    </row>
    <row r="80" spans="1:7" ht="18" thickTop="1" thickBot="1">
      <c r="A80" s="34"/>
      <c r="C80" s="604" t="s">
        <v>86</v>
      </c>
      <c r="D80" s="605"/>
      <c r="E80" s="606"/>
      <c r="G80" s="35"/>
    </row>
    <row r="81" spans="1:7" ht="20.25" thickTop="1" thickBot="1">
      <c r="A81" s="34"/>
      <c r="C81" s="93" t="s">
        <v>87</v>
      </c>
      <c r="D81" s="94"/>
      <c r="E81" s="95"/>
      <c r="G81" s="35"/>
    </row>
    <row r="82" spans="1:7" ht="16.5" thickTop="1" thickBot="1">
      <c r="A82" s="34"/>
      <c r="G82" s="35"/>
    </row>
    <row r="83" spans="1:7" ht="20.25" thickTop="1" thickBot="1">
      <c r="A83" s="34"/>
      <c r="C83" s="77" t="s">
        <v>88</v>
      </c>
      <c r="D83" s="77" t="s">
        <v>89</v>
      </c>
      <c r="E83" s="77">
        <v>0.01</v>
      </c>
      <c r="G83" s="35"/>
    </row>
    <row r="84" spans="1:7" ht="16.5" thickTop="1" thickBot="1">
      <c r="A84" s="34"/>
      <c r="G84" s="35"/>
    </row>
    <row r="85" spans="1:7" ht="16.5" thickTop="1" thickBot="1">
      <c r="A85" s="34"/>
      <c r="C85" s="70" t="s">
        <v>80</v>
      </c>
      <c r="D85" s="76" t="s">
        <v>90</v>
      </c>
      <c r="G85" s="35"/>
    </row>
    <row r="86" spans="1:7" ht="16.5" thickTop="1" thickBot="1">
      <c r="A86" s="34"/>
      <c r="C86" s="70">
        <v>0</v>
      </c>
      <c r="D86" s="79">
        <f>$D$33*$E$57*$E$83</f>
        <v>6.7404399834478204</v>
      </c>
      <c r="G86" s="35"/>
    </row>
    <row r="87" spans="1:7" ht="16.5" thickTop="1" thickBot="1">
      <c r="A87" s="34"/>
      <c r="C87" s="70">
        <v>4</v>
      </c>
      <c r="D87" s="79">
        <f>$D$33*$E$57*$E$83</f>
        <v>6.7404399834478204</v>
      </c>
      <c r="G87" s="35"/>
    </row>
    <row r="88" spans="1:7" ht="16.5" thickTop="1" thickBot="1">
      <c r="A88" s="34"/>
      <c r="C88" s="70">
        <v>7</v>
      </c>
      <c r="D88" s="92">
        <f>$D$33*E60*$E$83</f>
        <v>5.1627673838463872</v>
      </c>
      <c r="G88" s="35"/>
    </row>
    <row r="89" spans="1:7" ht="16.5" thickTop="1" thickBot="1">
      <c r="A89" s="34"/>
      <c r="G89" s="35"/>
    </row>
    <row r="90" spans="1:7" ht="16.5" thickTop="1" thickBot="1">
      <c r="A90" s="34"/>
      <c r="C90" s="607" t="s">
        <v>83</v>
      </c>
      <c r="D90" s="608"/>
      <c r="E90" s="609"/>
      <c r="G90" s="35"/>
    </row>
    <row r="91" spans="1:7" ht="16.5" thickTop="1" thickBot="1">
      <c r="A91" s="34"/>
      <c r="C91" s="2"/>
      <c r="D91" s="80"/>
      <c r="E91" s="80"/>
      <c r="G91" s="35"/>
    </row>
    <row r="92" spans="1:7" ht="16.5" thickTop="1" thickBot="1">
      <c r="A92" s="34"/>
      <c r="C92" s="70" t="s">
        <v>80</v>
      </c>
      <c r="D92" s="76" t="s">
        <v>91</v>
      </c>
      <c r="G92" s="35"/>
    </row>
    <row r="93" spans="1:7" ht="16.5" thickTop="1" thickBot="1">
      <c r="A93" s="34"/>
      <c r="C93" s="70">
        <v>0</v>
      </c>
      <c r="D93" s="81">
        <f>D86/1000</f>
        <v>6.7404399834478206E-3</v>
      </c>
      <c r="G93" s="35"/>
    </row>
    <row r="94" spans="1:7" ht="16.5" thickTop="1" thickBot="1">
      <c r="A94" s="34"/>
      <c r="C94" s="70">
        <v>4</v>
      </c>
      <c r="D94" s="81">
        <f>D87/1000</f>
        <v>6.7404399834478206E-3</v>
      </c>
      <c r="G94" s="35"/>
    </row>
    <row r="95" spans="1:7" ht="16.5" thickTop="1" thickBot="1">
      <c r="A95" s="34"/>
      <c r="C95" s="70">
        <v>7</v>
      </c>
      <c r="D95" s="91">
        <f>D88/1000</f>
        <v>5.1627673838463874E-3</v>
      </c>
      <c r="G95" s="35"/>
    </row>
    <row r="96" spans="1:7" ht="15.75" thickTop="1">
      <c r="A96" s="34"/>
      <c r="G96" s="35"/>
    </row>
    <row r="97" spans="1:20" ht="15.75" thickBot="1">
      <c r="A97" s="61"/>
      <c r="B97" s="62"/>
      <c r="C97" s="62"/>
      <c r="D97" s="62"/>
      <c r="E97" s="62"/>
      <c r="F97" s="62"/>
      <c r="G97" s="63"/>
    </row>
    <row r="98" spans="1:20" ht="15.75" thickTop="1">
      <c r="L98">
        <v>0.67432999999999998</v>
      </c>
    </row>
    <row r="99" spans="1:20">
      <c r="A99" s="34"/>
      <c r="B99" s="324"/>
      <c r="C99" s="324"/>
      <c r="D99" s="324"/>
      <c r="E99" s="10"/>
      <c r="F99" s="10"/>
      <c r="G99" s="10"/>
      <c r="H99" s="10"/>
      <c r="I99" s="324"/>
      <c r="J99" s="324"/>
      <c r="K99" s="324"/>
      <c r="L99" s="324"/>
      <c r="M99" s="324"/>
    </row>
    <row r="100" spans="1:20">
      <c r="A100" s="34"/>
      <c r="B100" s="324"/>
      <c r="C100" s="324"/>
      <c r="D100" s="324"/>
      <c r="E100" s="10"/>
      <c r="F100" s="10"/>
      <c r="G100" s="10"/>
      <c r="H100" s="10"/>
      <c r="I100" s="324"/>
      <c r="J100" s="324"/>
      <c r="K100" s="324"/>
      <c r="L100" s="324"/>
      <c r="M100" s="324"/>
    </row>
    <row r="101" spans="1:20">
      <c r="A101" s="34"/>
      <c r="J101" s="324"/>
      <c r="K101" s="324"/>
      <c r="L101" s="324"/>
      <c r="M101" s="324"/>
    </row>
    <row r="102" spans="1:20" ht="18.75">
      <c r="A102" s="34"/>
      <c r="B102" s="324"/>
      <c r="C102" s="10"/>
      <c r="D102" s="90"/>
      <c r="E102" s="10"/>
      <c r="F102" s="10"/>
      <c r="G102" s="10"/>
      <c r="H102" s="10"/>
      <c r="I102" s="324"/>
      <c r="J102" s="324"/>
      <c r="K102" s="324"/>
      <c r="L102" s="378" t="s">
        <v>449</v>
      </c>
      <c r="M102" s="597" t="s">
        <v>444</v>
      </c>
      <c r="N102" s="597"/>
      <c r="O102" s="597" t="s">
        <v>445</v>
      </c>
      <c r="P102" s="597"/>
      <c r="Q102" s="378" t="s">
        <v>446</v>
      </c>
      <c r="R102" s="597" t="s">
        <v>447</v>
      </c>
      <c r="S102" s="597"/>
      <c r="T102" s="378" t="s">
        <v>448</v>
      </c>
    </row>
    <row r="103" spans="1:20" ht="18.75">
      <c r="A103" s="34"/>
      <c r="B103" s="324"/>
      <c r="C103" s="324"/>
      <c r="D103" s="324"/>
      <c r="E103" s="10"/>
      <c r="F103" s="10"/>
      <c r="G103" s="10"/>
      <c r="H103" s="10"/>
      <c r="I103" s="324"/>
      <c r="J103" s="324"/>
      <c r="K103" s="324"/>
      <c r="L103" s="324"/>
      <c r="M103" s="375" t="s">
        <v>451</v>
      </c>
      <c r="N103" s="376" t="s">
        <v>452</v>
      </c>
      <c r="O103" s="377" t="s">
        <v>451</v>
      </c>
      <c r="P103" s="376" t="s">
        <v>452</v>
      </c>
      <c r="Q103" s="377" t="s">
        <v>453</v>
      </c>
      <c r="R103" s="377" t="s">
        <v>451</v>
      </c>
      <c r="S103" s="376" t="s">
        <v>452</v>
      </c>
      <c r="T103" s="377" t="s">
        <v>453</v>
      </c>
    </row>
    <row r="104" spans="1:20">
      <c r="B104" s="324"/>
      <c r="C104" s="324"/>
      <c r="D104" s="324"/>
      <c r="E104" s="10"/>
      <c r="F104" s="10"/>
      <c r="G104" s="10"/>
      <c r="H104" s="10"/>
      <c r="I104" s="324"/>
      <c r="J104" s="324"/>
      <c r="K104" s="324"/>
      <c r="L104" s="324"/>
      <c r="M104" s="11">
        <v>-1</v>
      </c>
      <c r="N104" s="11">
        <v>-1.3</v>
      </c>
      <c r="O104" s="11">
        <v>0.8</v>
      </c>
      <c r="P104" s="11">
        <v>-1</v>
      </c>
      <c r="Q104" s="11">
        <v>-0.5</v>
      </c>
      <c r="R104" s="11">
        <v>0.8</v>
      </c>
      <c r="S104" s="11">
        <v>1</v>
      </c>
      <c r="T104" s="11">
        <v>-0.3</v>
      </c>
    </row>
    <row r="105" spans="1:20" ht="18.75" customHeight="1">
      <c r="B105" s="324"/>
      <c r="C105" s="324"/>
      <c r="D105" s="324"/>
      <c r="E105" s="10"/>
      <c r="F105" s="10"/>
      <c r="G105" s="10"/>
      <c r="H105" s="10"/>
      <c r="I105" s="324"/>
      <c r="J105" s="324"/>
      <c r="K105" s="324"/>
      <c r="L105" s="379" t="s">
        <v>450</v>
      </c>
      <c r="M105" s="380">
        <f>$L98*M104</f>
        <v>-0.67432999999999998</v>
      </c>
      <c r="N105" s="380">
        <f t="shared" ref="N105:T105" si="1">$L98*N104</f>
        <v>-0.87662899999999999</v>
      </c>
      <c r="O105" s="380">
        <f t="shared" si="1"/>
        <v>0.53946400000000005</v>
      </c>
      <c r="P105" s="380">
        <f t="shared" si="1"/>
        <v>-0.67432999999999998</v>
      </c>
      <c r="Q105" s="380">
        <f t="shared" si="1"/>
        <v>-0.33716499999999999</v>
      </c>
      <c r="R105" s="380">
        <f t="shared" si="1"/>
        <v>0.53946400000000005</v>
      </c>
      <c r="S105" s="380">
        <f t="shared" si="1"/>
        <v>0.67432999999999998</v>
      </c>
      <c r="T105" s="380">
        <f t="shared" si="1"/>
        <v>-0.20229899999999998</v>
      </c>
    </row>
    <row r="106" spans="1:20">
      <c r="B106" s="324"/>
      <c r="C106" s="324"/>
      <c r="D106" s="324"/>
      <c r="E106" s="10"/>
      <c r="F106" s="10"/>
      <c r="G106" s="10"/>
      <c r="H106" s="10"/>
      <c r="I106" s="324"/>
      <c r="J106" s="324"/>
      <c r="K106" s="324"/>
      <c r="L106" s="324"/>
      <c r="M106" s="324"/>
    </row>
    <row r="107" spans="1:20">
      <c r="B107" s="324"/>
      <c r="C107" s="324"/>
      <c r="D107" s="324"/>
      <c r="E107" s="324"/>
      <c r="F107" s="324"/>
      <c r="G107" s="324"/>
      <c r="H107" s="324"/>
      <c r="I107" s="324"/>
      <c r="J107" s="324"/>
      <c r="K107" s="324"/>
      <c r="L107" s="324"/>
      <c r="M107" s="324"/>
    </row>
    <row r="108" spans="1:20">
      <c r="B108" s="324"/>
      <c r="C108" s="324"/>
      <c r="D108" s="324"/>
      <c r="E108" s="324"/>
      <c r="F108" s="324"/>
      <c r="G108" s="324"/>
      <c r="H108" s="324"/>
      <c r="I108" s="324"/>
      <c r="J108" s="324"/>
      <c r="K108" s="324"/>
      <c r="L108" s="324"/>
      <c r="M108" s="324"/>
    </row>
    <row r="109" spans="1:20">
      <c r="A109" s="9"/>
      <c r="B109" s="323"/>
      <c r="C109" s="323"/>
      <c r="D109" s="323"/>
      <c r="E109" s="323"/>
      <c r="F109" s="323"/>
      <c r="G109" s="323"/>
      <c r="H109" s="323"/>
      <c r="I109" s="324"/>
      <c r="J109" s="324"/>
      <c r="K109" s="324"/>
      <c r="L109" s="324"/>
      <c r="M109" s="324"/>
    </row>
    <row r="110" spans="1:20">
      <c r="A110" s="9"/>
      <c r="B110" s="323"/>
      <c r="C110" s="323"/>
      <c r="D110" s="323"/>
      <c r="E110" s="323"/>
      <c r="F110" s="323"/>
      <c r="G110" s="323"/>
      <c r="H110" s="323"/>
      <c r="I110" s="324"/>
      <c r="J110" s="324"/>
      <c r="K110" s="324"/>
      <c r="L110" s="324"/>
      <c r="M110" s="324"/>
    </row>
    <row r="111" spans="1:20">
      <c r="A111" s="9"/>
      <c r="B111" s="323"/>
      <c r="C111" s="323"/>
      <c r="D111" s="323"/>
      <c r="E111" s="323"/>
      <c r="F111" s="323"/>
      <c r="G111" s="323"/>
      <c r="H111" s="323"/>
      <c r="I111" s="324"/>
      <c r="J111" s="324"/>
      <c r="K111" s="324"/>
      <c r="L111" s="324"/>
      <c r="M111" s="324"/>
    </row>
    <row r="112" spans="1:20">
      <c r="A112" s="9"/>
      <c r="B112" s="323"/>
      <c r="C112" s="323"/>
      <c r="D112" s="323"/>
      <c r="E112" s="323"/>
      <c r="F112" s="323"/>
      <c r="G112" s="323"/>
      <c r="H112" s="323"/>
      <c r="I112" s="324"/>
      <c r="J112" s="324"/>
      <c r="K112" s="324"/>
      <c r="L112" s="324"/>
      <c r="M112" s="324"/>
    </row>
    <row r="113" spans="1:8">
      <c r="A113" s="9"/>
      <c r="B113" s="9"/>
      <c r="C113" s="9"/>
      <c r="D113" s="9"/>
      <c r="E113" s="9"/>
      <c r="F113" s="9"/>
      <c r="G113" s="9"/>
      <c r="H113" s="9"/>
    </row>
    <row r="114" spans="1:8">
      <c r="A114" s="9"/>
      <c r="B114" s="9"/>
      <c r="C114" s="9"/>
      <c r="D114" s="9"/>
      <c r="E114" s="9"/>
      <c r="F114" s="9"/>
      <c r="G114" s="9"/>
      <c r="H114" s="9"/>
    </row>
    <row r="115" spans="1:8">
      <c r="A115" s="9"/>
      <c r="B115" s="9"/>
      <c r="C115" s="9"/>
      <c r="D115" s="9"/>
      <c r="E115" s="9"/>
      <c r="F115" s="9"/>
      <c r="G115" s="9"/>
      <c r="H115" s="9"/>
    </row>
    <row r="116" spans="1:8">
      <c r="A116" s="9"/>
      <c r="B116" s="9"/>
      <c r="C116" s="9"/>
      <c r="D116" s="9"/>
      <c r="E116" s="9"/>
      <c r="F116" s="9"/>
      <c r="G116" s="9"/>
      <c r="H116" s="9"/>
    </row>
    <row r="117" spans="1:8">
      <c r="A117" s="9"/>
      <c r="B117" s="9"/>
      <c r="C117" s="9"/>
      <c r="D117" s="9"/>
      <c r="E117" s="9"/>
      <c r="F117" s="9"/>
      <c r="G117" s="9"/>
      <c r="H117" s="9"/>
    </row>
    <row r="118" spans="1:8">
      <c r="A118" s="9"/>
      <c r="B118" s="9"/>
      <c r="C118" s="9"/>
      <c r="D118" s="9"/>
      <c r="E118" s="9"/>
      <c r="F118" s="9"/>
      <c r="G118" s="9"/>
      <c r="H118" s="9"/>
    </row>
    <row r="119" spans="1:8">
      <c r="A119" s="9"/>
      <c r="B119" s="9"/>
      <c r="C119" s="9"/>
      <c r="D119" s="9"/>
      <c r="E119" s="9"/>
      <c r="F119" s="9"/>
      <c r="G119" s="9"/>
      <c r="H119" s="9"/>
    </row>
    <row r="120" spans="1:8">
      <c r="A120" s="9"/>
      <c r="B120" s="9"/>
      <c r="C120" s="9"/>
      <c r="D120" s="9"/>
      <c r="E120" s="9"/>
      <c r="F120" s="9"/>
      <c r="G120" s="9"/>
      <c r="H120" s="9"/>
    </row>
    <row r="121" spans="1:8">
      <c r="A121" s="9"/>
      <c r="B121" s="9"/>
      <c r="C121" s="9"/>
      <c r="D121" s="9"/>
      <c r="E121" s="9"/>
      <c r="F121" s="9"/>
      <c r="G121" s="9"/>
      <c r="H121" s="9"/>
    </row>
    <row r="122" spans="1:8">
      <c r="A122" s="9"/>
      <c r="B122" s="9"/>
      <c r="C122" s="9"/>
      <c r="D122" s="9"/>
      <c r="E122" s="9"/>
      <c r="F122" s="9"/>
      <c r="G122" s="9"/>
      <c r="H122" s="9"/>
    </row>
    <row r="123" spans="1:8">
      <c r="A123" s="9"/>
      <c r="B123" s="9"/>
      <c r="C123" s="9"/>
      <c r="D123" s="9"/>
      <c r="E123" s="9"/>
      <c r="F123" s="9"/>
      <c r="G123" s="9"/>
      <c r="H123" s="9"/>
    </row>
    <row r="124" spans="1:8">
      <c r="A124" s="9"/>
      <c r="B124" s="9"/>
      <c r="C124" s="9"/>
      <c r="D124" s="9"/>
      <c r="E124" s="9"/>
      <c r="F124" s="9"/>
      <c r="G124" s="9"/>
      <c r="H124" s="9"/>
    </row>
    <row r="125" spans="1:8">
      <c r="A125" s="9"/>
      <c r="B125" s="9"/>
      <c r="C125" s="9"/>
      <c r="D125" s="9"/>
      <c r="E125" s="9"/>
      <c r="F125" s="9"/>
      <c r="G125" s="9"/>
      <c r="H125" s="9"/>
    </row>
    <row r="126" spans="1:8">
      <c r="A126" s="9"/>
      <c r="B126" s="9"/>
      <c r="C126" s="9"/>
      <c r="D126" s="9"/>
      <c r="E126" s="9"/>
      <c r="F126" s="9"/>
      <c r="G126" s="9"/>
      <c r="H126" s="9"/>
    </row>
    <row r="127" spans="1:8">
      <c r="A127" s="9"/>
      <c r="B127" s="9"/>
      <c r="C127" s="9"/>
      <c r="D127" s="9"/>
      <c r="E127" s="9"/>
      <c r="F127" s="9"/>
      <c r="G127" s="9"/>
      <c r="H127" s="9"/>
    </row>
    <row r="128" spans="1:8">
      <c r="A128" s="9"/>
      <c r="B128" s="9"/>
      <c r="C128" s="9"/>
      <c r="D128" s="9"/>
      <c r="E128" s="9"/>
      <c r="F128" s="9"/>
      <c r="G128" s="9"/>
      <c r="H128" s="9"/>
    </row>
    <row r="129" spans="1:8">
      <c r="A129" s="9"/>
      <c r="B129" s="9"/>
      <c r="C129" s="9"/>
      <c r="D129" s="9"/>
      <c r="E129" s="9"/>
      <c r="F129" s="9"/>
      <c r="G129" s="9"/>
      <c r="H129" s="9"/>
    </row>
    <row r="130" spans="1:8">
      <c r="A130" s="9"/>
      <c r="B130" s="9"/>
      <c r="C130" s="9"/>
      <c r="D130" s="9"/>
      <c r="E130" s="9"/>
      <c r="F130" s="9"/>
      <c r="G130" s="9"/>
      <c r="H130" s="9"/>
    </row>
    <row r="131" spans="1:8">
      <c r="A131" s="9"/>
      <c r="B131" s="9"/>
      <c r="C131" s="9"/>
      <c r="D131" s="9"/>
      <c r="E131" s="9"/>
      <c r="F131" s="9"/>
      <c r="G131" s="9"/>
      <c r="H131" s="9"/>
    </row>
    <row r="132" spans="1:8">
      <c r="A132" s="9"/>
      <c r="B132" s="9"/>
      <c r="C132" s="9"/>
      <c r="D132" s="9"/>
      <c r="E132" s="9"/>
      <c r="F132" s="9"/>
      <c r="G132" s="9"/>
      <c r="H132" s="9"/>
    </row>
    <row r="133" spans="1:8">
      <c r="A133" s="9"/>
      <c r="B133" s="9"/>
      <c r="C133" s="9"/>
      <c r="D133" s="9"/>
      <c r="E133" s="9"/>
      <c r="F133" s="9"/>
      <c r="G133" s="9"/>
      <c r="H133" s="9"/>
    </row>
    <row r="134" spans="1:8">
      <c r="A134" s="9"/>
      <c r="B134" s="9"/>
      <c r="C134" s="9"/>
      <c r="D134" s="9"/>
      <c r="E134" s="9"/>
      <c r="F134" s="9"/>
      <c r="G134" s="9"/>
      <c r="H134" s="9"/>
    </row>
    <row r="135" spans="1:8">
      <c r="A135" s="9"/>
      <c r="B135" s="9"/>
      <c r="C135" s="9"/>
      <c r="D135" s="9"/>
      <c r="E135" s="9"/>
      <c r="F135" s="9"/>
      <c r="G135" s="9"/>
      <c r="H135" s="9"/>
    </row>
    <row r="136" spans="1:8">
      <c r="A136" s="9"/>
      <c r="B136" s="9"/>
      <c r="C136" s="9"/>
      <c r="D136" s="9"/>
      <c r="E136" s="9"/>
      <c r="F136" s="9"/>
      <c r="G136" s="9"/>
      <c r="H136" s="9"/>
    </row>
    <row r="137" spans="1:8">
      <c r="A137" s="9"/>
      <c r="B137" s="9"/>
      <c r="C137" s="9"/>
      <c r="D137" s="9"/>
      <c r="E137" s="9"/>
      <c r="F137" s="9"/>
      <c r="G137" s="9"/>
      <c r="H137" s="9"/>
    </row>
    <row r="138" spans="1:8">
      <c r="A138" s="9"/>
      <c r="B138" s="9"/>
      <c r="C138" s="9"/>
      <c r="D138" s="9"/>
      <c r="E138" s="9"/>
      <c r="F138" s="9"/>
      <c r="G138" s="9"/>
      <c r="H138" s="9"/>
    </row>
    <row r="139" spans="1:8">
      <c r="A139" s="9"/>
      <c r="B139" s="9"/>
      <c r="C139" s="9"/>
      <c r="D139" s="9"/>
      <c r="E139" s="9"/>
      <c r="F139" s="9"/>
      <c r="G139" s="9"/>
      <c r="H139" s="9"/>
    </row>
    <row r="140" spans="1:8">
      <c r="A140" s="9"/>
      <c r="B140" s="9"/>
      <c r="C140" s="9"/>
      <c r="D140" s="9"/>
      <c r="E140" s="9"/>
      <c r="F140" s="9"/>
      <c r="G140" s="9"/>
      <c r="H140" s="9"/>
    </row>
    <row r="141" spans="1:8">
      <c r="A141" s="9"/>
      <c r="B141" s="9"/>
      <c r="C141" s="9"/>
      <c r="D141" s="9"/>
      <c r="E141" s="9"/>
      <c r="F141" s="9"/>
      <c r="G141" s="9"/>
      <c r="H141" s="9"/>
    </row>
    <row r="142" spans="1:8">
      <c r="A142" s="9"/>
      <c r="B142" s="9"/>
      <c r="C142" s="9"/>
      <c r="D142" s="9"/>
      <c r="E142" s="9"/>
      <c r="F142" s="9"/>
      <c r="G142" s="9"/>
      <c r="H142" s="9"/>
    </row>
    <row r="143" spans="1:8">
      <c r="A143" s="9"/>
      <c r="B143" s="9"/>
      <c r="C143" s="9"/>
      <c r="D143" s="9"/>
      <c r="E143" s="9"/>
      <c r="F143" s="9"/>
      <c r="G143" s="9"/>
      <c r="H143" s="9"/>
    </row>
    <row r="144" spans="1:8">
      <c r="A144" s="9"/>
      <c r="B144" s="9"/>
      <c r="C144" s="9"/>
      <c r="D144" s="9"/>
      <c r="E144" s="9"/>
      <c r="F144" s="9"/>
      <c r="G144" s="9"/>
      <c r="H144" s="9"/>
    </row>
    <row r="145" spans="1:8">
      <c r="A145" s="9"/>
      <c r="B145" s="9"/>
      <c r="C145" s="9"/>
      <c r="D145" s="9"/>
      <c r="E145" s="9"/>
      <c r="F145" s="9"/>
      <c r="G145" s="9"/>
      <c r="H145" s="9"/>
    </row>
    <row r="146" spans="1:8">
      <c r="A146" s="9"/>
      <c r="B146" s="9"/>
      <c r="C146" s="9"/>
      <c r="D146" s="9"/>
      <c r="E146" s="9"/>
      <c r="F146" s="9"/>
      <c r="G146" s="9"/>
      <c r="H146" s="9"/>
    </row>
    <row r="147" spans="1:8">
      <c r="A147" s="9"/>
      <c r="B147" s="9"/>
      <c r="C147" s="9"/>
      <c r="D147" s="9"/>
      <c r="E147" s="9"/>
      <c r="F147" s="9"/>
      <c r="G147" s="9"/>
      <c r="H147" s="9"/>
    </row>
    <row r="148" spans="1:8">
      <c r="A148" s="9"/>
      <c r="B148" s="9"/>
      <c r="C148" s="9"/>
      <c r="D148" s="9"/>
      <c r="E148" s="9"/>
      <c r="F148" s="9"/>
      <c r="G148" s="9"/>
      <c r="H148" s="9"/>
    </row>
    <row r="149" spans="1:8">
      <c r="A149" s="9"/>
      <c r="B149" s="9"/>
      <c r="C149" s="9"/>
      <c r="D149" s="9"/>
      <c r="E149" s="9"/>
      <c r="F149" s="9"/>
      <c r="G149" s="9"/>
      <c r="H149" s="9"/>
    </row>
    <row r="150" spans="1:8">
      <c r="A150" s="9"/>
      <c r="B150" s="9"/>
      <c r="C150" s="9"/>
      <c r="D150" s="9"/>
      <c r="E150" s="9"/>
      <c r="F150" s="9"/>
      <c r="G150" s="9"/>
      <c r="H150" s="9"/>
    </row>
    <row r="151" spans="1:8">
      <c r="A151" s="9"/>
      <c r="B151" s="9"/>
      <c r="C151" s="9"/>
      <c r="D151" s="9"/>
      <c r="E151" s="9"/>
      <c r="F151" s="9"/>
      <c r="G151" s="9"/>
      <c r="H151" s="9"/>
    </row>
    <row r="152" spans="1:8">
      <c r="A152" s="9"/>
      <c r="B152" s="9"/>
      <c r="C152" s="9"/>
      <c r="D152" s="9"/>
      <c r="E152" s="9"/>
      <c r="F152" s="9"/>
      <c r="G152" s="9"/>
      <c r="H152" s="9"/>
    </row>
    <row r="153" spans="1:8">
      <c r="A153" s="9"/>
      <c r="B153" s="9"/>
      <c r="C153" s="9"/>
      <c r="D153" s="9"/>
      <c r="E153" s="9"/>
      <c r="F153" s="9"/>
      <c r="G153" s="9"/>
      <c r="H153" s="9"/>
    </row>
    <row r="154" spans="1:8">
      <c r="A154" s="9"/>
      <c r="B154" s="9"/>
      <c r="C154" s="9"/>
      <c r="D154" s="9"/>
      <c r="E154" s="9"/>
      <c r="F154" s="9"/>
      <c r="G154" s="9"/>
      <c r="H154" s="9"/>
    </row>
    <row r="155" spans="1:8">
      <c r="A155" s="9"/>
      <c r="B155" s="9"/>
      <c r="C155" s="9"/>
      <c r="D155" s="9"/>
      <c r="E155" s="9"/>
      <c r="F155" s="9"/>
      <c r="G155" s="9"/>
      <c r="H155" s="9"/>
    </row>
    <row r="156" spans="1:8">
      <c r="A156" s="9"/>
      <c r="B156" s="9"/>
      <c r="C156" s="9"/>
      <c r="D156" s="9"/>
      <c r="E156" s="9"/>
      <c r="F156" s="9"/>
      <c r="G156" s="9"/>
      <c r="H156" s="9"/>
    </row>
    <row r="157" spans="1:8">
      <c r="A157" s="9"/>
      <c r="B157" s="9"/>
      <c r="C157" s="9"/>
      <c r="D157" s="9"/>
      <c r="E157" s="9"/>
      <c r="F157" s="9"/>
      <c r="G157" s="9"/>
      <c r="H157" s="9"/>
    </row>
    <row r="158" spans="1:8">
      <c r="A158" s="9"/>
      <c r="B158" s="9"/>
      <c r="C158" s="9"/>
      <c r="D158" s="9"/>
      <c r="E158" s="9"/>
      <c r="F158" s="9"/>
      <c r="G158" s="9"/>
      <c r="H158" s="9"/>
    </row>
    <row r="159" spans="1:8">
      <c r="A159" s="9"/>
      <c r="B159" s="9"/>
      <c r="C159" s="9"/>
      <c r="D159" s="9"/>
      <c r="E159" s="9"/>
      <c r="F159" s="9"/>
      <c r="G159" s="9"/>
      <c r="H159" s="9"/>
    </row>
    <row r="160" spans="1:8">
      <c r="A160" s="9"/>
      <c r="B160" s="9"/>
      <c r="C160" s="9"/>
      <c r="D160" s="9"/>
      <c r="E160" s="9"/>
      <c r="F160" s="9"/>
      <c r="G160" s="9"/>
      <c r="H160" s="9"/>
    </row>
    <row r="161" spans="1:8">
      <c r="A161" s="9"/>
      <c r="B161" s="9"/>
      <c r="C161" s="9"/>
      <c r="D161" s="9"/>
      <c r="E161" s="9"/>
      <c r="F161" s="9"/>
      <c r="G161" s="9"/>
      <c r="H161" s="9"/>
    </row>
  </sheetData>
  <mergeCells count="27">
    <mergeCell ref="C21:E21"/>
    <mergeCell ref="B2:F2"/>
    <mergeCell ref="C4:E4"/>
    <mergeCell ref="C5:E5"/>
    <mergeCell ref="C17:E17"/>
    <mergeCell ref="C18:E18"/>
    <mergeCell ref="C28:E28"/>
    <mergeCell ref="C29:E29"/>
    <mergeCell ref="C37:E37"/>
    <mergeCell ref="C39:E39"/>
    <mergeCell ref="C40:E40"/>
    <mergeCell ref="M102:N102"/>
    <mergeCell ref="O102:P102"/>
    <mergeCell ref="R102:S102"/>
    <mergeCell ref="I2:M2"/>
    <mergeCell ref="C62:E62"/>
    <mergeCell ref="C66:E66"/>
    <mergeCell ref="C90:E90"/>
    <mergeCell ref="C67:E67"/>
    <mergeCell ref="C74:E74"/>
    <mergeCell ref="C80:E80"/>
    <mergeCell ref="C46:E46"/>
    <mergeCell ref="C48:E48"/>
    <mergeCell ref="C49:E49"/>
    <mergeCell ref="C50:E50"/>
    <mergeCell ref="C53:E53"/>
    <mergeCell ref="C23:E23"/>
  </mergeCells>
  <pageMargins left="0.7" right="0.7" top="0.75" bottom="0.75" header="0.3" footer="0.3"/>
  <pageSetup paperSize="9" scale="3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9B34-0FF7-4723-B8F7-D31001F23710}">
  <dimension ref="A1:U66"/>
  <sheetViews>
    <sheetView topLeftCell="A46" workbookViewId="0">
      <selection activeCell="E66" sqref="E66:F66"/>
    </sheetView>
  </sheetViews>
  <sheetFormatPr defaultRowHeight="15"/>
  <cols>
    <col min="1" max="1" width="3.85546875" customWidth="1"/>
    <col min="2" max="2" width="15.7109375" customWidth="1"/>
    <col min="3" max="3" width="8.140625" customWidth="1"/>
    <col min="4" max="4" width="21.140625" customWidth="1"/>
    <col min="5" max="5" width="16.42578125" customWidth="1"/>
    <col min="6" max="6" width="21.140625" customWidth="1"/>
    <col min="7" max="7" width="7.42578125" customWidth="1"/>
    <col min="8" max="8" width="7.85546875" customWidth="1"/>
    <col min="9" max="9" width="8.5703125" customWidth="1"/>
    <col min="10" max="10" width="8" customWidth="1"/>
    <col min="11" max="11" width="12.85546875" customWidth="1"/>
    <col min="12" max="12" width="8.28515625" customWidth="1"/>
  </cols>
  <sheetData>
    <row r="1" spans="1:21" ht="15.75" thickBot="1"/>
    <row r="2" spans="1:21" ht="15.75" thickBot="1">
      <c r="B2" s="636" t="s">
        <v>119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8"/>
    </row>
    <row r="4" spans="1:21">
      <c r="E4" s="19" t="s">
        <v>116</v>
      </c>
      <c r="F4" s="20"/>
      <c r="G4" s="17" t="s">
        <v>115</v>
      </c>
      <c r="H4" s="19"/>
      <c r="I4" s="110" t="s">
        <v>117</v>
      </c>
    </row>
    <row r="5" spans="1:21" ht="15.75" thickBot="1">
      <c r="I5" s="3"/>
      <c r="J5" s="3"/>
      <c r="M5" s="9"/>
      <c r="N5" s="9"/>
      <c r="O5" s="9"/>
      <c r="P5" s="9"/>
      <c r="Q5" s="9"/>
      <c r="R5" s="9"/>
      <c r="S5" s="9"/>
      <c r="T5" s="9"/>
      <c r="U5" s="9"/>
    </row>
    <row r="6" spans="1:21" ht="15.75" thickBot="1">
      <c r="D6" s="3"/>
      <c r="E6" s="400" t="s">
        <v>113</v>
      </c>
      <c r="F6" s="401" t="s">
        <v>114</v>
      </c>
      <c r="G6" s="642" t="s">
        <v>459</v>
      </c>
      <c r="H6" s="643"/>
      <c r="I6" s="643"/>
      <c r="J6" s="644"/>
      <c r="K6" s="390" t="s">
        <v>118</v>
      </c>
      <c r="M6" s="9"/>
      <c r="N6" s="371"/>
      <c r="O6" s="371"/>
      <c r="P6" s="403"/>
      <c r="Q6" s="403"/>
      <c r="R6" s="403"/>
      <c r="S6" s="403"/>
      <c r="T6" s="371"/>
      <c r="U6" s="9"/>
    </row>
    <row r="7" spans="1:21">
      <c r="D7" s="399" t="s">
        <v>8</v>
      </c>
      <c r="E7" s="11">
        <f>'Pesi elementi'!K7</f>
        <v>4.5</v>
      </c>
      <c r="F7" s="381" t="s">
        <v>109</v>
      </c>
      <c r="G7" s="625" t="s">
        <v>457</v>
      </c>
      <c r="H7" s="626"/>
      <c r="I7" s="626"/>
      <c r="J7" s="627"/>
      <c r="K7" s="391">
        <f>12*E7*J10</f>
        <v>189</v>
      </c>
      <c r="M7" s="371"/>
      <c r="N7" s="371"/>
      <c r="O7" s="371"/>
      <c r="P7" s="403"/>
      <c r="Q7" s="403"/>
      <c r="R7" s="403"/>
      <c r="S7" s="403"/>
      <c r="T7" s="371"/>
      <c r="U7" s="9"/>
    </row>
    <row r="8" spans="1:21">
      <c r="D8" s="398" t="s">
        <v>104</v>
      </c>
      <c r="E8" s="11">
        <f>'Pesi elementi'!K13</f>
        <v>5.25</v>
      </c>
      <c r="F8" s="381" t="s">
        <v>109</v>
      </c>
      <c r="G8" s="628" t="s">
        <v>458</v>
      </c>
      <c r="H8" s="629"/>
      <c r="I8" s="629"/>
      <c r="J8" s="630"/>
      <c r="K8" s="392">
        <f>(E8*G10)*6+(E8*H10)*3+(E8*I10)*4</f>
        <v>363.5625</v>
      </c>
      <c r="L8" s="3"/>
      <c r="M8" s="371"/>
      <c r="N8" s="371"/>
      <c r="O8" s="371"/>
      <c r="P8" s="403"/>
      <c r="Q8" s="403"/>
      <c r="R8" s="403"/>
      <c r="S8" s="403"/>
      <c r="T8" s="208"/>
      <c r="U8" s="9"/>
    </row>
    <row r="9" spans="1:21">
      <c r="D9" s="396" t="s">
        <v>105</v>
      </c>
      <c r="E9" s="11">
        <f>'Pesi elementi'!K19</f>
        <v>3.3</v>
      </c>
      <c r="F9" s="381" t="s">
        <v>109</v>
      </c>
      <c r="G9" s="384" t="s">
        <v>110</v>
      </c>
      <c r="H9" s="382" t="s">
        <v>111</v>
      </c>
      <c r="I9" s="382" t="s">
        <v>112</v>
      </c>
      <c r="J9" s="385" t="s">
        <v>20</v>
      </c>
      <c r="K9" s="391">
        <f>4*(E9*I10)</f>
        <v>62.699999999999996</v>
      </c>
      <c r="L9" s="3"/>
      <c r="M9" s="371"/>
      <c r="N9" s="371"/>
      <c r="O9" s="371"/>
      <c r="P9" s="371"/>
      <c r="Q9" s="371"/>
      <c r="R9" s="371"/>
      <c r="S9" s="371"/>
      <c r="T9" s="371"/>
      <c r="U9" s="9"/>
    </row>
    <row r="10" spans="1:21">
      <c r="D10" s="396" t="s">
        <v>106</v>
      </c>
      <c r="E10" s="11" t="s">
        <v>109</v>
      </c>
      <c r="F10" s="383">
        <f>'Pesi elementi'!G48+'Pesi elementi'!G57+0.3*'Pesi elementi'!J55</f>
        <v>5.6560000000000006</v>
      </c>
      <c r="G10" s="386">
        <f>5.5</f>
        <v>5.5</v>
      </c>
      <c r="H10" s="296">
        <v>5.75</v>
      </c>
      <c r="I10" s="11">
        <v>4.75</v>
      </c>
      <c r="J10" s="387">
        <v>3.5</v>
      </c>
      <c r="K10" s="393">
        <f>F10*J12</f>
        <v>781.58850000000007</v>
      </c>
      <c r="L10" s="3"/>
      <c r="M10" s="371"/>
      <c r="N10" s="371"/>
      <c r="O10" s="208"/>
      <c r="P10" s="371"/>
      <c r="Q10" s="208"/>
      <c r="R10" s="371"/>
      <c r="S10" s="371"/>
      <c r="T10" s="404"/>
      <c r="U10" s="9"/>
    </row>
    <row r="11" spans="1:21">
      <c r="D11" s="396" t="s">
        <v>107</v>
      </c>
      <c r="E11" s="11" t="s">
        <v>109</v>
      </c>
      <c r="F11" s="381">
        <f>'Pesi elementi'!C26</f>
        <v>1.6</v>
      </c>
      <c r="G11" s="639" t="s">
        <v>455</v>
      </c>
      <c r="H11" s="640"/>
      <c r="I11" s="641"/>
      <c r="J11" s="387">
        <f>(2*G10+H10)*2+I10*2*2</f>
        <v>52.5</v>
      </c>
      <c r="K11" s="391">
        <f>F11*J12</f>
        <v>221.10000000000002</v>
      </c>
      <c r="L11" s="3"/>
      <c r="M11" s="371"/>
      <c r="N11" s="371"/>
      <c r="O11" s="371"/>
      <c r="P11" s="6"/>
      <c r="Q11" s="6"/>
      <c r="R11" s="6"/>
      <c r="S11" s="371"/>
      <c r="T11" s="371"/>
      <c r="U11" s="9"/>
    </row>
    <row r="12" spans="1:21" ht="15.75" thickBot="1">
      <c r="D12" s="397" t="s">
        <v>108</v>
      </c>
      <c r="E12" s="402">
        <f>'Pesi elementi'!G32</f>
        <v>8.0640000000000001</v>
      </c>
      <c r="F12" s="389" t="s">
        <v>109</v>
      </c>
      <c r="G12" s="631" t="s">
        <v>456</v>
      </c>
      <c r="H12" s="632"/>
      <c r="I12" s="633"/>
      <c r="J12" s="388">
        <f>(2*G10+H10)*(I10+J10)</f>
        <v>138.1875</v>
      </c>
      <c r="K12" s="393">
        <f>E12*J11</f>
        <v>423.36</v>
      </c>
      <c r="L12" s="3"/>
      <c r="M12" s="371"/>
      <c r="N12" s="371"/>
      <c r="O12" s="208"/>
      <c r="P12" s="403"/>
      <c r="Q12" s="403"/>
      <c r="R12" s="403"/>
      <c r="S12" s="208"/>
      <c r="T12" s="404"/>
      <c r="U12" s="9"/>
    </row>
    <row r="13" spans="1:21" ht="15.75" thickBot="1">
      <c r="D13" s="395" t="s">
        <v>454</v>
      </c>
      <c r="E13" s="3"/>
      <c r="F13" s="3"/>
      <c r="G13" s="3"/>
      <c r="H13" s="3"/>
      <c r="I13" s="3"/>
      <c r="J13" s="3"/>
      <c r="K13" s="394">
        <f>SUM(K7:K12)</f>
        <v>2041.3110000000001</v>
      </c>
      <c r="L13" s="3"/>
      <c r="M13" s="371"/>
      <c r="N13" s="9"/>
      <c r="O13" s="9"/>
      <c r="P13" s="9"/>
      <c r="Q13" s="9"/>
      <c r="R13" s="9"/>
      <c r="S13" s="9"/>
      <c r="T13" s="404"/>
      <c r="U13" s="9"/>
    </row>
    <row r="14" spans="1:21">
      <c r="C14" s="3"/>
      <c r="D14" s="3"/>
      <c r="E14" s="3"/>
      <c r="F14" s="3"/>
      <c r="G14" s="3"/>
      <c r="H14" s="3"/>
      <c r="I14" s="3"/>
      <c r="J14" s="3"/>
      <c r="K14" s="3"/>
      <c r="L14" s="3"/>
      <c r="M14" s="9"/>
      <c r="N14" s="9"/>
      <c r="O14" s="9"/>
      <c r="P14" s="9"/>
      <c r="Q14" s="9"/>
      <c r="R14" s="9"/>
      <c r="S14" s="9"/>
      <c r="T14" s="9"/>
      <c r="U14" s="9"/>
    </row>
    <row r="15" spans="1:21" ht="15.75" thickBot="1">
      <c r="M15" s="9"/>
      <c r="N15" s="9"/>
      <c r="O15" s="9"/>
      <c r="P15" s="9"/>
      <c r="Q15" s="9"/>
      <c r="R15" s="9"/>
      <c r="S15" s="9"/>
      <c r="T15" s="9"/>
      <c r="U15" s="9"/>
    </row>
    <row r="16" spans="1:21" ht="15.75" thickBot="1">
      <c r="A16" s="3"/>
      <c r="B16" s="3"/>
      <c r="C16" s="3"/>
      <c r="D16" s="3"/>
      <c r="E16" s="400" t="s">
        <v>113</v>
      </c>
      <c r="F16" s="401" t="s">
        <v>114</v>
      </c>
      <c r="G16" s="642" t="s">
        <v>459</v>
      </c>
      <c r="H16" s="643"/>
      <c r="I16" s="643"/>
      <c r="J16" s="644"/>
      <c r="K16" s="390" t="s">
        <v>118</v>
      </c>
      <c r="L16" s="3"/>
      <c r="M16" s="3"/>
    </row>
    <row r="17" spans="1:13">
      <c r="A17" s="3"/>
      <c r="B17" s="3"/>
      <c r="C17" s="10"/>
      <c r="D17" s="399" t="s">
        <v>8</v>
      </c>
      <c r="E17" s="11">
        <f>'Pesi elementi'!K7</f>
        <v>4.5</v>
      </c>
      <c r="F17" s="381" t="s">
        <v>109</v>
      </c>
      <c r="G17" s="625" t="s">
        <v>457</v>
      </c>
      <c r="H17" s="626"/>
      <c r="I17" s="626"/>
      <c r="J17" s="627"/>
      <c r="K17" s="391">
        <f>12*E17*J20/2</f>
        <v>94.5</v>
      </c>
      <c r="L17" s="371"/>
      <c r="M17" s="3"/>
    </row>
    <row r="18" spans="1:13">
      <c r="A18" s="3"/>
      <c r="B18" s="10"/>
      <c r="C18" s="10"/>
      <c r="D18" s="398" t="s">
        <v>104</v>
      </c>
      <c r="E18" s="11">
        <f>'Pesi elementi'!K13</f>
        <v>5.25</v>
      </c>
      <c r="F18" s="381" t="s">
        <v>109</v>
      </c>
      <c r="G18" s="628" t="s">
        <v>458</v>
      </c>
      <c r="H18" s="629"/>
      <c r="I18" s="629"/>
      <c r="J18" s="630"/>
      <c r="K18" s="392">
        <f>(E18*G20)*6+(E18*H20)*3+(E18*I20)*4</f>
        <v>363.5625</v>
      </c>
      <c r="L18" s="109"/>
      <c r="M18" s="3"/>
    </row>
    <row r="19" spans="1:13">
      <c r="A19" s="3"/>
      <c r="B19" s="3"/>
      <c r="C19" s="10"/>
      <c r="D19" s="396" t="s">
        <v>105</v>
      </c>
      <c r="E19" s="11">
        <f>'Pesi elementi'!K19</f>
        <v>3.3</v>
      </c>
      <c r="F19" s="381" t="s">
        <v>109</v>
      </c>
      <c r="G19" s="384" t="s">
        <v>110</v>
      </c>
      <c r="H19" s="382" t="s">
        <v>111</v>
      </c>
      <c r="I19" s="382" t="s">
        <v>112</v>
      </c>
      <c r="J19" s="385" t="s">
        <v>20</v>
      </c>
      <c r="K19" s="391">
        <f>4*(E19*I20)</f>
        <v>62.699999999999996</v>
      </c>
      <c r="L19" s="3"/>
      <c r="M19" s="3"/>
    </row>
    <row r="20" spans="1:13">
      <c r="A20" s="3"/>
      <c r="B20" s="3"/>
      <c r="C20" s="10"/>
      <c r="D20" s="396" t="s">
        <v>106</v>
      </c>
      <c r="E20" s="11" t="s">
        <v>109</v>
      </c>
      <c r="F20" s="383">
        <v>6.93</v>
      </c>
      <c r="G20" s="386">
        <f>5.5</f>
        <v>5.5</v>
      </c>
      <c r="H20" s="296">
        <v>5.75</v>
      </c>
      <c r="I20" s="11">
        <v>4.75</v>
      </c>
      <c r="J20" s="387">
        <f>3.5</f>
        <v>3.5</v>
      </c>
      <c r="K20" s="393">
        <f>F20*J22</f>
        <v>957.63937499999997</v>
      </c>
      <c r="L20" s="3"/>
      <c r="M20" s="3"/>
    </row>
    <row r="21" spans="1:13">
      <c r="A21" s="3"/>
      <c r="B21" s="10"/>
      <c r="C21" s="10"/>
      <c r="D21" s="396" t="s">
        <v>107</v>
      </c>
      <c r="E21" s="11" t="s">
        <v>109</v>
      </c>
      <c r="F21" s="381">
        <v>1.6</v>
      </c>
      <c r="G21" s="639" t="s">
        <v>455</v>
      </c>
      <c r="H21" s="640"/>
      <c r="I21" s="641"/>
      <c r="J21" s="387">
        <f>(2*G20+H20)*2+I20*2*2</f>
        <v>52.5</v>
      </c>
      <c r="K21" s="391">
        <f>F21*J22/2</f>
        <v>110.55000000000001</v>
      </c>
      <c r="L21" s="3"/>
      <c r="M21" s="3"/>
    </row>
    <row r="22" spans="1:13" ht="15.75" thickBot="1">
      <c r="A22" s="3"/>
      <c r="B22" s="10"/>
      <c r="C22" s="10"/>
      <c r="D22" s="397" t="s">
        <v>108</v>
      </c>
      <c r="E22" s="402">
        <f>'Pesi elementi'!G32</f>
        <v>8.0640000000000001</v>
      </c>
      <c r="F22" s="389" t="s">
        <v>109</v>
      </c>
      <c r="G22" s="631" t="s">
        <v>456</v>
      </c>
      <c r="H22" s="632"/>
      <c r="I22" s="633"/>
      <c r="J22" s="388">
        <f>(2*G20+H20)*(I20+J20)</f>
        <v>138.1875</v>
      </c>
      <c r="K22" s="393">
        <f>E22*J21/2</f>
        <v>211.68</v>
      </c>
      <c r="L22" s="3"/>
      <c r="M22" s="3"/>
    </row>
    <row r="23" spans="1:13" ht="15.75" thickBot="1">
      <c r="A23" s="3"/>
      <c r="B23" s="10"/>
      <c r="C23" s="10"/>
      <c r="D23" s="395" t="s">
        <v>460</v>
      </c>
      <c r="E23" s="3"/>
      <c r="F23" s="3"/>
      <c r="G23" s="3"/>
      <c r="H23" s="3"/>
      <c r="I23" s="3"/>
      <c r="J23" s="3"/>
      <c r="K23" s="394">
        <f>SUM(K17:K22)</f>
        <v>1800.631875</v>
      </c>
      <c r="L23" s="3"/>
      <c r="M23" s="3"/>
    </row>
    <row r="24" spans="1:13">
      <c r="A24" s="3"/>
      <c r="B24" s="3"/>
      <c r="C24" s="3"/>
      <c r="L24" s="3"/>
      <c r="M24" s="3"/>
    </row>
    <row r="25" spans="1:13">
      <c r="A25" s="3"/>
      <c r="B25" s="3"/>
      <c r="C25" s="3"/>
      <c r="L25" s="3"/>
      <c r="M25" s="3"/>
    </row>
    <row r="26" spans="1:1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8" spans="1:13" ht="15.75" thickBot="1"/>
    <row r="29" spans="1:13" ht="15.75" thickBot="1">
      <c r="B29" s="636" t="s">
        <v>120</v>
      </c>
      <c r="C29" s="637"/>
      <c r="D29" s="637"/>
      <c r="E29" s="637"/>
      <c r="F29" s="637"/>
      <c r="G29" s="637"/>
      <c r="H29" s="637"/>
      <c r="I29" s="637"/>
      <c r="J29" s="637"/>
      <c r="K29" s="637"/>
      <c r="L29" s="638"/>
    </row>
    <row r="30" spans="1:13" ht="15.75" thickBot="1"/>
    <row r="31" spans="1:13" ht="15.75" thickBot="1">
      <c r="B31" s="634" t="s">
        <v>125</v>
      </c>
      <c r="C31" s="635"/>
    </row>
    <row r="32" spans="1:13">
      <c r="B32" s="135" t="s">
        <v>126</v>
      </c>
      <c r="C32" s="136">
        <v>3</v>
      </c>
      <c r="D32" s="114" t="s">
        <v>127</v>
      </c>
      <c r="E32" s="115"/>
      <c r="F32" s="115"/>
      <c r="G32" s="115"/>
      <c r="H32" s="115"/>
      <c r="I32" s="115"/>
    </row>
    <row r="33" spans="2:13">
      <c r="B33" s="134" t="s">
        <v>128</v>
      </c>
      <c r="C33" s="133">
        <v>1.3</v>
      </c>
      <c r="D33" s="114" t="s">
        <v>129</v>
      </c>
      <c r="E33" s="115"/>
      <c r="F33" s="115"/>
      <c r="G33" s="115"/>
      <c r="H33" s="115"/>
      <c r="I33" s="115"/>
    </row>
    <row r="34" spans="2:13">
      <c r="B34" s="132" t="s">
        <v>130</v>
      </c>
      <c r="C34" s="133">
        <f>C32*C33</f>
        <v>3.9000000000000004</v>
      </c>
      <c r="D34" s="114" t="s">
        <v>131</v>
      </c>
      <c r="E34" s="115"/>
      <c r="F34" s="115"/>
      <c r="G34" s="115"/>
      <c r="H34" s="115"/>
      <c r="I34" s="115"/>
    </row>
    <row r="35" spans="2:13" ht="15.75" thickBot="1"/>
    <row r="36" spans="2:13" ht="15.75" thickBot="1">
      <c r="B36" s="634" t="s">
        <v>147</v>
      </c>
      <c r="C36" s="635"/>
    </row>
    <row r="37" spans="2:13" ht="15.75" thickBot="1">
      <c r="B37" s="5" t="s">
        <v>135</v>
      </c>
      <c r="C37" s="121" t="s">
        <v>136</v>
      </c>
      <c r="D37" s="122"/>
      <c r="E37" s="634" t="s">
        <v>146</v>
      </c>
      <c r="F37" s="635"/>
      <c r="K37" s="115"/>
      <c r="L37" s="115"/>
      <c r="M37" s="115"/>
    </row>
    <row r="38" spans="2:13">
      <c r="B38" s="11" t="s">
        <v>139</v>
      </c>
      <c r="C38" s="116">
        <v>0.20376069728672463</v>
      </c>
      <c r="D38" s="3" t="s">
        <v>137</v>
      </c>
      <c r="E38" s="120" t="s">
        <v>148</v>
      </c>
      <c r="F38" s="123">
        <v>1.4059999999999999</v>
      </c>
      <c r="G38" s="3"/>
      <c r="K38" s="115"/>
      <c r="L38" s="115"/>
      <c r="M38" s="115"/>
    </row>
    <row r="39" spans="2:13">
      <c r="B39" s="11" t="s">
        <v>140</v>
      </c>
      <c r="C39" s="117">
        <v>2.401210625578067</v>
      </c>
      <c r="D39" s="3"/>
      <c r="E39" s="119" t="s">
        <v>149</v>
      </c>
      <c r="F39" s="117">
        <v>0.25600000000000001</v>
      </c>
      <c r="G39" s="3"/>
      <c r="K39" s="115"/>
      <c r="L39" s="115"/>
      <c r="M39" s="115"/>
    </row>
    <row r="40" spans="2:13">
      <c r="B40" s="11" t="s">
        <v>141</v>
      </c>
      <c r="C40" s="117">
        <v>0.28102577026294778</v>
      </c>
      <c r="D40" s="3" t="s">
        <v>138</v>
      </c>
      <c r="E40" s="119" t="s">
        <v>132</v>
      </c>
      <c r="F40" s="11">
        <v>0.15</v>
      </c>
      <c r="G40" s="3" t="s">
        <v>138</v>
      </c>
    </row>
    <row r="41" spans="2:13">
      <c r="B41" s="11" t="s">
        <v>142</v>
      </c>
      <c r="C41" s="116">
        <v>1.4064365891599524</v>
      </c>
      <c r="D41" s="3"/>
      <c r="E41" s="119" t="s">
        <v>133</v>
      </c>
      <c r="F41" s="11">
        <v>0.44900000000000001</v>
      </c>
      <c r="G41" s="3" t="s">
        <v>138</v>
      </c>
    </row>
    <row r="42" spans="2:13">
      <c r="B42" s="11" t="s">
        <v>143</v>
      </c>
      <c r="C42" s="117">
        <v>1.596257940352402</v>
      </c>
      <c r="D42" s="3"/>
      <c r="E42" s="119" t="s">
        <v>134</v>
      </c>
      <c r="F42" s="11">
        <v>2.415</v>
      </c>
      <c r="G42" s="3" t="s">
        <v>138</v>
      </c>
    </row>
    <row r="43" spans="2:13">
      <c r="B43" s="11" t="s">
        <v>144</v>
      </c>
      <c r="C43" s="117">
        <v>1</v>
      </c>
      <c r="D43" s="3"/>
    </row>
    <row r="44" spans="2:13">
      <c r="B44" s="11" t="s">
        <v>145</v>
      </c>
      <c r="C44" s="117">
        <f>C34</f>
        <v>3.9000000000000004</v>
      </c>
      <c r="D44" s="3"/>
    </row>
    <row r="46" spans="2:13">
      <c r="B46" s="70" t="s">
        <v>121</v>
      </c>
      <c r="C46" s="108">
        <v>7.4999999999999997E-2</v>
      </c>
    </row>
    <row r="47" spans="2:13" ht="15.75" thickBot="1">
      <c r="B47" s="70" t="s">
        <v>122</v>
      </c>
      <c r="C47" s="108">
        <v>7</v>
      </c>
    </row>
    <row r="48" spans="2:13" ht="15.75" thickBot="1">
      <c r="B48" s="112" t="s">
        <v>123</v>
      </c>
      <c r="C48" s="113">
        <f>C46*C47^(3/4)</f>
        <v>0.32276378029941372</v>
      </c>
      <c r="D48" s="1" t="s">
        <v>150</v>
      </c>
      <c r="F48" s="112" t="s">
        <v>151</v>
      </c>
      <c r="G48" s="181">
        <f>C38*F38*F39*C39</f>
        <v>0.17610673307353888</v>
      </c>
    </row>
    <row r="49" spans="2:7">
      <c r="B49" s="111" t="s">
        <v>124</v>
      </c>
      <c r="C49" s="108">
        <v>1</v>
      </c>
    </row>
    <row r="51" spans="2:7" ht="15.75" thickBot="1"/>
    <row r="52" spans="2:7" ht="15.75" thickBot="1">
      <c r="B52" s="112" t="s">
        <v>123</v>
      </c>
      <c r="C52" s="113">
        <f>0.26</f>
        <v>0.26</v>
      </c>
    </row>
    <row r="53" spans="2:7" ht="15.75" thickBot="1">
      <c r="B53" s="491" t="s">
        <v>518</v>
      </c>
      <c r="C53" s="253">
        <f>3.12</f>
        <v>3.12</v>
      </c>
      <c r="D53" s="3"/>
      <c r="E53" s="89"/>
      <c r="F53" s="255"/>
      <c r="G53" s="3"/>
    </row>
    <row r="54" spans="2:7" ht="18" thickBot="1">
      <c r="B54" s="498" t="s">
        <v>286</v>
      </c>
      <c r="C54" s="209">
        <f>0.688</f>
        <v>0.68799999999999994</v>
      </c>
      <c r="E54" s="112" t="s">
        <v>287</v>
      </c>
      <c r="F54" s="209">
        <f>0.61872</f>
        <v>0.61872000000000005</v>
      </c>
    </row>
    <row r="55" spans="2:7" ht="15.75" thickBot="1">
      <c r="B55" s="498" t="s">
        <v>333</v>
      </c>
      <c r="C55" s="209">
        <f>C54/C53</f>
        <v>0.22051282051282048</v>
      </c>
      <c r="E55" s="112" t="s">
        <v>334</v>
      </c>
      <c r="F55" s="209">
        <f>F54/C53</f>
        <v>0.19830769230769232</v>
      </c>
    </row>
    <row r="56" spans="2:7" ht="15.75" thickBot="1">
      <c r="B56" s="492" t="s">
        <v>285</v>
      </c>
      <c r="C56" s="126">
        <f>C55*(C62+C63)*C49</f>
        <v>847.19765961538451</v>
      </c>
      <c r="E56" s="320" t="s">
        <v>285</v>
      </c>
      <c r="F56" s="126">
        <f>F55*(F60+F61)*C49</f>
        <v>761.88682551923091</v>
      </c>
    </row>
    <row r="58" spans="2:7">
      <c r="E58" s="129" t="s">
        <v>152</v>
      </c>
      <c r="F58" s="21">
        <v>3.5</v>
      </c>
    </row>
    <row r="59" spans="2:7">
      <c r="E59" s="129" t="s">
        <v>153</v>
      </c>
      <c r="F59" s="21">
        <v>7</v>
      </c>
    </row>
    <row r="60" spans="2:7">
      <c r="B60" s="129" t="s">
        <v>152</v>
      </c>
      <c r="C60" s="21">
        <v>3.5</v>
      </c>
      <c r="E60" s="129" t="s">
        <v>155</v>
      </c>
      <c r="F60" s="131">
        <f>K13</f>
        <v>2041.3110000000001</v>
      </c>
    </row>
    <row r="61" spans="2:7">
      <c r="B61" s="129" t="s">
        <v>153</v>
      </c>
      <c r="C61" s="21">
        <v>7</v>
      </c>
      <c r="E61" s="129" t="s">
        <v>284</v>
      </c>
      <c r="F61" s="131">
        <f>K23</f>
        <v>1800.631875</v>
      </c>
    </row>
    <row r="62" spans="2:7">
      <c r="B62" s="129" t="s">
        <v>155</v>
      </c>
      <c r="C62" s="131">
        <f>K13</f>
        <v>2041.3110000000001</v>
      </c>
      <c r="E62" s="130" t="s">
        <v>154</v>
      </c>
      <c r="F62" s="131">
        <f>F58*F60+F61*F59</f>
        <v>19749.011625000003</v>
      </c>
    </row>
    <row r="63" spans="2:7">
      <c r="B63" s="129" t="s">
        <v>284</v>
      </c>
      <c r="C63" s="131">
        <f>K23</f>
        <v>1800.631875</v>
      </c>
      <c r="E63" s="129" t="s">
        <v>290</v>
      </c>
      <c r="F63" s="254">
        <f>($F$56*F58*F60)/$C$64</f>
        <v>275.62735570095663</v>
      </c>
    </row>
    <row r="64" spans="2:7">
      <c r="B64" s="130" t="s">
        <v>154</v>
      </c>
      <c r="C64" s="131">
        <f>C60*C62+C63*C61</f>
        <v>19749.011625000003</v>
      </c>
      <c r="E64" s="129" t="s">
        <v>291</v>
      </c>
      <c r="F64" s="254">
        <f>($F$56*F59*F61)/$C$64</f>
        <v>486.25946981827411</v>
      </c>
    </row>
    <row r="65" spans="2:6">
      <c r="B65" s="129" t="s">
        <v>516</v>
      </c>
      <c r="C65" s="254">
        <f>($C$56*C60*C62)/$C$64</f>
        <v>306.49020675306781</v>
      </c>
    </row>
    <row r="66" spans="2:6">
      <c r="B66" s="129" t="s">
        <v>517</v>
      </c>
      <c r="C66" s="254">
        <f>($C$56*C61*C63)/$C$64</f>
        <v>540.70745286231659</v>
      </c>
      <c r="E66" s="129" t="s">
        <v>285</v>
      </c>
      <c r="F66" s="499">
        <f>100</f>
        <v>100</v>
      </c>
    </row>
  </sheetData>
  <mergeCells count="15">
    <mergeCell ref="G8:J8"/>
    <mergeCell ref="G7:J7"/>
    <mergeCell ref="G6:J6"/>
    <mergeCell ref="B2:M2"/>
    <mergeCell ref="G16:J16"/>
    <mergeCell ref="G12:I12"/>
    <mergeCell ref="G11:I11"/>
    <mergeCell ref="G17:J17"/>
    <mergeCell ref="G18:J18"/>
    <mergeCell ref="G22:I22"/>
    <mergeCell ref="B36:C36"/>
    <mergeCell ref="E37:F37"/>
    <mergeCell ref="B29:L29"/>
    <mergeCell ref="B31:C31"/>
    <mergeCell ref="G21:I21"/>
  </mergeCells>
  <pageMargins left="0.23622047244094491" right="0.23622047244094491" top="0.74803149606299213" bottom="0.74803149606299213" header="0.31496062992125984" footer="0.31496062992125984"/>
  <pageSetup paperSize="9" scale="200" fitToWidth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2F8A-FD4C-45D0-AE86-596AA9DB4421}">
  <sheetPr>
    <pageSetUpPr fitToPage="1"/>
  </sheetPr>
  <dimension ref="A1:BF112"/>
  <sheetViews>
    <sheetView topLeftCell="K4" zoomScale="40" zoomScaleNormal="40" workbookViewId="0">
      <selection activeCell="AG12" sqref="AG12"/>
    </sheetView>
  </sheetViews>
  <sheetFormatPr defaultRowHeight="15"/>
  <cols>
    <col min="27" max="27" width="12.5703125" bestFit="1" customWidth="1"/>
    <col min="32" max="32" width="19.140625" customWidth="1"/>
    <col min="34" max="34" width="12.5703125" bestFit="1" customWidth="1"/>
    <col min="55" max="55" width="13.85546875" customWidth="1"/>
  </cols>
  <sheetData>
    <row r="1" spans="1:58">
      <c r="A1" s="662" t="s">
        <v>199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3"/>
      <c r="P1" s="663"/>
      <c r="Q1" s="663"/>
      <c r="R1" s="663"/>
      <c r="S1" s="663"/>
      <c r="T1" s="663"/>
      <c r="U1" s="663"/>
      <c r="V1" s="663"/>
      <c r="W1" s="663"/>
      <c r="X1" s="664"/>
    </row>
    <row r="2" spans="1:58" ht="15.75" thickBot="1">
      <c r="A2" s="665"/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667"/>
    </row>
    <row r="3" spans="1:58" ht="18.75" thickBot="1">
      <c r="A3" s="673" t="s">
        <v>156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142"/>
      <c r="M3" s="142"/>
      <c r="N3" s="675" t="s">
        <v>157</v>
      </c>
      <c r="O3" s="674"/>
      <c r="P3" s="674"/>
      <c r="Q3" s="674"/>
      <c r="R3" s="674"/>
      <c r="S3" s="674"/>
      <c r="T3" s="674"/>
      <c r="U3" s="674"/>
      <c r="V3" s="674"/>
      <c r="W3" s="674"/>
      <c r="X3" s="676"/>
      <c r="Y3" t="s">
        <v>214</v>
      </c>
      <c r="AA3" t="s">
        <v>276</v>
      </c>
    </row>
    <row r="4" spans="1:58" ht="36">
      <c r="A4" s="677" t="s">
        <v>158</v>
      </c>
      <c r="B4" s="658"/>
      <c r="C4" s="658"/>
      <c r="D4" s="658" t="s">
        <v>159</v>
      </c>
      <c r="E4" s="658"/>
      <c r="F4" s="658"/>
      <c r="G4" s="658"/>
      <c r="H4" s="658"/>
      <c r="I4" s="658"/>
      <c r="J4" s="658" t="s">
        <v>160</v>
      </c>
      <c r="K4" s="658"/>
      <c r="L4" s="137" t="s">
        <v>161</v>
      </c>
      <c r="M4" s="197" t="s">
        <v>162</v>
      </c>
      <c r="N4" s="195" t="s">
        <v>163</v>
      </c>
      <c r="O4" s="137" t="s">
        <v>164</v>
      </c>
      <c r="P4" s="137" t="s">
        <v>165</v>
      </c>
      <c r="Q4" s="137" t="s">
        <v>166</v>
      </c>
      <c r="R4" s="658" t="s">
        <v>167</v>
      </c>
      <c r="S4" s="658"/>
      <c r="T4" s="137" t="s">
        <v>168</v>
      </c>
      <c r="U4" s="137" t="s">
        <v>169</v>
      </c>
      <c r="V4" s="658" t="s">
        <v>170</v>
      </c>
      <c r="W4" s="658"/>
      <c r="X4" s="678"/>
      <c r="Y4" s="74" t="s">
        <v>275</v>
      </c>
      <c r="AA4" s="201" t="s">
        <v>275</v>
      </c>
      <c r="AB4" s="186" t="s">
        <v>277</v>
      </c>
    </row>
    <row r="5" spans="1:58" ht="36.75" thickBot="1">
      <c r="A5" s="677" t="s">
        <v>171</v>
      </c>
      <c r="B5" s="658"/>
      <c r="C5" s="658"/>
      <c r="D5" s="658" t="s">
        <v>172</v>
      </c>
      <c r="E5" s="658"/>
      <c r="F5" s="658"/>
      <c r="G5" s="658"/>
      <c r="H5" s="658"/>
      <c r="I5" s="658"/>
      <c r="J5" s="658" t="s">
        <v>173</v>
      </c>
      <c r="K5" s="658"/>
      <c r="L5" s="137" t="s">
        <v>173</v>
      </c>
      <c r="M5" s="198" t="s">
        <v>174</v>
      </c>
      <c r="N5" s="196" t="s">
        <v>175</v>
      </c>
      <c r="O5" s="137" t="s">
        <v>175</v>
      </c>
      <c r="P5" s="137" t="s">
        <v>175</v>
      </c>
      <c r="Q5" s="137" t="s">
        <v>175</v>
      </c>
      <c r="R5" s="658" t="s">
        <v>175</v>
      </c>
      <c r="S5" s="658"/>
      <c r="T5" s="137" t="s">
        <v>175</v>
      </c>
      <c r="U5" s="137" t="s">
        <v>176</v>
      </c>
      <c r="V5" s="658" t="s">
        <v>177</v>
      </c>
      <c r="W5" s="658"/>
      <c r="X5" s="678"/>
      <c r="Y5" s="137" t="s">
        <v>175</v>
      </c>
      <c r="AA5" s="202" t="s">
        <v>175</v>
      </c>
      <c r="AB5" s="187" t="s">
        <v>175</v>
      </c>
      <c r="AD5" s="575" t="s">
        <v>255</v>
      </c>
      <c r="AE5" s="575" t="s">
        <v>628</v>
      </c>
      <c r="AF5" s="575" t="s">
        <v>629</v>
      </c>
      <c r="BE5">
        <v>0</v>
      </c>
      <c r="BF5">
        <v>-1.8</v>
      </c>
    </row>
    <row r="6" spans="1:58" ht="18">
      <c r="A6" s="188">
        <v>0.2</v>
      </c>
      <c r="B6" s="139">
        <v>16</v>
      </c>
      <c r="C6" s="137" t="s">
        <v>178</v>
      </c>
      <c r="D6" s="137" t="s">
        <v>179</v>
      </c>
      <c r="E6" s="138">
        <v>1.85</v>
      </c>
      <c r="F6" s="138">
        <v>0.04</v>
      </c>
      <c r="G6" s="656">
        <v>0.7</v>
      </c>
      <c r="H6" s="656"/>
      <c r="I6" s="140">
        <v>99.9</v>
      </c>
      <c r="J6" s="139">
        <v>118</v>
      </c>
      <c r="K6" s="139">
        <v>177</v>
      </c>
      <c r="L6" s="139">
        <v>52</v>
      </c>
      <c r="M6" s="199">
        <v>89</v>
      </c>
      <c r="N6" s="193">
        <v>41</v>
      </c>
      <c r="O6" s="139">
        <v>42</v>
      </c>
      <c r="P6" s="139">
        <v>44</v>
      </c>
      <c r="Q6" s="139">
        <v>45</v>
      </c>
      <c r="R6" s="659">
        <v>43</v>
      </c>
      <c r="S6" s="659"/>
      <c r="T6" s="139">
        <v>27</v>
      </c>
      <c r="U6" s="141">
        <v>0.221</v>
      </c>
      <c r="V6" s="139">
        <v>27</v>
      </c>
      <c r="W6" s="139">
        <v>40</v>
      </c>
      <c r="X6" s="143">
        <v>48</v>
      </c>
      <c r="Y6" s="651">
        <f>(AVERAGE(K6:K19))</f>
        <v>167</v>
      </c>
      <c r="AA6" s="204">
        <f>28+0.14*M6</f>
        <v>40.46</v>
      </c>
      <c r="AB6" s="645">
        <f>AVERAGE(AA6:AA19)</f>
        <v>36.623999999999995</v>
      </c>
      <c r="AD6">
        <f>-A6</f>
        <v>-0.2</v>
      </c>
      <c r="AE6" s="324">
        <f>B6*100</f>
        <v>1600</v>
      </c>
      <c r="AF6" s="125" t="e">
        <f t="shared" ref="AF6:AF52" si="0">AE6/C6</f>
        <v>#VALUE!</v>
      </c>
      <c r="BE6">
        <v>1</v>
      </c>
      <c r="BF6">
        <v>-1.8</v>
      </c>
    </row>
    <row r="7" spans="1:58" ht="18">
      <c r="A7" s="188">
        <v>0.4</v>
      </c>
      <c r="B7" s="139">
        <v>26</v>
      </c>
      <c r="C7" s="139">
        <v>26</v>
      </c>
      <c r="D7" s="137" t="s">
        <v>179</v>
      </c>
      <c r="E7" s="138">
        <v>1.85</v>
      </c>
      <c r="F7" s="138">
        <v>7.0000000000000007E-2</v>
      </c>
      <c r="G7" s="656">
        <v>0.93</v>
      </c>
      <c r="H7" s="656"/>
      <c r="I7" s="140">
        <v>99.9</v>
      </c>
      <c r="J7" s="139">
        <v>158</v>
      </c>
      <c r="K7" s="139">
        <v>237</v>
      </c>
      <c r="L7" s="139">
        <v>78</v>
      </c>
      <c r="M7" s="199">
        <v>89</v>
      </c>
      <c r="N7" s="193">
        <v>40</v>
      </c>
      <c r="O7" s="139">
        <v>42</v>
      </c>
      <c r="P7" s="139">
        <v>44</v>
      </c>
      <c r="Q7" s="139">
        <v>45</v>
      </c>
      <c r="R7" s="659">
        <v>42</v>
      </c>
      <c r="S7" s="659"/>
      <c r="T7" s="139">
        <v>28</v>
      </c>
      <c r="U7" s="141">
        <v>0.22</v>
      </c>
      <c r="V7" s="139">
        <v>43</v>
      </c>
      <c r="W7" s="139">
        <v>65</v>
      </c>
      <c r="X7" s="143">
        <v>78</v>
      </c>
      <c r="Y7" s="652"/>
      <c r="AA7" s="204">
        <f t="shared" ref="AA7:AA53" si="1">28+0.14*M7</f>
        <v>40.46</v>
      </c>
      <c r="AB7" s="646"/>
      <c r="AD7">
        <f t="shared" ref="AD7:AD53" si="2">-A7</f>
        <v>-0.4</v>
      </c>
      <c r="AE7" s="324">
        <f t="shared" ref="AE7:AE53" si="3">B7*100</f>
        <v>2600</v>
      </c>
      <c r="AF7" s="125">
        <f t="shared" si="0"/>
        <v>100</v>
      </c>
      <c r="BE7">
        <v>2</v>
      </c>
      <c r="BF7">
        <v>-1.8</v>
      </c>
    </row>
    <row r="8" spans="1:58" ht="18">
      <c r="A8" s="188">
        <v>0.6</v>
      </c>
      <c r="B8" s="139">
        <v>30</v>
      </c>
      <c r="C8" s="139">
        <v>45</v>
      </c>
      <c r="D8" s="137" t="s">
        <v>180</v>
      </c>
      <c r="E8" s="138">
        <v>1.85</v>
      </c>
      <c r="F8" s="138">
        <v>0.11</v>
      </c>
      <c r="G8" s="658" t="s">
        <v>178</v>
      </c>
      <c r="H8" s="658"/>
      <c r="I8" s="137" t="s">
        <v>178</v>
      </c>
      <c r="J8" s="137" t="s">
        <v>178</v>
      </c>
      <c r="K8" s="137" t="s">
        <v>178</v>
      </c>
      <c r="L8" s="137" t="s">
        <v>178</v>
      </c>
      <c r="M8" s="199">
        <v>84</v>
      </c>
      <c r="N8" s="193">
        <v>40</v>
      </c>
      <c r="O8" s="139">
        <v>41</v>
      </c>
      <c r="P8" s="139">
        <v>43</v>
      </c>
      <c r="Q8" s="139">
        <v>45</v>
      </c>
      <c r="R8" s="659">
        <v>41</v>
      </c>
      <c r="S8" s="659"/>
      <c r="T8" s="139">
        <v>29</v>
      </c>
      <c r="U8" s="141">
        <v>0.20399999999999999</v>
      </c>
      <c r="V8" s="139">
        <v>50</v>
      </c>
      <c r="W8" s="139">
        <v>75</v>
      </c>
      <c r="X8" s="143">
        <v>90</v>
      </c>
      <c r="Y8" s="652"/>
      <c r="AA8" s="204">
        <f t="shared" si="1"/>
        <v>39.760000000000005</v>
      </c>
      <c r="AB8" s="646"/>
      <c r="AD8">
        <f t="shared" si="2"/>
        <v>-0.6</v>
      </c>
      <c r="AE8" s="324">
        <f t="shared" si="3"/>
        <v>3000</v>
      </c>
      <c r="AF8" s="125">
        <f t="shared" si="0"/>
        <v>66.666666666666671</v>
      </c>
      <c r="BE8">
        <v>3</v>
      </c>
      <c r="BF8">
        <v>-1.8</v>
      </c>
    </row>
    <row r="9" spans="1:58" ht="18">
      <c r="A9" s="188">
        <v>0.8</v>
      </c>
      <c r="B9" s="139">
        <v>25</v>
      </c>
      <c r="C9" s="139">
        <v>34</v>
      </c>
      <c r="D9" s="137" t="s">
        <v>180</v>
      </c>
      <c r="E9" s="138">
        <v>1.85</v>
      </c>
      <c r="F9" s="138">
        <v>0.15</v>
      </c>
      <c r="G9" s="658" t="s">
        <v>178</v>
      </c>
      <c r="H9" s="658"/>
      <c r="I9" s="137" t="s">
        <v>178</v>
      </c>
      <c r="J9" s="137" t="s">
        <v>178</v>
      </c>
      <c r="K9" s="137" t="s">
        <v>178</v>
      </c>
      <c r="L9" s="137" t="s">
        <v>178</v>
      </c>
      <c r="M9" s="199">
        <v>71</v>
      </c>
      <c r="N9" s="193">
        <v>38</v>
      </c>
      <c r="O9" s="139">
        <v>40</v>
      </c>
      <c r="P9" s="139">
        <v>42</v>
      </c>
      <c r="Q9" s="139">
        <v>44</v>
      </c>
      <c r="R9" s="659">
        <v>39</v>
      </c>
      <c r="S9" s="659"/>
      <c r="T9" s="139">
        <v>28</v>
      </c>
      <c r="U9" s="141">
        <v>0.16200000000000001</v>
      </c>
      <c r="V9" s="139">
        <v>42</v>
      </c>
      <c r="W9" s="139">
        <v>63</v>
      </c>
      <c r="X9" s="143">
        <v>75</v>
      </c>
      <c r="Y9" s="652"/>
      <c r="AA9" s="204">
        <f t="shared" si="1"/>
        <v>37.94</v>
      </c>
      <c r="AB9" s="646"/>
      <c r="AD9">
        <f t="shared" si="2"/>
        <v>-0.8</v>
      </c>
      <c r="AE9" s="324">
        <f t="shared" si="3"/>
        <v>2500</v>
      </c>
      <c r="AF9" s="125">
        <f t="shared" si="0"/>
        <v>73.529411764705884</v>
      </c>
      <c r="BE9">
        <v>4</v>
      </c>
      <c r="BF9">
        <v>-1.8</v>
      </c>
    </row>
    <row r="10" spans="1:58" ht="23.25" customHeight="1">
      <c r="A10" s="188">
        <v>1</v>
      </c>
      <c r="B10" s="139">
        <v>17</v>
      </c>
      <c r="C10" s="139">
        <v>32</v>
      </c>
      <c r="D10" s="137" t="s">
        <v>179</v>
      </c>
      <c r="E10" s="138">
        <v>1.85</v>
      </c>
      <c r="F10" s="138">
        <v>0.19</v>
      </c>
      <c r="G10" s="656">
        <v>0.72</v>
      </c>
      <c r="H10" s="656"/>
      <c r="I10" s="140">
        <v>34.5</v>
      </c>
      <c r="J10" s="139">
        <v>123</v>
      </c>
      <c r="K10" s="139">
        <v>184</v>
      </c>
      <c r="L10" s="139">
        <v>54</v>
      </c>
      <c r="M10" s="199">
        <v>52</v>
      </c>
      <c r="N10" s="193">
        <v>35</v>
      </c>
      <c r="O10" s="139">
        <v>38</v>
      </c>
      <c r="P10" s="139">
        <v>40</v>
      </c>
      <c r="Q10" s="139">
        <v>42</v>
      </c>
      <c r="R10" s="659">
        <v>37</v>
      </c>
      <c r="S10" s="659"/>
      <c r="T10" s="139">
        <v>27</v>
      </c>
      <c r="U10" s="141">
        <v>0.11</v>
      </c>
      <c r="V10" s="139">
        <v>28</v>
      </c>
      <c r="W10" s="139">
        <v>43</v>
      </c>
      <c r="X10" s="144" t="s">
        <v>182</v>
      </c>
      <c r="Y10" s="652"/>
      <c r="AA10" s="204">
        <f t="shared" si="1"/>
        <v>35.28</v>
      </c>
      <c r="AB10" s="646"/>
      <c r="AD10">
        <f t="shared" si="2"/>
        <v>-1</v>
      </c>
      <c r="AE10" s="324">
        <f t="shared" si="3"/>
        <v>1700</v>
      </c>
      <c r="AF10" s="125">
        <f t="shared" si="0"/>
        <v>53.125</v>
      </c>
      <c r="BE10">
        <v>5</v>
      </c>
      <c r="BF10">
        <v>-1.8</v>
      </c>
    </row>
    <row r="11" spans="1:58" ht="18">
      <c r="A11" s="188">
        <v>1.2</v>
      </c>
      <c r="B11" s="139">
        <v>12</v>
      </c>
      <c r="C11" s="139">
        <v>22</v>
      </c>
      <c r="D11" s="137" t="s">
        <v>183</v>
      </c>
      <c r="E11" s="138">
        <v>1.85</v>
      </c>
      <c r="F11" s="138">
        <v>0.22</v>
      </c>
      <c r="G11" s="656">
        <v>0.56999999999999995</v>
      </c>
      <c r="H11" s="656"/>
      <c r="I11" s="140">
        <v>20.5</v>
      </c>
      <c r="J11" s="139">
        <v>97</v>
      </c>
      <c r="K11" s="139">
        <v>146</v>
      </c>
      <c r="L11" s="139">
        <v>45</v>
      </c>
      <c r="M11" s="137" t="s">
        <v>178</v>
      </c>
      <c r="N11" s="183" t="s">
        <v>178</v>
      </c>
      <c r="O11" s="183" t="s">
        <v>178</v>
      </c>
      <c r="P11" s="183" t="s">
        <v>178</v>
      </c>
      <c r="Q11" s="183" t="s">
        <v>178</v>
      </c>
      <c r="R11" s="657" t="s">
        <v>178</v>
      </c>
      <c r="S11" s="658"/>
      <c r="T11" s="183" t="s">
        <v>178</v>
      </c>
      <c r="U11" s="137" t="s">
        <v>178</v>
      </c>
      <c r="V11" s="137" t="s">
        <v>178</v>
      </c>
      <c r="W11" s="137" t="s">
        <v>178</v>
      </c>
      <c r="X11" s="145" t="s">
        <v>178</v>
      </c>
      <c r="Y11" s="652"/>
      <c r="AA11" s="203" t="s">
        <v>109</v>
      </c>
      <c r="AB11" s="646"/>
      <c r="AD11">
        <f t="shared" si="2"/>
        <v>-1.2</v>
      </c>
      <c r="AE11" s="324">
        <f t="shared" si="3"/>
        <v>1200</v>
      </c>
      <c r="AF11" s="125">
        <f t="shared" si="0"/>
        <v>54.545454545454547</v>
      </c>
      <c r="BE11">
        <v>6</v>
      </c>
      <c r="BF11">
        <v>-1.8</v>
      </c>
    </row>
    <row r="12" spans="1:58" ht="18">
      <c r="A12" s="188">
        <v>1.4</v>
      </c>
      <c r="B12" s="139">
        <v>24</v>
      </c>
      <c r="C12" s="139">
        <v>45</v>
      </c>
      <c r="D12" s="137" t="s">
        <v>180</v>
      </c>
      <c r="E12" s="138">
        <v>1.85</v>
      </c>
      <c r="F12" s="138">
        <v>0.26</v>
      </c>
      <c r="G12" s="658" t="s">
        <v>178</v>
      </c>
      <c r="H12" s="658"/>
      <c r="I12" s="137" t="s">
        <v>178</v>
      </c>
      <c r="J12" s="137" t="s">
        <v>178</v>
      </c>
      <c r="K12" s="137" t="s">
        <v>178</v>
      </c>
      <c r="L12" s="137" t="s">
        <v>178</v>
      </c>
      <c r="M12" s="199">
        <v>56</v>
      </c>
      <c r="N12" s="193">
        <v>36</v>
      </c>
      <c r="O12" s="139">
        <v>38</v>
      </c>
      <c r="P12" s="139">
        <v>40</v>
      </c>
      <c r="Q12" s="139">
        <v>42</v>
      </c>
      <c r="R12" s="659">
        <v>37</v>
      </c>
      <c r="S12" s="659"/>
      <c r="T12" s="139">
        <v>28</v>
      </c>
      <c r="U12" s="141">
        <v>0.11899999999999999</v>
      </c>
      <c r="V12" s="139">
        <v>40</v>
      </c>
      <c r="W12" s="139">
        <v>60</v>
      </c>
      <c r="X12" s="143">
        <v>72</v>
      </c>
      <c r="Y12" s="652"/>
      <c r="AA12" s="204">
        <f t="shared" si="1"/>
        <v>35.840000000000003</v>
      </c>
      <c r="AB12" s="646"/>
      <c r="AD12">
        <f t="shared" si="2"/>
        <v>-1.4</v>
      </c>
      <c r="AE12" s="324">
        <f t="shared" si="3"/>
        <v>2400</v>
      </c>
      <c r="AF12" s="125">
        <f t="shared" si="0"/>
        <v>53.333333333333336</v>
      </c>
      <c r="BE12">
        <v>7</v>
      </c>
      <c r="BF12">
        <v>-1.8</v>
      </c>
    </row>
    <row r="13" spans="1:58" ht="18">
      <c r="A13" s="188">
        <v>1.6</v>
      </c>
      <c r="B13" s="139">
        <v>20</v>
      </c>
      <c r="C13" s="139">
        <v>60</v>
      </c>
      <c r="D13" s="137" t="s">
        <v>179</v>
      </c>
      <c r="E13" s="138">
        <v>1.85</v>
      </c>
      <c r="F13" s="138">
        <v>0.3</v>
      </c>
      <c r="G13" s="656">
        <v>0.8</v>
      </c>
      <c r="H13" s="656"/>
      <c r="I13" s="140">
        <v>21.8</v>
      </c>
      <c r="J13" s="139">
        <v>136</v>
      </c>
      <c r="K13" s="139">
        <v>204</v>
      </c>
      <c r="L13" s="139">
        <v>60</v>
      </c>
      <c r="M13" s="199">
        <v>46</v>
      </c>
      <c r="N13" s="193">
        <v>34</v>
      </c>
      <c r="O13" s="139">
        <v>37</v>
      </c>
      <c r="P13" s="139">
        <v>39</v>
      </c>
      <c r="Q13" s="139">
        <v>42</v>
      </c>
      <c r="R13" s="659">
        <v>35</v>
      </c>
      <c r="S13" s="659"/>
      <c r="T13" s="139">
        <v>27</v>
      </c>
      <c r="U13" s="141">
        <v>9.5000000000000001E-2</v>
      </c>
      <c r="V13" s="139">
        <v>33</v>
      </c>
      <c r="W13" s="139">
        <v>50</v>
      </c>
      <c r="X13" s="143">
        <v>60</v>
      </c>
      <c r="Y13" s="652"/>
      <c r="AA13" s="204">
        <f t="shared" si="1"/>
        <v>34.44</v>
      </c>
      <c r="AB13" s="646"/>
      <c r="AD13">
        <f t="shared" si="2"/>
        <v>-1.6</v>
      </c>
      <c r="AE13" s="324">
        <f t="shared" si="3"/>
        <v>2000</v>
      </c>
      <c r="AF13" s="125">
        <f t="shared" si="0"/>
        <v>33.333333333333336</v>
      </c>
      <c r="BE13">
        <v>8</v>
      </c>
      <c r="BF13">
        <v>-1.8</v>
      </c>
    </row>
    <row r="14" spans="1:58" ht="18">
      <c r="A14" s="188">
        <v>1.8</v>
      </c>
      <c r="B14" s="139">
        <v>9</v>
      </c>
      <c r="C14" s="139">
        <v>34</v>
      </c>
      <c r="D14" s="137" t="s">
        <v>179</v>
      </c>
      <c r="E14" s="138">
        <v>0.85</v>
      </c>
      <c r="F14" s="138">
        <v>0.31</v>
      </c>
      <c r="G14" s="656">
        <v>0.45</v>
      </c>
      <c r="H14" s="656"/>
      <c r="I14" s="140">
        <v>9.9</v>
      </c>
      <c r="J14" s="139">
        <v>77</v>
      </c>
      <c r="K14" s="139">
        <v>115</v>
      </c>
      <c r="L14" s="139">
        <v>38</v>
      </c>
      <c r="M14" s="199">
        <v>18</v>
      </c>
      <c r="N14" s="193">
        <v>30</v>
      </c>
      <c r="O14" s="139">
        <v>33</v>
      </c>
      <c r="P14" s="139">
        <v>36</v>
      </c>
      <c r="Q14" s="139">
        <v>39</v>
      </c>
      <c r="R14" s="659">
        <v>30</v>
      </c>
      <c r="S14" s="659"/>
      <c r="T14" s="139">
        <v>26</v>
      </c>
      <c r="U14" s="141">
        <v>3.4000000000000002E-2</v>
      </c>
      <c r="V14" s="139">
        <v>15</v>
      </c>
      <c r="W14" s="139">
        <v>23</v>
      </c>
      <c r="X14" s="143">
        <v>27</v>
      </c>
      <c r="Y14" s="652"/>
      <c r="AA14" s="204">
        <f t="shared" si="1"/>
        <v>30.52</v>
      </c>
      <c r="AB14" s="646"/>
      <c r="AD14">
        <f t="shared" si="2"/>
        <v>-1.8</v>
      </c>
      <c r="AE14" s="324">
        <f t="shared" si="3"/>
        <v>900</v>
      </c>
      <c r="AF14" s="125">
        <f t="shared" si="0"/>
        <v>26.470588235294116</v>
      </c>
      <c r="BE14">
        <v>9</v>
      </c>
      <c r="BF14">
        <v>-1.8</v>
      </c>
    </row>
    <row r="15" spans="1:58" ht="16.5" customHeight="1">
      <c r="A15" s="188">
        <v>2</v>
      </c>
      <c r="B15" s="139">
        <v>76</v>
      </c>
      <c r="C15" s="139">
        <v>104</v>
      </c>
      <c r="D15" s="137" t="s">
        <v>180</v>
      </c>
      <c r="E15" s="138">
        <v>0.96</v>
      </c>
      <c r="F15" s="138">
        <v>0.33</v>
      </c>
      <c r="G15" s="658" t="s">
        <v>178</v>
      </c>
      <c r="H15" s="658"/>
      <c r="I15" s="137" t="s">
        <v>178</v>
      </c>
      <c r="J15" s="137" t="s">
        <v>178</v>
      </c>
      <c r="K15" s="137" t="s">
        <v>178</v>
      </c>
      <c r="L15" s="137" t="s">
        <v>178</v>
      </c>
      <c r="M15" s="199">
        <v>89</v>
      </c>
      <c r="N15" s="193">
        <v>41</v>
      </c>
      <c r="O15" s="139">
        <v>42</v>
      </c>
      <c r="P15" s="139">
        <v>44</v>
      </c>
      <c r="Q15" s="139">
        <v>45</v>
      </c>
      <c r="R15" s="659">
        <v>41</v>
      </c>
      <c r="S15" s="659"/>
      <c r="T15" s="139">
        <v>33</v>
      </c>
      <c r="U15" s="141">
        <v>0.221</v>
      </c>
      <c r="V15" s="139">
        <v>127</v>
      </c>
      <c r="W15" s="139">
        <v>190</v>
      </c>
      <c r="X15" s="144" t="s">
        <v>185</v>
      </c>
      <c r="Y15" s="652"/>
      <c r="AA15" s="204">
        <f t="shared" si="1"/>
        <v>40.46</v>
      </c>
      <c r="AB15" s="646"/>
      <c r="AD15">
        <f t="shared" si="2"/>
        <v>-2</v>
      </c>
      <c r="AE15" s="324">
        <f t="shared" si="3"/>
        <v>7600</v>
      </c>
      <c r="AF15" s="125">
        <f t="shared" si="0"/>
        <v>73.07692307692308</v>
      </c>
      <c r="BE15">
        <v>10</v>
      </c>
      <c r="BF15">
        <v>-1.8</v>
      </c>
    </row>
    <row r="16" spans="1:58" ht="18">
      <c r="A16" s="188">
        <v>2.2000000000000002</v>
      </c>
      <c r="B16" s="139">
        <v>11</v>
      </c>
      <c r="C16" s="139">
        <v>82</v>
      </c>
      <c r="D16" s="137" t="s">
        <v>179</v>
      </c>
      <c r="E16" s="138">
        <v>0.87</v>
      </c>
      <c r="F16" s="138">
        <v>0.35</v>
      </c>
      <c r="G16" s="656">
        <v>0.54</v>
      </c>
      <c r="H16" s="656"/>
      <c r="I16" s="140">
        <v>10.7</v>
      </c>
      <c r="J16" s="139">
        <v>91</v>
      </c>
      <c r="K16" s="139">
        <v>137</v>
      </c>
      <c r="L16" s="139">
        <v>42</v>
      </c>
      <c r="M16" s="199">
        <v>22</v>
      </c>
      <c r="N16" s="193">
        <v>31</v>
      </c>
      <c r="O16" s="139">
        <v>34</v>
      </c>
      <c r="P16" s="139">
        <v>37</v>
      </c>
      <c r="Q16" s="139">
        <v>40</v>
      </c>
      <c r="R16" s="659">
        <v>31</v>
      </c>
      <c r="S16" s="659"/>
      <c r="T16" s="139">
        <v>26</v>
      </c>
      <c r="U16" s="141">
        <v>4.1000000000000002E-2</v>
      </c>
      <c r="V16" s="139">
        <v>18</v>
      </c>
      <c r="W16" s="139">
        <v>28</v>
      </c>
      <c r="X16" s="143">
        <v>33</v>
      </c>
      <c r="Y16" s="652"/>
      <c r="AA16" s="204">
        <f t="shared" si="1"/>
        <v>31.08</v>
      </c>
      <c r="AB16" s="646"/>
      <c r="AD16">
        <f t="shared" si="2"/>
        <v>-2.2000000000000002</v>
      </c>
      <c r="AE16" s="324">
        <f t="shared" si="3"/>
        <v>1100</v>
      </c>
      <c r="AF16" s="125">
        <f t="shared" si="0"/>
        <v>13.414634146341463</v>
      </c>
      <c r="BE16">
        <v>11</v>
      </c>
      <c r="BF16">
        <v>-1.8</v>
      </c>
    </row>
    <row r="17" spans="1:58" ht="18">
      <c r="A17" s="188">
        <v>2.4</v>
      </c>
      <c r="B17" s="139">
        <v>6</v>
      </c>
      <c r="C17" s="139">
        <v>90</v>
      </c>
      <c r="D17" s="137" t="s">
        <v>179</v>
      </c>
      <c r="E17" s="138">
        <v>0.82</v>
      </c>
      <c r="F17" s="138">
        <v>0.37</v>
      </c>
      <c r="G17" s="656">
        <v>0.3</v>
      </c>
      <c r="H17" s="656"/>
      <c r="I17" s="140">
        <v>4.9000000000000004</v>
      </c>
      <c r="J17" s="139">
        <v>101</v>
      </c>
      <c r="K17" s="139">
        <v>152</v>
      </c>
      <c r="L17" s="139">
        <v>29</v>
      </c>
      <c r="M17" s="137" t="s">
        <v>178</v>
      </c>
      <c r="N17" s="193">
        <v>28</v>
      </c>
      <c r="O17" s="139">
        <v>31</v>
      </c>
      <c r="P17" s="139">
        <v>35</v>
      </c>
      <c r="Q17" s="139">
        <v>38</v>
      </c>
      <c r="R17" s="659">
        <v>27</v>
      </c>
      <c r="S17" s="659"/>
      <c r="T17" s="139">
        <v>26</v>
      </c>
      <c r="U17" s="137" t="s">
        <v>178</v>
      </c>
      <c r="V17" s="139">
        <v>10</v>
      </c>
      <c r="W17" s="139">
        <v>15</v>
      </c>
      <c r="X17" s="143">
        <v>18</v>
      </c>
      <c r="Y17" s="652"/>
      <c r="AA17" s="203" t="s">
        <v>109</v>
      </c>
      <c r="AB17" s="646"/>
      <c r="AD17">
        <f t="shared" si="2"/>
        <v>-2.4</v>
      </c>
      <c r="AE17" s="324">
        <f t="shared" si="3"/>
        <v>600</v>
      </c>
      <c r="AF17" s="125">
        <f t="shared" si="0"/>
        <v>6.666666666666667</v>
      </c>
      <c r="BE17">
        <v>12</v>
      </c>
      <c r="BF17">
        <v>-1.8</v>
      </c>
    </row>
    <row r="18" spans="1:58" ht="18">
      <c r="A18" s="188">
        <v>2.6</v>
      </c>
      <c r="B18" s="139">
        <v>5</v>
      </c>
      <c r="C18" s="139">
        <v>19</v>
      </c>
      <c r="D18" s="137" t="s">
        <v>183</v>
      </c>
      <c r="E18" s="138">
        <v>0.8</v>
      </c>
      <c r="F18" s="138">
        <v>0.38</v>
      </c>
      <c r="G18" s="656">
        <v>0.25</v>
      </c>
      <c r="H18" s="656"/>
      <c r="I18" s="140">
        <v>3.7</v>
      </c>
      <c r="J18" s="139">
        <v>108</v>
      </c>
      <c r="K18" s="139">
        <v>162</v>
      </c>
      <c r="L18" s="139">
        <v>25</v>
      </c>
      <c r="M18" s="137" t="s">
        <v>178</v>
      </c>
      <c r="N18" s="183" t="s">
        <v>178</v>
      </c>
      <c r="O18" s="137">
        <v>0</v>
      </c>
      <c r="P18" s="137">
        <v>0</v>
      </c>
      <c r="Q18" s="137">
        <v>0</v>
      </c>
      <c r="R18" s="658">
        <v>0</v>
      </c>
      <c r="S18" s="658"/>
      <c r="T18" s="137">
        <v>0</v>
      </c>
      <c r="U18" s="137" t="s">
        <v>178</v>
      </c>
      <c r="V18" s="137" t="s">
        <v>178</v>
      </c>
      <c r="W18" s="137" t="s">
        <v>178</v>
      </c>
      <c r="X18" s="145" t="s">
        <v>178</v>
      </c>
      <c r="Y18" s="652"/>
      <c r="AA18" s="203" t="s">
        <v>109</v>
      </c>
      <c r="AB18" s="646"/>
      <c r="AD18">
        <f t="shared" si="2"/>
        <v>-2.6</v>
      </c>
      <c r="AE18" s="324">
        <f t="shared" si="3"/>
        <v>500</v>
      </c>
      <c r="AF18" s="125">
        <f t="shared" si="0"/>
        <v>26.315789473684209</v>
      </c>
      <c r="BE18">
        <v>13</v>
      </c>
      <c r="BF18">
        <v>-1.8</v>
      </c>
    </row>
    <row r="19" spans="1:58" ht="18.75" thickBot="1">
      <c r="A19" s="188">
        <v>2.8</v>
      </c>
      <c r="B19" s="139">
        <v>8</v>
      </c>
      <c r="C19" s="139">
        <v>13</v>
      </c>
      <c r="D19" s="137" t="s">
        <v>183</v>
      </c>
      <c r="E19" s="138">
        <v>0.86</v>
      </c>
      <c r="F19" s="138">
        <v>0.4</v>
      </c>
      <c r="G19" s="656">
        <v>0.4</v>
      </c>
      <c r="H19" s="656"/>
      <c r="I19" s="140">
        <v>6.3</v>
      </c>
      <c r="J19" s="139">
        <v>104</v>
      </c>
      <c r="K19" s="139">
        <v>156</v>
      </c>
      <c r="L19" s="139">
        <v>35</v>
      </c>
      <c r="M19" s="137" t="s">
        <v>178</v>
      </c>
      <c r="N19" s="183" t="s">
        <v>178</v>
      </c>
      <c r="O19" s="137">
        <v>0</v>
      </c>
      <c r="P19" s="137">
        <v>0</v>
      </c>
      <c r="Q19" s="137">
        <v>0</v>
      </c>
      <c r="R19" s="658">
        <v>0</v>
      </c>
      <c r="S19" s="658"/>
      <c r="T19" s="137">
        <v>0</v>
      </c>
      <c r="U19" s="137" t="s">
        <v>178</v>
      </c>
      <c r="V19" s="137" t="s">
        <v>178</v>
      </c>
      <c r="W19" s="137" t="s">
        <v>178</v>
      </c>
      <c r="X19" s="145" t="s">
        <v>178</v>
      </c>
      <c r="Y19" s="653"/>
      <c r="AA19" s="203" t="s">
        <v>109</v>
      </c>
      <c r="AB19" s="647"/>
      <c r="AD19">
        <f t="shared" si="2"/>
        <v>-2.8</v>
      </c>
      <c r="AE19" s="324">
        <f t="shared" si="3"/>
        <v>800</v>
      </c>
      <c r="AF19" s="125">
        <f t="shared" si="0"/>
        <v>61.53846153846154</v>
      </c>
      <c r="BE19">
        <v>14</v>
      </c>
      <c r="BF19">
        <v>-1.8</v>
      </c>
    </row>
    <row r="20" spans="1:58" ht="36.75">
      <c r="A20" s="188">
        <v>3</v>
      </c>
      <c r="B20" s="139">
        <v>36</v>
      </c>
      <c r="C20" s="139">
        <v>34</v>
      </c>
      <c r="D20" s="137" t="s">
        <v>180</v>
      </c>
      <c r="E20" s="138">
        <v>0.89</v>
      </c>
      <c r="F20" s="138">
        <v>0.42</v>
      </c>
      <c r="G20" s="658" t="s">
        <v>178</v>
      </c>
      <c r="H20" s="658"/>
      <c r="I20" s="137" t="s">
        <v>178</v>
      </c>
      <c r="J20" s="137" t="s">
        <v>178</v>
      </c>
      <c r="K20" s="137" t="s">
        <v>178</v>
      </c>
      <c r="L20" s="137" t="s">
        <v>178</v>
      </c>
      <c r="M20" s="199">
        <v>58</v>
      </c>
      <c r="N20" s="193">
        <v>36</v>
      </c>
      <c r="O20" s="139">
        <v>38</v>
      </c>
      <c r="P20" s="139">
        <v>40</v>
      </c>
      <c r="Q20" s="139">
        <v>43</v>
      </c>
      <c r="R20" s="659">
        <v>36</v>
      </c>
      <c r="S20" s="659"/>
      <c r="T20" s="139">
        <v>30</v>
      </c>
      <c r="U20" s="141">
        <v>0.126</v>
      </c>
      <c r="V20" s="139">
        <v>60</v>
      </c>
      <c r="W20" s="139">
        <v>90</v>
      </c>
      <c r="X20" s="144" t="s">
        <v>187</v>
      </c>
      <c r="Y20" s="685">
        <f>(AVERAGE(V20:V40)+AVERAGE(V42:V53))/2</f>
        <v>72.19047619047619</v>
      </c>
      <c r="AA20" s="204">
        <f t="shared" si="1"/>
        <v>36.120000000000005</v>
      </c>
      <c r="AB20" s="648">
        <f>AVERAGE(AA20:AA53)</f>
        <v>34.787878787878796</v>
      </c>
      <c r="AD20">
        <f t="shared" si="2"/>
        <v>-3</v>
      </c>
      <c r="AE20" s="324">
        <f t="shared" si="3"/>
        <v>3600</v>
      </c>
      <c r="AF20" s="125">
        <f t="shared" si="0"/>
        <v>105.88235294117646</v>
      </c>
      <c r="BE20">
        <v>15</v>
      </c>
      <c r="BF20">
        <v>-1.8</v>
      </c>
    </row>
    <row r="21" spans="1:58" ht="18">
      <c r="A21" s="188">
        <v>3.2</v>
      </c>
      <c r="B21" s="139">
        <v>38</v>
      </c>
      <c r="C21" s="139">
        <v>71</v>
      </c>
      <c r="D21" s="137" t="s">
        <v>180</v>
      </c>
      <c r="E21" s="138">
        <v>0.9</v>
      </c>
      <c r="F21" s="138">
        <v>0.43</v>
      </c>
      <c r="G21" s="658" t="s">
        <v>178</v>
      </c>
      <c r="H21" s="658"/>
      <c r="I21" s="137" t="s">
        <v>178</v>
      </c>
      <c r="J21" s="137" t="s">
        <v>178</v>
      </c>
      <c r="K21" s="137" t="s">
        <v>178</v>
      </c>
      <c r="L21" s="137" t="s">
        <v>178</v>
      </c>
      <c r="M21" s="199">
        <v>59</v>
      </c>
      <c r="N21" s="193">
        <v>36</v>
      </c>
      <c r="O21" s="139">
        <v>38</v>
      </c>
      <c r="P21" s="139">
        <v>40</v>
      </c>
      <c r="Q21" s="139">
        <v>43</v>
      </c>
      <c r="R21" s="659">
        <v>36</v>
      </c>
      <c r="S21" s="659"/>
      <c r="T21" s="139">
        <v>30</v>
      </c>
      <c r="U21" s="141">
        <v>0.128</v>
      </c>
      <c r="V21" s="139">
        <v>63</v>
      </c>
      <c r="W21" s="139">
        <v>95</v>
      </c>
      <c r="X21" s="143">
        <v>114</v>
      </c>
      <c r="Y21" s="686"/>
      <c r="AA21" s="204">
        <f t="shared" si="1"/>
        <v>36.260000000000005</v>
      </c>
      <c r="AB21" s="649"/>
      <c r="AD21">
        <f t="shared" si="2"/>
        <v>-3.2</v>
      </c>
      <c r="AE21" s="324">
        <f t="shared" si="3"/>
        <v>3800</v>
      </c>
      <c r="AF21" s="125">
        <f t="shared" si="0"/>
        <v>53.521126760563384</v>
      </c>
      <c r="BE21">
        <v>100</v>
      </c>
      <c r="BF21">
        <v>-1.8</v>
      </c>
    </row>
    <row r="22" spans="1:58" ht="18">
      <c r="A22" s="188">
        <v>3.4</v>
      </c>
      <c r="B22" s="139">
        <v>52</v>
      </c>
      <c r="C22" s="139">
        <v>32</v>
      </c>
      <c r="D22" s="137" t="s">
        <v>180</v>
      </c>
      <c r="E22" s="138">
        <v>0.92</v>
      </c>
      <c r="F22" s="138">
        <v>0.45</v>
      </c>
      <c r="G22" s="658" t="s">
        <v>178</v>
      </c>
      <c r="H22" s="658"/>
      <c r="I22" s="137" t="s">
        <v>178</v>
      </c>
      <c r="J22" s="137" t="s">
        <v>178</v>
      </c>
      <c r="K22" s="137" t="s">
        <v>178</v>
      </c>
      <c r="L22" s="137" t="s">
        <v>178</v>
      </c>
      <c r="M22" s="199">
        <v>69</v>
      </c>
      <c r="N22" s="193">
        <v>38</v>
      </c>
      <c r="O22" s="139">
        <v>40</v>
      </c>
      <c r="P22" s="139">
        <v>41</v>
      </c>
      <c r="Q22" s="139">
        <v>44</v>
      </c>
      <c r="R22" s="659">
        <v>38</v>
      </c>
      <c r="S22" s="659"/>
      <c r="T22" s="139">
        <v>31</v>
      </c>
      <c r="U22" s="141">
        <v>0.156</v>
      </c>
      <c r="V22" s="139">
        <v>87</v>
      </c>
      <c r="W22" s="139">
        <v>130</v>
      </c>
      <c r="X22" s="143">
        <v>156</v>
      </c>
      <c r="Y22" s="686"/>
      <c r="AA22" s="204">
        <f t="shared" si="1"/>
        <v>37.659999999999997</v>
      </c>
      <c r="AB22" s="649"/>
      <c r="AD22">
        <f t="shared" si="2"/>
        <v>-3.4</v>
      </c>
      <c r="AE22" s="324">
        <f t="shared" si="3"/>
        <v>5200</v>
      </c>
      <c r="AF22" s="125">
        <f t="shared" si="0"/>
        <v>162.5</v>
      </c>
      <c r="BE22">
        <v>200</v>
      </c>
      <c r="BF22">
        <v>-1.8</v>
      </c>
    </row>
    <row r="23" spans="1:58" ht="18">
      <c r="A23" s="188">
        <v>3.6</v>
      </c>
      <c r="B23" s="139">
        <v>36</v>
      </c>
      <c r="C23" s="139">
        <v>39</v>
      </c>
      <c r="D23" s="137" t="s">
        <v>180</v>
      </c>
      <c r="E23" s="138">
        <v>0.89</v>
      </c>
      <c r="F23" s="138">
        <v>0.47</v>
      </c>
      <c r="G23" s="658" t="s">
        <v>178</v>
      </c>
      <c r="H23" s="658"/>
      <c r="I23" s="137" t="s">
        <v>178</v>
      </c>
      <c r="J23" s="137" t="s">
        <v>178</v>
      </c>
      <c r="K23" s="137" t="s">
        <v>178</v>
      </c>
      <c r="L23" s="137" t="s">
        <v>178</v>
      </c>
      <c r="M23" s="199">
        <v>55</v>
      </c>
      <c r="N23" s="193">
        <v>36</v>
      </c>
      <c r="O23" s="139">
        <v>38</v>
      </c>
      <c r="P23" s="139">
        <v>40</v>
      </c>
      <c r="Q23" s="139">
        <v>42</v>
      </c>
      <c r="R23" s="659">
        <v>35</v>
      </c>
      <c r="S23" s="659"/>
      <c r="T23" s="139">
        <v>30</v>
      </c>
      <c r="U23" s="141">
        <v>0.11799999999999999</v>
      </c>
      <c r="V23" s="139">
        <v>60</v>
      </c>
      <c r="W23" s="139">
        <v>90</v>
      </c>
      <c r="X23" s="143">
        <v>108</v>
      </c>
      <c r="Y23" s="686"/>
      <c r="AA23" s="204">
        <f t="shared" si="1"/>
        <v>35.700000000000003</v>
      </c>
      <c r="AB23" s="649"/>
      <c r="AD23">
        <f t="shared" si="2"/>
        <v>-3.6</v>
      </c>
      <c r="AE23" s="324">
        <f t="shared" si="3"/>
        <v>3600</v>
      </c>
      <c r="AF23" s="125">
        <f t="shared" si="0"/>
        <v>92.307692307692307</v>
      </c>
      <c r="BE23">
        <v>300</v>
      </c>
      <c r="BF23">
        <v>-1.8</v>
      </c>
    </row>
    <row r="24" spans="1:58" ht="18">
      <c r="A24" s="188">
        <v>3.8</v>
      </c>
      <c r="B24" s="139">
        <v>32</v>
      </c>
      <c r="C24" s="139">
        <v>37</v>
      </c>
      <c r="D24" s="137" t="s">
        <v>180</v>
      </c>
      <c r="E24" s="138">
        <v>0.88</v>
      </c>
      <c r="F24" s="138">
        <v>0.49</v>
      </c>
      <c r="G24" s="658" t="s">
        <v>178</v>
      </c>
      <c r="H24" s="658"/>
      <c r="I24" s="137" t="s">
        <v>178</v>
      </c>
      <c r="J24" s="137" t="s">
        <v>178</v>
      </c>
      <c r="K24" s="137" t="s">
        <v>178</v>
      </c>
      <c r="L24" s="137" t="s">
        <v>178</v>
      </c>
      <c r="M24" s="199">
        <v>50</v>
      </c>
      <c r="N24" s="193">
        <v>35</v>
      </c>
      <c r="O24" s="139">
        <v>37</v>
      </c>
      <c r="P24" s="139">
        <v>40</v>
      </c>
      <c r="Q24" s="139">
        <v>42</v>
      </c>
      <c r="R24" s="659">
        <v>35</v>
      </c>
      <c r="S24" s="659"/>
      <c r="T24" s="139">
        <v>29</v>
      </c>
      <c r="U24" s="141">
        <v>0.105</v>
      </c>
      <c r="V24" s="139">
        <v>53</v>
      </c>
      <c r="W24" s="139">
        <v>80</v>
      </c>
      <c r="X24" s="143">
        <v>96</v>
      </c>
      <c r="Y24" s="686"/>
      <c r="AA24" s="204">
        <f t="shared" si="1"/>
        <v>35</v>
      </c>
      <c r="AB24" s="649"/>
      <c r="AD24">
        <f t="shared" si="2"/>
        <v>-3.8</v>
      </c>
      <c r="AE24" s="324">
        <f t="shared" si="3"/>
        <v>3200</v>
      </c>
      <c r="AF24" s="125">
        <f t="shared" si="0"/>
        <v>86.486486486486484</v>
      </c>
      <c r="BE24">
        <v>400</v>
      </c>
      <c r="BF24">
        <v>-1.8</v>
      </c>
    </row>
    <row r="25" spans="1:58" ht="36.75">
      <c r="A25" s="188">
        <v>4</v>
      </c>
      <c r="B25" s="139">
        <v>37</v>
      </c>
      <c r="C25" s="139">
        <v>40</v>
      </c>
      <c r="D25" s="137" t="s">
        <v>180</v>
      </c>
      <c r="E25" s="138">
        <v>0.89</v>
      </c>
      <c r="F25" s="138">
        <v>0.51</v>
      </c>
      <c r="G25" s="658" t="s">
        <v>178</v>
      </c>
      <c r="H25" s="658"/>
      <c r="I25" s="137" t="s">
        <v>178</v>
      </c>
      <c r="J25" s="137" t="s">
        <v>178</v>
      </c>
      <c r="K25" s="137" t="s">
        <v>178</v>
      </c>
      <c r="L25" s="137" t="s">
        <v>178</v>
      </c>
      <c r="M25" s="199">
        <v>54</v>
      </c>
      <c r="N25" s="193">
        <v>36</v>
      </c>
      <c r="O25" s="139">
        <v>38</v>
      </c>
      <c r="P25" s="139">
        <v>40</v>
      </c>
      <c r="Q25" s="139">
        <v>42</v>
      </c>
      <c r="R25" s="659">
        <v>35</v>
      </c>
      <c r="S25" s="659"/>
      <c r="T25" s="139">
        <v>30</v>
      </c>
      <c r="U25" s="141">
        <v>0.115</v>
      </c>
      <c r="V25" s="139">
        <v>62</v>
      </c>
      <c r="W25" s="139">
        <v>93</v>
      </c>
      <c r="X25" s="144" t="s">
        <v>189</v>
      </c>
      <c r="Y25" s="686"/>
      <c r="AA25" s="204">
        <f t="shared" si="1"/>
        <v>35.56</v>
      </c>
      <c r="AB25" s="649"/>
      <c r="AD25">
        <f t="shared" si="2"/>
        <v>-4</v>
      </c>
      <c r="AE25" s="324">
        <f t="shared" si="3"/>
        <v>3700</v>
      </c>
      <c r="AF25" s="125">
        <f t="shared" si="0"/>
        <v>92.5</v>
      </c>
      <c r="BE25">
        <v>500</v>
      </c>
      <c r="BF25">
        <v>-1.8</v>
      </c>
    </row>
    <row r="26" spans="1:58" ht="18">
      <c r="A26" s="188">
        <v>4.2</v>
      </c>
      <c r="B26" s="139">
        <v>22</v>
      </c>
      <c r="C26" s="139">
        <v>33</v>
      </c>
      <c r="D26" s="137" t="s">
        <v>180</v>
      </c>
      <c r="E26" s="138">
        <v>0.86</v>
      </c>
      <c r="F26" s="138">
        <v>0.52</v>
      </c>
      <c r="G26" s="658" t="s">
        <v>178</v>
      </c>
      <c r="H26" s="658"/>
      <c r="I26" s="137" t="s">
        <v>178</v>
      </c>
      <c r="J26" s="137" t="s">
        <v>178</v>
      </c>
      <c r="K26" s="137" t="s">
        <v>178</v>
      </c>
      <c r="L26" s="137" t="s">
        <v>178</v>
      </c>
      <c r="M26" s="199">
        <v>36</v>
      </c>
      <c r="N26" s="193">
        <v>33</v>
      </c>
      <c r="O26" s="139">
        <v>36</v>
      </c>
      <c r="P26" s="139">
        <v>38</v>
      </c>
      <c r="Q26" s="139">
        <v>41</v>
      </c>
      <c r="R26" s="659">
        <v>32</v>
      </c>
      <c r="S26" s="659"/>
      <c r="T26" s="139">
        <v>28</v>
      </c>
      <c r="U26" s="141">
        <v>7.0000000000000007E-2</v>
      </c>
      <c r="V26" s="139">
        <v>37</v>
      </c>
      <c r="W26" s="139">
        <v>55</v>
      </c>
      <c r="X26" s="143">
        <v>66</v>
      </c>
      <c r="Y26" s="686"/>
      <c r="AA26" s="204">
        <f t="shared" si="1"/>
        <v>33.04</v>
      </c>
      <c r="AB26" s="649"/>
      <c r="AD26">
        <f t="shared" si="2"/>
        <v>-4.2</v>
      </c>
      <c r="AE26" s="324">
        <f t="shared" si="3"/>
        <v>2200</v>
      </c>
      <c r="AF26" s="125">
        <f t="shared" si="0"/>
        <v>66.666666666666671</v>
      </c>
      <c r="BE26">
        <v>600</v>
      </c>
      <c r="BF26">
        <v>-1.8</v>
      </c>
    </row>
    <row r="27" spans="1:58" ht="18">
      <c r="A27" s="188">
        <v>4.4000000000000004</v>
      </c>
      <c r="B27" s="139">
        <v>26</v>
      </c>
      <c r="C27" s="139">
        <v>43</v>
      </c>
      <c r="D27" s="137" t="s">
        <v>180</v>
      </c>
      <c r="E27" s="138">
        <v>0.87</v>
      </c>
      <c r="F27" s="138">
        <v>0.54</v>
      </c>
      <c r="G27" s="658" t="s">
        <v>178</v>
      </c>
      <c r="H27" s="658"/>
      <c r="I27" s="137" t="s">
        <v>178</v>
      </c>
      <c r="J27" s="137" t="s">
        <v>178</v>
      </c>
      <c r="K27" s="137" t="s">
        <v>178</v>
      </c>
      <c r="L27" s="137" t="s">
        <v>178</v>
      </c>
      <c r="M27" s="199">
        <v>41</v>
      </c>
      <c r="N27" s="193">
        <v>34</v>
      </c>
      <c r="O27" s="139">
        <v>36</v>
      </c>
      <c r="P27" s="139">
        <v>39</v>
      </c>
      <c r="Q27" s="139">
        <v>41</v>
      </c>
      <c r="R27" s="659">
        <v>33</v>
      </c>
      <c r="S27" s="659"/>
      <c r="T27" s="139">
        <v>28</v>
      </c>
      <c r="U27" s="141">
        <v>8.1000000000000003E-2</v>
      </c>
      <c r="V27" s="139">
        <v>43</v>
      </c>
      <c r="W27" s="139">
        <v>65</v>
      </c>
      <c r="X27" s="143">
        <v>78</v>
      </c>
      <c r="Y27" s="686"/>
      <c r="AA27" s="204">
        <f t="shared" si="1"/>
        <v>33.74</v>
      </c>
      <c r="AB27" s="649"/>
      <c r="AD27">
        <f t="shared" si="2"/>
        <v>-4.4000000000000004</v>
      </c>
      <c r="AE27" s="324">
        <f t="shared" si="3"/>
        <v>2600</v>
      </c>
      <c r="AF27" s="125">
        <f t="shared" si="0"/>
        <v>60.465116279069768</v>
      </c>
      <c r="BE27">
        <v>700</v>
      </c>
      <c r="BF27">
        <v>-1.8</v>
      </c>
    </row>
    <row r="28" spans="1:58" ht="18">
      <c r="A28" s="188">
        <v>4.5999999999999996</v>
      </c>
      <c r="B28" s="139">
        <v>27</v>
      </c>
      <c r="C28" s="139">
        <v>45</v>
      </c>
      <c r="D28" s="137" t="s">
        <v>180</v>
      </c>
      <c r="E28" s="138">
        <v>0.87</v>
      </c>
      <c r="F28" s="138">
        <v>0.56000000000000005</v>
      </c>
      <c r="G28" s="658" t="s">
        <v>178</v>
      </c>
      <c r="H28" s="658"/>
      <c r="I28" s="137" t="s">
        <v>178</v>
      </c>
      <c r="J28" s="137" t="s">
        <v>178</v>
      </c>
      <c r="K28" s="137" t="s">
        <v>178</v>
      </c>
      <c r="L28" s="137" t="s">
        <v>178</v>
      </c>
      <c r="M28" s="199">
        <v>41</v>
      </c>
      <c r="N28" s="193">
        <v>34</v>
      </c>
      <c r="O28" s="139">
        <v>36</v>
      </c>
      <c r="P28" s="139">
        <v>39</v>
      </c>
      <c r="Q28" s="139">
        <v>41</v>
      </c>
      <c r="R28" s="659">
        <v>33</v>
      </c>
      <c r="S28" s="659"/>
      <c r="T28" s="139">
        <v>28</v>
      </c>
      <c r="U28" s="141">
        <v>8.3000000000000004E-2</v>
      </c>
      <c r="V28" s="139">
        <v>45</v>
      </c>
      <c r="W28" s="139">
        <v>68</v>
      </c>
      <c r="X28" s="143">
        <v>81</v>
      </c>
      <c r="Y28" s="686"/>
      <c r="AA28" s="204">
        <f t="shared" si="1"/>
        <v>33.74</v>
      </c>
      <c r="AB28" s="649"/>
      <c r="AD28">
        <f t="shared" si="2"/>
        <v>-4.5999999999999996</v>
      </c>
      <c r="AE28" s="324">
        <f t="shared" si="3"/>
        <v>2700</v>
      </c>
      <c r="AF28" s="125">
        <f t="shared" si="0"/>
        <v>60</v>
      </c>
      <c r="BE28">
        <v>800</v>
      </c>
      <c r="BF28">
        <v>-1.8</v>
      </c>
    </row>
    <row r="29" spans="1:58" ht="18">
      <c r="A29" s="188">
        <v>4.8</v>
      </c>
      <c r="B29" s="139">
        <v>28</v>
      </c>
      <c r="C29" s="139">
        <v>42</v>
      </c>
      <c r="D29" s="137" t="s">
        <v>180</v>
      </c>
      <c r="E29" s="138">
        <v>0.87</v>
      </c>
      <c r="F29" s="138">
        <v>0.57999999999999996</v>
      </c>
      <c r="G29" s="658" t="s">
        <v>178</v>
      </c>
      <c r="H29" s="658"/>
      <c r="I29" s="137" t="s">
        <v>178</v>
      </c>
      <c r="J29" s="137" t="s">
        <v>178</v>
      </c>
      <c r="K29" s="137" t="s">
        <v>178</v>
      </c>
      <c r="L29" s="137" t="s">
        <v>178</v>
      </c>
      <c r="M29" s="199">
        <v>42</v>
      </c>
      <c r="N29" s="193">
        <v>34</v>
      </c>
      <c r="O29" s="139">
        <v>36</v>
      </c>
      <c r="P29" s="139">
        <v>39</v>
      </c>
      <c r="Q29" s="139">
        <v>41</v>
      </c>
      <c r="R29" s="659">
        <v>33</v>
      </c>
      <c r="S29" s="659"/>
      <c r="T29" s="139">
        <v>28</v>
      </c>
      <c r="U29" s="141">
        <v>8.4000000000000005E-2</v>
      </c>
      <c r="V29" s="139">
        <v>47</v>
      </c>
      <c r="W29" s="139">
        <v>70</v>
      </c>
      <c r="X29" s="143">
        <v>84</v>
      </c>
      <c r="Y29" s="686"/>
      <c r="AA29" s="204">
        <f t="shared" si="1"/>
        <v>33.880000000000003</v>
      </c>
      <c r="AB29" s="649"/>
      <c r="AD29">
        <f t="shared" si="2"/>
        <v>-4.8</v>
      </c>
      <c r="AE29" s="324">
        <f t="shared" si="3"/>
        <v>2800</v>
      </c>
      <c r="AF29" s="125">
        <f t="shared" si="0"/>
        <v>66.666666666666671</v>
      </c>
      <c r="BE29">
        <v>900</v>
      </c>
      <c r="BF29">
        <v>-1.8</v>
      </c>
    </row>
    <row r="30" spans="1:58" ht="36.75">
      <c r="A30" s="188">
        <v>5</v>
      </c>
      <c r="B30" s="139">
        <v>26</v>
      </c>
      <c r="C30" s="139">
        <v>24</v>
      </c>
      <c r="D30" s="137" t="s">
        <v>179</v>
      </c>
      <c r="E30" s="138">
        <v>0.95</v>
      </c>
      <c r="F30" s="138">
        <v>0.59</v>
      </c>
      <c r="G30" s="656">
        <v>0.93</v>
      </c>
      <c r="H30" s="656"/>
      <c r="I30" s="140">
        <v>11</v>
      </c>
      <c r="J30" s="139">
        <v>158</v>
      </c>
      <c r="K30" s="139">
        <v>237</v>
      </c>
      <c r="L30" s="139">
        <v>78</v>
      </c>
      <c r="M30" s="199">
        <v>38</v>
      </c>
      <c r="N30" s="193">
        <v>33</v>
      </c>
      <c r="O30" s="139">
        <v>36</v>
      </c>
      <c r="P30" s="139">
        <v>38</v>
      </c>
      <c r="Q30" s="139">
        <v>41</v>
      </c>
      <c r="R30" s="659">
        <v>32</v>
      </c>
      <c r="S30" s="659"/>
      <c r="T30" s="139">
        <v>28</v>
      </c>
      <c r="U30" s="141">
        <v>7.5999999999999998E-2</v>
      </c>
      <c r="V30" s="139">
        <v>43</v>
      </c>
      <c r="W30" s="139">
        <v>65</v>
      </c>
      <c r="X30" s="144" t="s">
        <v>191</v>
      </c>
      <c r="Y30" s="686"/>
      <c r="AA30" s="204">
        <f t="shared" si="1"/>
        <v>33.32</v>
      </c>
      <c r="AB30" s="649"/>
      <c r="AD30">
        <f t="shared" si="2"/>
        <v>-5</v>
      </c>
      <c r="AE30" s="324">
        <f t="shared" si="3"/>
        <v>2600</v>
      </c>
      <c r="AF30" s="125">
        <f t="shared" si="0"/>
        <v>108.33333333333333</v>
      </c>
      <c r="BE30">
        <v>1000</v>
      </c>
      <c r="BF30">
        <v>-1.8</v>
      </c>
    </row>
    <row r="31" spans="1:58" ht="18">
      <c r="A31" s="188">
        <v>5.2</v>
      </c>
      <c r="B31" s="139">
        <v>38</v>
      </c>
      <c r="C31" s="139">
        <v>57</v>
      </c>
      <c r="D31" s="137" t="s">
        <v>180</v>
      </c>
      <c r="E31" s="138">
        <v>0.9</v>
      </c>
      <c r="F31" s="138">
        <v>0.61</v>
      </c>
      <c r="G31" s="658" t="s">
        <v>178</v>
      </c>
      <c r="H31" s="658"/>
      <c r="I31" s="137" t="s">
        <v>178</v>
      </c>
      <c r="J31" s="137" t="s">
        <v>178</v>
      </c>
      <c r="K31" s="137" t="s">
        <v>178</v>
      </c>
      <c r="L31" s="137" t="s">
        <v>178</v>
      </c>
      <c r="M31" s="199">
        <v>51</v>
      </c>
      <c r="N31" s="193">
        <v>35</v>
      </c>
      <c r="O31" s="139">
        <v>37</v>
      </c>
      <c r="P31" s="139">
        <v>40</v>
      </c>
      <c r="Q31" s="139">
        <v>42</v>
      </c>
      <c r="R31" s="659">
        <v>34</v>
      </c>
      <c r="S31" s="659"/>
      <c r="T31" s="139">
        <v>30</v>
      </c>
      <c r="U31" s="141">
        <v>0.106</v>
      </c>
      <c r="V31" s="139">
        <v>63</v>
      </c>
      <c r="W31" s="139">
        <v>95</v>
      </c>
      <c r="X31" s="143">
        <v>114</v>
      </c>
      <c r="Y31" s="686"/>
      <c r="AA31" s="204">
        <f t="shared" si="1"/>
        <v>35.14</v>
      </c>
      <c r="AB31" s="649"/>
      <c r="AD31">
        <f t="shared" si="2"/>
        <v>-5.2</v>
      </c>
      <c r="AE31" s="324">
        <f t="shared" si="3"/>
        <v>3800</v>
      </c>
      <c r="AF31" s="125">
        <f t="shared" si="0"/>
        <v>66.666666666666671</v>
      </c>
      <c r="BE31">
        <v>2000</v>
      </c>
      <c r="BF31">
        <v>-1.8</v>
      </c>
    </row>
    <row r="32" spans="1:58" ht="18">
      <c r="A32" s="188">
        <v>5.4</v>
      </c>
      <c r="B32" s="139">
        <v>48</v>
      </c>
      <c r="C32" s="139">
        <v>60</v>
      </c>
      <c r="D32" s="137" t="s">
        <v>180</v>
      </c>
      <c r="E32" s="138">
        <v>0.91</v>
      </c>
      <c r="F32" s="138">
        <v>0.63</v>
      </c>
      <c r="G32" s="658" t="s">
        <v>178</v>
      </c>
      <c r="H32" s="658"/>
      <c r="I32" s="137" t="s">
        <v>178</v>
      </c>
      <c r="J32" s="137" t="s">
        <v>178</v>
      </c>
      <c r="K32" s="137" t="s">
        <v>178</v>
      </c>
      <c r="L32" s="137" t="s">
        <v>178</v>
      </c>
      <c r="M32" s="199">
        <v>58</v>
      </c>
      <c r="N32" s="193">
        <v>36</v>
      </c>
      <c r="O32" s="139">
        <v>38</v>
      </c>
      <c r="P32" s="139">
        <v>40</v>
      </c>
      <c r="Q32" s="139">
        <v>43</v>
      </c>
      <c r="R32" s="659">
        <v>35</v>
      </c>
      <c r="S32" s="659"/>
      <c r="T32" s="139">
        <v>31</v>
      </c>
      <c r="U32" s="141">
        <v>0.125</v>
      </c>
      <c r="V32" s="139">
        <v>80</v>
      </c>
      <c r="W32" s="139">
        <v>120</v>
      </c>
      <c r="X32" s="143">
        <v>144</v>
      </c>
      <c r="Y32" s="686"/>
      <c r="AA32" s="204">
        <f t="shared" si="1"/>
        <v>36.120000000000005</v>
      </c>
      <c r="AB32" s="649"/>
      <c r="AD32">
        <f t="shared" si="2"/>
        <v>-5.4</v>
      </c>
      <c r="AE32" s="324">
        <f t="shared" si="3"/>
        <v>4800</v>
      </c>
      <c r="AF32" s="125">
        <f t="shared" si="0"/>
        <v>80</v>
      </c>
      <c r="BE32">
        <v>3000</v>
      </c>
      <c r="BF32">
        <v>-1.8</v>
      </c>
    </row>
    <row r="33" spans="1:58" ht="18">
      <c r="A33" s="188">
        <v>5.6</v>
      </c>
      <c r="B33" s="139">
        <v>42</v>
      </c>
      <c r="C33" s="139">
        <v>42</v>
      </c>
      <c r="D33" s="137" t="s">
        <v>180</v>
      </c>
      <c r="E33" s="138">
        <v>0.9</v>
      </c>
      <c r="F33" s="138">
        <v>0.65</v>
      </c>
      <c r="G33" s="658" t="s">
        <v>178</v>
      </c>
      <c r="H33" s="658"/>
      <c r="I33" s="137" t="s">
        <v>178</v>
      </c>
      <c r="J33" s="137" t="s">
        <v>178</v>
      </c>
      <c r="K33" s="137" t="s">
        <v>178</v>
      </c>
      <c r="L33" s="137" t="s">
        <v>178</v>
      </c>
      <c r="M33" s="199">
        <v>53</v>
      </c>
      <c r="N33" s="193">
        <v>35</v>
      </c>
      <c r="O33" s="139">
        <v>38</v>
      </c>
      <c r="P33" s="139">
        <v>40</v>
      </c>
      <c r="Q33" s="139">
        <v>42</v>
      </c>
      <c r="R33" s="659">
        <v>35</v>
      </c>
      <c r="S33" s="659"/>
      <c r="T33" s="139">
        <v>30</v>
      </c>
      <c r="U33" s="141">
        <v>0.111</v>
      </c>
      <c r="V33" s="139">
        <v>70</v>
      </c>
      <c r="W33" s="139">
        <v>105</v>
      </c>
      <c r="X33" s="143">
        <v>126</v>
      </c>
      <c r="Y33" s="686"/>
      <c r="AA33" s="204">
        <f t="shared" si="1"/>
        <v>35.42</v>
      </c>
      <c r="AB33" s="649"/>
      <c r="AD33">
        <f t="shared" si="2"/>
        <v>-5.6</v>
      </c>
      <c r="AE33" s="324">
        <f t="shared" si="3"/>
        <v>4200</v>
      </c>
      <c r="AF33" s="125">
        <f t="shared" si="0"/>
        <v>100</v>
      </c>
      <c r="BE33">
        <v>4000</v>
      </c>
      <c r="BF33">
        <v>-1.8</v>
      </c>
    </row>
    <row r="34" spans="1:58" ht="18">
      <c r="A34" s="188">
        <v>5.8</v>
      </c>
      <c r="B34" s="139">
        <v>30</v>
      </c>
      <c r="C34" s="139">
        <v>56</v>
      </c>
      <c r="D34" s="137" t="s">
        <v>180</v>
      </c>
      <c r="E34" s="138">
        <v>0.88</v>
      </c>
      <c r="F34" s="138">
        <v>0.67</v>
      </c>
      <c r="G34" s="658" t="s">
        <v>178</v>
      </c>
      <c r="H34" s="658"/>
      <c r="I34" s="137" t="s">
        <v>178</v>
      </c>
      <c r="J34" s="137" t="s">
        <v>178</v>
      </c>
      <c r="K34" s="137" t="s">
        <v>178</v>
      </c>
      <c r="L34" s="137" t="s">
        <v>178</v>
      </c>
      <c r="M34" s="199">
        <v>41</v>
      </c>
      <c r="N34" s="193">
        <v>34</v>
      </c>
      <c r="O34" s="139">
        <v>36</v>
      </c>
      <c r="P34" s="139">
        <v>39</v>
      </c>
      <c r="Q34" s="139">
        <v>41</v>
      </c>
      <c r="R34" s="659">
        <v>33</v>
      </c>
      <c r="S34" s="659"/>
      <c r="T34" s="139">
        <v>29</v>
      </c>
      <c r="U34" s="141">
        <v>8.1000000000000003E-2</v>
      </c>
      <c r="V34" s="139">
        <v>50</v>
      </c>
      <c r="W34" s="139">
        <v>75</v>
      </c>
      <c r="X34" s="143">
        <v>90</v>
      </c>
      <c r="Y34" s="686"/>
      <c r="AA34" s="204">
        <f t="shared" si="1"/>
        <v>33.74</v>
      </c>
      <c r="AB34" s="649"/>
      <c r="AD34">
        <f t="shared" si="2"/>
        <v>-5.8</v>
      </c>
      <c r="AE34" s="324">
        <f t="shared" si="3"/>
        <v>3000</v>
      </c>
      <c r="AF34" s="125">
        <f t="shared" si="0"/>
        <v>53.571428571428569</v>
      </c>
      <c r="BE34">
        <v>5000</v>
      </c>
      <c r="BF34">
        <v>-1.8</v>
      </c>
    </row>
    <row r="35" spans="1:58" ht="36.75">
      <c r="A35" s="188">
        <v>6</v>
      </c>
      <c r="B35" s="139">
        <v>32</v>
      </c>
      <c r="C35" s="139">
        <v>53</v>
      </c>
      <c r="D35" s="137" t="s">
        <v>180</v>
      </c>
      <c r="E35" s="138">
        <v>0.88</v>
      </c>
      <c r="F35" s="138">
        <v>0.68</v>
      </c>
      <c r="G35" s="658" t="s">
        <v>178</v>
      </c>
      <c r="H35" s="658"/>
      <c r="I35" s="137" t="s">
        <v>178</v>
      </c>
      <c r="J35" s="137" t="s">
        <v>178</v>
      </c>
      <c r="K35" s="137" t="s">
        <v>178</v>
      </c>
      <c r="L35" s="137" t="s">
        <v>178</v>
      </c>
      <c r="M35" s="199">
        <v>42</v>
      </c>
      <c r="N35" s="193">
        <v>34</v>
      </c>
      <c r="O35" s="139">
        <v>36</v>
      </c>
      <c r="P35" s="139">
        <v>39</v>
      </c>
      <c r="Q35" s="139">
        <v>41</v>
      </c>
      <c r="R35" s="659">
        <v>33</v>
      </c>
      <c r="S35" s="659"/>
      <c r="T35" s="139">
        <v>29</v>
      </c>
      <c r="U35" s="141">
        <v>8.5000000000000006E-2</v>
      </c>
      <c r="V35" s="139">
        <v>53</v>
      </c>
      <c r="W35" s="139">
        <v>80</v>
      </c>
      <c r="X35" s="144" t="s">
        <v>193</v>
      </c>
      <c r="Y35" s="686"/>
      <c r="AA35" s="204">
        <f t="shared" si="1"/>
        <v>33.880000000000003</v>
      </c>
      <c r="AB35" s="649"/>
      <c r="AD35">
        <f t="shared" si="2"/>
        <v>-6</v>
      </c>
      <c r="AE35" s="324">
        <f t="shared" si="3"/>
        <v>3200</v>
      </c>
      <c r="AF35" s="125">
        <f t="shared" si="0"/>
        <v>60.377358490566039</v>
      </c>
      <c r="BE35">
        <v>6000</v>
      </c>
      <c r="BF35">
        <v>-1.8</v>
      </c>
    </row>
    <row r="36" spans="1:58" ht="18">
      <c r="A36" s="188">
        <v>6.2</v>
      </c>
      <c r="B36" s="139">
        <v>37</v>
      </c>
      <c r="C36" s="139">
        <v>37</v>
      </c>
      <c r="D36" s="137" t="s">
        <v>180</v>
      </c>
      <c r="E36" s="138">
        <v>0.89</v>
      </c>
      <c r="F36" s="138">
        <v>0.7</v>
      </c>
      <c r="G36" s="658" t="s">
        <v>178</v>
      </c>
      <c r="H36" s="658"/>
      <c r="I36" s="137" t="s">
        <v>178</v>
      </c>
      <c r="J36" s="137" t="s">
        <v>178</v>
      </c>
      <c r="K36" s="137" t="s">
        <v>178</v>
      </c>
      <c r="L36" s="137" t="s">
        <v>178</v>
      </c>
      <c r="M36" s="199">
        <v>46</v>
      </c>
      <c r="N36" s="193">
        <v>35</v>
      </c>
      <c r="O36" s="139">
        <v>37</v>
      </c>
      <c r="P36" s="139">
        <v>39</v>
      </c>
      <c r="Q36" s="139">
        <v>42</v>
      </c>
      <c r="R36" s="659">
        <v>33</v>
      </c>
      <c r="S36" s="659"/>
      <c r="T36" s="139">
        <v>30</v>
      </c>
      <c r="U36" s="141">
        <v>9.5000000000000001E-2</v>
      </c>
      <c r="V36" s="139">
        <v>62</v>
      </c>
      <c r="W36" s="139">
        <v>93</v>
      </c>
      <c r="X36" s="143">
        <v>111</v>
      </c>
      <c r="Y36" s="686"/>
      <c r="AA36" s="204">
        <f t="shared" si="1"/>
        <v>34.44</v>
      </c>
      <c r="AB36" s="649"/>
      <c r="AD36">
        <f t="shared" si="2"/>
        <v>-6.2</v>
      </c>
      <c r="AE36" s="324">
        <f t="shared" si="3"/>
        <v>3700</v>
      </c>
      <c r="AF36" s="125">
        <f t="shared" si="0"/>
        <v>100</v>
      </c>
      <c r="BE36">
        <v>7000</v>
      </c>
      <c r="BF36">
        <v>-1.8</v>
      </c>
    </row>
    <row r="37" spans="1:58" ht="18">
      <c r="A37" s="188">
        <v>6.4</v>
      </c>
      <c r="B37" s="139">
        <v>41</v>
      </c>
      <c r="C37" s="139">
        <v>56</v>
      </c>
      <c r="D37" s="137" t="s">
        <v>180</v>
      </c>
      <c r="E37" s="138">
        <v>0.9</v>
      </c>
      <c r="F37" s="138">
        <v>0.72</v>
      </c>
      <c r="G37" s="658" t="s">
        <v>178</v>
      </c>
      <c r="H37" s="658"/>
      <c r="I37" s="137" t="s">
        <v>178</v>
      </c>
      <c r="J37" s="137" t="s">
        <v>178</v>
      </c>
      <c r="K37" s="137" t="s">
        <v>178</v>
      </c>
      <c r="L37" s="137" t="s">
        <v>178</v>
      </c>
      <c r="M37" s="199">
        <v>49</v>
      </c>
      <c r="N37" s="193">
        <v>35</v>
      </c>
      <c r="O37" s="139">
        <v>37</v>
      </c>
      <c r="P37" s="139">
        <v>39</v>
      </c>
      <c r="Q37" s="139">
        <v>42</v>
      </c>
      <c r="R37" s="659">
        <v>34</v>
      </c>
      <c r="S37" s="659"/>
      <c r="T37" s="139">
        <v>30</v>
      </c>
      <c r="U37" s="141">
        <v>0.10199999999999999</v>
      </c>
      <c r="V37" s="139">
        <v>68</v>
      </c>
      <c r="W37" s="139">
        <v>103</v>
      </c>
      <c r="X37" s="143">
        <v>123</v>
      </c>
      <c r="Y37" s="686"/>
      <c r="AA37" s="204">
        <f t="shared" si="1"/>
        <v>34.86</v>
      </c>
      <c r="AB37" s="649"/>
      <c r="AD37">
        <f t="shared" si="2"/>
        <v>-6.4</v>
      </c>
      <c r="AE37" s="324">
        <f t="shared" si="3"/>
        <v>4100</v>
      </c>
      <c r="AF37" s="125">
        <f t="shared" si="0"/>
        <v>73.214285714285708</v>
      </c>
      <c r="BE37">
        <v>8000</v>
      </c>
      <c r="BF37">
        <v>-1.8</v>
      </c>
    </row>
    <row r="38" spans="1:58" ht="18">
      <c r="A38" s="188">
        <v>6.6</v>
      </c>
      <c r="B38" s="139">
        <v>33</v>
      </c>
      <c r="C38" s="139">
        <v>45</v>
      </c>
      <c r="D38" s="137" t="s">
        <v>180</v>
      </c>
      <c r="E38" s="138">
        <v>0.88</v>
      </c>
      <c r="F38" s="138">
        <v>0.74</v>
      </c>
      <c r="G38" s="658" t="s">
        <v>178</v>
      </c>
      <c r="H38" s="658"/>
      <c r="I38" s="137" t="s">
        <v>178</v>
      </c>
      <c r="J38" s="137" t="s">
        <v>178</v>
      </c>
      <c r="K38" s="137" t="s">
        <v>178</v>
      </c>
      <c r="L38" s="137" t="s">
        <v>178</v>
      </c>
      <c r="M38" s="199">
        <v>41</v>
      </c>
      <c r="N38" s="193">
        <v>34</v>
      </c>
      <c r="O38" s="139">
        <v>36</v>
      </c>
      <c r="P38" s="139">
        <v>39</v>
      </c>
      <c r="Q38" s="139">
        <v>41</v>
      </c>
      <c r="R38" s="659">
        <v>32</v>
      </c>
      <c r="S38" s="659"/>
      <c r="T38" s="139">
        <v>29</v>
      </c>
      <c r="U38" s="141">
        <v>8.3000000000000004E-2</v>
      </c>
      <c r="V38" s="139">
        <v>55</v>
      </c>
      <c r="W38" s="139">
        <v>83</v>
      </c>
      <c r="X38" s="143">
        <v>99</v>
      </c>
      <c r="Y38" s="686"/>
      <c r="AA38" s="204">
        <f t="shared" si="1"/>
        <v>33.74</v>
      </c>
      <c r="AB38" s="649"/>
      <c r="AD38">
        <f t="shared" si="2"/>
        <v>-6.6</v>
      </c>
      <c r="AE38" s="324">
        <f t="shared" si="3"/>
        <v>3300</v>
      </c>
      <c r="AF38" s="125">
        <f t="shared" si="0"/>
        <v>73.333333333333329</v>
      </c>
      <c r="BE38">
        <v>9000</v>
      </c>
      <c r="BF38">
        <v>-1.8</v>
      </c>
    </row>
    <row r="39" spans="1:58" ht="18">
      <c r="A39" s="188">
        <v>6.8</v>
      </c>
      <c r="B39" s="139">
        <v>26</v>
      </c>
      <c r="C39" s="139">
        <v>65</v>
      </c>
      <c r="D39" s="137" t="s">
        <v>180</v>
      </c>
      <c r="E39" s="138">
        <v>0.87</v>
      </c>
      <c r="F39" s="138">
        <v>0.75</v>
      </c>
      <c r="G39" s="658" t="s">
        <v>178</v>
      </c>
      <c r="H39" s="658"/>
      <c r="I39" s="137" t="s">
        <v>178</v>
      </c>
      <c r="J39" s="137" t="s">
        <v>178</v>
      </c>
      <c r="K39" s="137" t="s">
        <v>178</v>
      </c>
      <c r="L39" s="137" t="s">
        <v>178</v>
      </c>
      <c r="M39" s="199">
        <v>33</v>
      </c>
      <c r="N39" s="193">
        <v>33</v>
      </c>
      <c r="O39" s="139">
        <v>35</v>
      </c>
      <c r="P39" s="139">
        <v>38</v>
      </c>
      <c r="Q39" s="139">
        <v>41</v>
      </c>
      <c r="R39" s="659">
        <v>31</v>
      </c>
      <c r="S39" s="659"/>
      <c r="T39" s="139">
        <v>28</v>
      </c>
      <c r="U39" s="141">
        <v>6.3E-2</v>
      </c>
      <c r="V39" s="139">
        <v>43</v>
      </c>
      <c r="W39" s="139">
        <v>65</v>
      </c>
      <c r="X39" s="143">
        <v>78</v>
      </c>
      <c r="Y39" s="686"/>
      <c r="AA39" s="204">
        <f t="shared" si="1"/>
        <v>32.619999999999997</v>
      </c>
      <c r="AB39" s="649"/>
      <c r="AD39">
        <f t="shared" si="2"/>
        <v>-6.8</v>
      </c>
      <c r="AE39" s="324">
        <f t="shared" si="3"/>
        <v>2600</v>
      </c>
      <c r="AF39" s="125">
        <f t="shared" si="0"/>
        <v>40</v>
      </c>
      <c r="BE39">
        <v>10000</v>
      </c>
      <c r="BF39">
        <v>-1.8</v>
      </c>
    </row>
    <row r="40" spans="1:58" ht="44.25" customHeight="1">
      <c r="A40" s="188">
        <v>7</v>
      </c>
      <c r="B40" s="139">
        <v>20</v>
      </c>
      <c r="C40" s="139">
        <v>25</v>
      </c>
      <c r="D40" s="137" t="s">
        <v>179</v>
      </c>
      <c r="E40" s="138">
        <v>0.93</v>
      </c>
      <c r="F40" s="138">
        <v>0.77</v>
      </c>
      <c r="G40" s="656">
        <v>0.8</v>
      </c>
      <c r="H40" s="656"/>
      <c r="I40" s="140">
        <v>6.6</v>
      </c>
      <c r="J40" s="139">
        <v>199</v>
      </c>
      <c r="K40" s="139">
        <v>298</v>
      </c>
      <c r="L40" s="139">
        <v>60</v>
      </c>
      <c r="M40" s="199">
        <v>23</v>
      </c>
      <c r="N40" s="193">
        <v>31</v>
      </c>
      <c r="O40" s="139">
        <v>34</v>
      </c>
      <c r="P40" s="139">
        <v>37</v>
      </c>
      <c r="Q40" s="139">
        <v>40</v>
      </c>
      <c r="R40" s="659">
        <v>29</v>
      </c>
      <c r="S40" s="659"/>
      <c r="T40" s="139">
        <v>27</v>
      </c>
      <c r="U40" s="141">
        <v>4.3999999999999997E-2</v>
      </c>
      <c r="V40" s="139">
        <v>33</v>
      </c>
      <c r="W40" s="139">
        <v>50</v>
      </c>
      <c r="X40" s="144" t="s">
        <v>195</v>
      </c>
      <c r="Y40" s="686"/>
      <c r="AA40" s="204">
        <f t="shared" si="1"/>
        <v>31.22</v>
      </c>
      <c r="AB40" s="649"/>
      <c r="AD40">
        <f t="shared" si="2"/>
        <v>-7</v>
      </c>
      <c r="AE40" s="324">
        <f t="shared" si="3"/>
        <v>2000</v>
      </c>
      <c r="AF40" s="125">
        <f t="shared" si="0"/>
        <v>80</v>
      </c>
    </row>
    <row r="41" spans="1:58" ht="18">
      <c r="A41" s="188">
        <v>7.2</v>
      </c>
      <c r="B41" s="139">
        <v>10</v>
      </c>
      <c r="C41" s="139">
        <v>25</v>
      </c>
      <c r="D41" s="137" t="s">
        <v>183</v>
      </c>
      <c r="E41" s="138">
        <v>0.9</v>
      </c>
      <c r="F41" s="138">
        <v>0.79</v>
      </c>
      <c r="G41" s="656">
        <v>0.5</v>
      </c>
      <c r="H41" s="656"/>
      <c r="I41" s="140">
        <v>3.5</v>
      </c>
      <c r="J41" s="139">
        <v>223</v>
      </c>
      <c r="K41" s="139">
        <v>335</v>
      </c>
      <c r="L41" s="139">
        <v>40</v>
      </c>
      <c r="M41" s="137" t="s">
        <v>178</v>
      </c>
      <c r="N41" s="183" t="s">
        <v>178</v>
      </c>
      <c r="O41" s="137">
        <v>0</v>
      </c>
      <c r="P41" s="137">
        <v>0</v>
      </c>
      <c r="Q41" s="137">
        <v>0</v>
      </c>
      <c r="R41" s="658">
        <v>0</v>
      </c>
      <c r="S41" s="658"/>
      <c r="T41" s="137">
        <v>0</v>
      </c>
      <c r="U41" s="137" t="s">
        <v>178</v>
      </c>
      <c r="V41" s="137" t="s">
        <v>178</v>
      </c>
      <c r="W41" s="137" t="s">
        <v>178</v>
      </c>
      <c r="X41" s="145" t="s">
        <v>178</v>
      </c>
      <c r="Y41" s="686"/>
      <c r="AA41" s="203" t="s">
        <v>109</v>
      </c>
      <c r="AB41" s="649"/>
      <c r="AD41">
        <f t="shared" si="2"/>
        <v>-7.2</v>
      </c>
      <c r="AE41" s="324">
        <f t="shared" si="3"/>
        <v>1000</v>
      </c>
      <c r="AF41" s="125">
        <f t="shared" si="0"/>
        <v>40</v>
      </c>
    </row>
    <row r="42" spans="1:58" ht="18">
      <c r="A42" s="188">
        <v>7.4</v>
      </c>
      <c r="B42" s="139">
        <v>40</v>
      </c>
      <c r="C42" s="139">
        <v>46</v>
      </c>
      <c r="D42" s="137" t="s">
        <v>180</v>
      </c>
      <c r="E42" s="138">
        <v>0.9</v>
      </c>
      <c r="F42" s="138">
        <v>0.81</v>
      </c>
      <c r="G42" s="658" t="s">
        <v>178</v>
      </c>
      <c r="H42" s="658"/>
      <c r="I42" s="137" t="s">
        <v>178</v>
      </c>
      <c r="J42" s="137" t="s">
        <v>178</v>
      </c>
      <c r="K42" s="137" t="s">
        <v>178</v>
      </c>
      <c r="L42" s="137" t="s">
        <v>178</v>
      </c>
      <c r="M42" s="199">
        <v>46</v>
      </c>
      <c r="N42" s="193">
        <v>34</v>
      </c>
      <c r="O42" s="139">
        <v>37</v>
      </c>
      <c r="P42" s="139">
        <v>39</v>
      </c>
      <c r="Q42" s="139">
        <v>42</v>
      </c>
      <c r="R42" s="659">
        <v>33</v>
      </c>
      <c r="S42" s="659"/>
      <c r="T42" s="139">
        <v>30</v>
      </c>
      <c r="U42" s="141">
        <v>9.2999999999999999E-2</v>
      </c>
      <c r="V42" s="139">
        <v>67</v>
      </c>
      <c r="W42" s="139">
        <v>100</v>
      </c>
      <c r="X42" s="143">
        <v>120</v>
      </c>
      <c r="Y42" s="686"/>
      <c r="AA42" s="204">
        <f t="shared" si="1"/>
        <v>34.44</v>
      </c>
      <c r="AB42" s="649"/>
      <c r="AD42">
        <f t="shared" si="2"/>
        <v>-7.4</v>
      </c>
      <c r="AE42" s="324">
        <f t="shared" si="3"/>
        <v>4000</v>
      </c>
      <c r="AF42" s="125">
        <f t="shared" si="0"/>
        <v>86.956521739130437</v>
      </c>
    </row>
    <row r="43" spans="1:58" ht="18">
      <c r="A43" s="188">
        <v>7.6</v>
      </c>
      <c r="B43" s="139">
        <v>35</v>
      </c>
      <c r="C43" s="139">
        <v>52</v>
      </c>
      <c r="D43" s="137" t="s">
        <v>180</v>
      </c>
      <c r="E43" s="138">
        <v>0.89</v>
      </c>
      <c r="F43" s="138">
        <v>0.83</v>
      </c>
      <c r="G43" s="658" t="s">
        <v>178</v>
      </c>
      <c r="H43" s="658"/>
      <c r="I43" s="137" t="s">
        <v>178</v>
      </c>
      <c r="J43" s="137" t="s">
        <v>178</v>
      </c>
      <c r="K43" s="137" t="s">
        <v>178</v>
      </c>
      <c r="L43" s="137" t="s">
        <v>178</v>
      </c>
      <c r="M43" s="199">
        <v>41</v>
      </c>
      <c r="N43" s="193">
        <v>34</v>
      </c>
      <c r="O43" s="139">
        <v>36</v>
      </c>
      <c r="P43" s="139">
        <v>39</v>
      </c>
      <c r="Q43" s="139">
        <v>41</v>
      </c>
      <c r="R43" s="659">
        <v>32</v>
      </c>
      <c r="S43" s="659"/>
      <c r="T43" s="139">
        <v>29</v>
      </c>
      <c r="U43" s="141">
        <v>8.1000000000000003E-2</v>
      </c>
      <c r="V43" s="139">
        <v>58</v>
      </c>
      <c r="W43" s="139">
        <v>88</v>
      </c>
      <c r="X43" s="143">
        <v>105</v>
      </c>
      <c r="Y43" s="686"/>
      <c r="AA43" s="204">
        <f t="shared" si="1"/>
        <v>33.74</v>
      </c>
      <c r="AB43" s="649"/>
      <c r="AD43">
        <f t="shared" si="2"/>
        <v>-7.6</v>
      </c>
      <c r="AE43" s="324">
        <f t="shared" si="3"/>
        <v>3500</v>
      </c>
      <c r="AF43" s="125">
        <f t="shared" si="0"/>
        <v>67.307692307692307</v>
      </c>
    </row>
    <row r="44" spans="1:58" ht="18">
      <c r="A44" s="188">
        <v>7.8</v>
      </c>
      <c r="B44" s="139">
        <v>44</v>
      </c>
      <c r="C44" s="139">
        <v>35</v>
      </c>
      <c r="D44" s="137" t="s">
        <v>180</v>
      </c>
      <c r="E44" s="138">
        <v>0.91</v>
      </c>
      <c r="F44" s="138">
        <v>0.85</v>
      </c>
      <c r="G44" s="658" t="s">
        <v>178</v>
      </c>
      <c r="H44" s="658"/>
      <c r="I44" s="137" t="s">
        <v>178</v>
      </c>
      <c r="J44" s="137" t="s">
        <v>178</v>
      </c>
      <c r="K44" s="137" t="s">
        <v>178</v>
      </c>
      <c r="L44" s="137" t="s">
        <v>178</v>
      </c>
      <c r="M44" s="199">
        <v>48</v>
      </c>
      <c r="N44" s="193">
        <v>35</v>
      </c>
      <c r="O44" s="139">
        <v>37</v>
      </c>
      <c r="P44" s="139">
        <v>39</v>
      </c>
      <c r="Q44" s="139">
        <v>42</v>
      </c>
      <c r="R44" s="659">
        <v>33</v>
      </c>
      <c r="S44" s="659"/>
      <c r="T44" s="139">
        <v>31</v>
      </c>
      <c r="U44" s="141">
        <v>9.9000000000000005E-2</v>
      </c>
      <c r="V44" s="139">
        <v>73</v>
      </c>
      <c r="W44" s="139">
        <v>110</v>
      </c>
      <c r="X44" s="143">
        <v>132</v>
      </c>
      <c r="Y44" s="686"/>
      <c r="AA44" s="204">
        <f t="shared" si="1"/>
        <v>34.72</v>
      </c>
      <c r="AB44" s="649"/>
      <c r="AD44">
        <f t="shared" si="2"/>
        <v>-7.8</v>
      </c>
      <c r="AE44" s="324">
        <f t="shared" si="3"/>
        <v>4400</v>
      </c>
      <c r="AF44" s="125">
        <f t="shared" si="0"/>
        <v>125.71428571428571</v>
      </c>
    </row>
    <row r="45" spans="1:58" ht="36.75">
      <c r="A45" s="188">
        <v>8</v>
      </c>
      <c r="B45" s="139">
        <v>37</v>
      </c>
      <c r="C45" s="139">
        <v>62</v>
      </c>
      <c r="D45" s="137" t="s">
        <v>180</v>
      </c>
      <c r="E45" s="138">
        <v>0.89</v>
      </c>
      <c r="F45" s="138">
        <v>0.86</v>
      </c>
      <c r="G45" s="658" t="s">
        <v>178</v>
      </c>
      <c r="H45" s="658"/>
      <c r="I45" s="137" t="s">
        <v>178</v>
      </c>
      <c r="J45" s="137" t="s">
        <v>178</v>
      </c>
      <c r="K45" s="137" t="s">
        <v>178</v>
      </c>
      <c r="L45" s="137" t="s">
        <v>178</v>
      </c>
      <c r="M45" s="199">
        <v>41</v>
      </c>
      <c r="N45" s="193">
        <v>34</v>
      </c>
      <c r="O45" s="139">
        <v>36</v>
      </c>
      <c r="P45" s="139">
        <v>39</v>
      </c>
      <c r="Q45" s="139">
        <v>41</v>
      </c>
      <c r="R45" s="659">
        <v>32</v>
      </c>
      <c r="S45" s="659"/>
      <c r="T45" s="139">
        <v>30</v>
      </c>
      <c r="U45" s="141">
        <v>8.3000000000000004E-2</v>
      </c>
      <c r="V45" s="139">
        <v>62</v>
      </c>
      <c r="W45" s="139">
        <v>93</v>
      </c>
      <c r="X45" s="144" t="s">
        <v>189</v>
      </c>
      <c r="Y45" s="686"/>
      <c r="AA45" s="204">
        <f t="shared" si="1"/>
        <v>33.74</v>
      </c>
      <c r="AB45" s="649"/>
      <c r="AD45">
        <f t="shared" si="2"/>
        <v>-8</v>
      </c>
      <c r="AE45" s="324">
        <f t="shared" si="3"/>
        <v>3700</v>
      </c>
      <c r="AF45" s="125">
        <f t="shared" si="0"/>
        <v>59.677419354838712</v>
      </c>
    </row>
    <row r="46" spans="1:58" ht="18">
      <c r="A46" s="188">
        <v>8.1999999999999993</v>
      </c>
      <c r="B46" s="139">
        <v>49</v>
      </c>
      <c r="C46" s="139">
        <v>46</v>
      </c>
      <c r="D46" s="137" t="s">
        <v>180</v>
      </c>
      <c r="E46" s="138">
        <v>0.92</v>
      </c>
      <c r="F46" s="138">
        <v>0.88</v>
      </c>
      <c r="G46" s="658" t="s">
        <v>178</v>
      </c>
      <c r="H46" s="658"/>
      <c r="I46" s="137" t="s">
        <v>178</v>
      </c>
      <c r="J46" s="137" t="s">
        <v>178</v>
      </c>
      <c r="K46" s="137" t="s">
        <v>178</v>
      </c>
      <c r="L46" s="137" t="s">
        <v>178</v>
      </c>
      <c r="M46" s="199">
        <v>51</v>
      </c>
      <c r="N46" s="193">
        <v>35</v>
      </c>
      <c r="O46" s="139">
        <v>37</v>
      </c>
      <c r="P46" s="139">
        <v>40</v>
      </c>
      <c r="Q46" s="139">
        <v>42</v>
      </c>
      <c r="R46" s="659">
        <v>34</v>
      </c>
      <c r="S46" s="659"/>
      <c r="T46" s="139">
        <v>31</v>
      </c>
      <c r="U46" s="141">
        <v>0.105</v>
      </c>
      <c r="V46" s="139">
        <v>82</v>
      </c>
      <c r="W46" s="139">
        <v>123</v>
      </c>
      <c r="X46" s="143">
        <v>147</v>
      </c>
      <c r="Y46" s="686"/>
      <c r="AA46" s="204">
        <f t="shared" si="1"/>
        <v>35.14</v>
      </c>
      <c r="AB46" s="649"/>
      <c r="AD46">
        <f t="shared" si="2"/>
        <v>-8.1999999999999993</v>
      </c>
      <c r="AE46" s="324">
        <f t="shared" si="3"/>
        <v>4900</v>
      </c>
      <c r="AF46" s="125">
        <f t="shared" si="0"/>
        <v>106.52173913043478</v>
      </c>
    </row>
    <row r="47" spans="1:58" ht="18">
      <c r="A47" s="188">
        <v>8.4</v>
      </c>
      <c r="B47" s="139">
        <v>56</v>
      </c>
      <c r="C47" s="139">
        <v>40</v>
      </c>
      <c r="D47" s="137" t="s">
        <v>180</v>
      </c>
      <c r="E47" s="138">
        <v>0.93</v>
      </c>
      <c r="F47" s="138">
        <v>0.9</v>
      </c>
      <c r="G47" s="658" t="s">
        <v>178</v>
      </c>
      <c r="H47" s="658"/>
      <c r="I47" s="137" t="s">
        <v>178</v>
      </c>
      <c r="J47" s="137" t="s">
        <v>178</v>
      </c>
      <c r="K47" s="137" t="s">
        <v>178</v>
      </c>
      <c r="L47" s="137" t="s">
        <v>178</v>
      </c>
      <c r="M47" s="199">
        <v>55</v>
      </c>
      <c r="N47" s="193">
        <v>36</v>
      </c>
      <c r="O47" s="139">
        <v>38</v>
      </c>
      <c r="P47" s="139">
        <v>40</v>
      </c>
      <c r="Q47" s="139">
        <v>42</v>
      </c>
      <c r="R47" s="659">
        <v>34</v>
      </c>
      <c r="S47" s="659"/>
      <c r="T47" s="139">
        <v>31</v>
      </c>
      <c r="U47" s="141">
        <v>0.11600000000000001</v>
      </c>
      <c r="V47" s="139">
        <v>93</v>
      </c>
      <c r="W47" s="139">
        <v>140</v>
      </c>
      <c r="X47" s="143">
        <v>168</v>
      </c>
      <c r="Y47" s="686"/>
      <c r="AA47" s="204">
        <f t="shared" si="1"/>
        <v>35.700000000000003</v>
      </c>
      <c r="AB47" s="649"/>
      <c r="AD47">
        <f t="shared" si="2"/>
        <v>-8.4</v>
      </c>
      <c r="AE47" s="324">
        <f t="shared" si="3"/>
        <v>5600</v>
      </c>
      <c r="AF47" s="125">
        <f t="shared" si="0"/>
        <v>140</v>
      </c>
    </row>
    <row r="48" spans="1:58" ht="18">
      <c r="A48" s="188">
        <v>8.6</v>
      </c>
      <c r="B48" s="139">
        <v>55</v>
      </c>
      <c r="C48" s="139">
        <v>46</v>
      </c>
      <c r="D48" s="137" t="s">
        <v>180</v>
      </c>
      <c r="E48" s="138">
        <v>0.93</v>
      </c>
      <c r="F48" s="138">
        <v>0.92</v>
      </c>
      <c r="G48" s="658" t="s">
        <v>178</v>
      </c>
      <c r="H48" s="658"/>
      <c r="I48" s="137" t="s">
        <v>178</v>
      </c>
      <c r="J48" s="137" t="s">
        <v>178</v>
      </c>
      <c r="K48" s="137" t="s">
        <v>178</v>
      </c>
      <c r="L48" s="137" t="s">
        <v>178</v>
      </c>
      <c r="M48" s="199">
        <v>54</v>
      </c>
      <c r="N48" s="193">
        <v>35</v>
      </c>
      <c r="O48" s="139">
        <v>38</v>
      </c>
      <c r="P48" s="139">
        <v>40</v>
      </c>
      <c r="Q48" s="139">
        <v>42</v>
      </c>
      <c r="R48" s="659">
        <v>34</v>
      </c>
      <c r="S48" s="659"/>
      <c r="T48" s="139">
        <v>31</v>
      </c>
      <c r="U48" s="141">
        <v>0.113</v>
      </c>
      <c r="V48" s="139">
        <v>92</v>
      </c>
      <c r="W48" s="139">
        <v>138</v>
      </c>
      <c r="X48" s="143">
        <v>165</v>
      </c>
      <c r="Y48" s="686"/>
      <c r="AA48" s="204">
        <f t="shared" si="1"/>
        <v>35.56</v>
      </c>
      <c r="AB48" s="649"/>
      <c r="AD48">
        <f t="shared" si="2"/>
        <v>-8.6</v>
      </c>
      <c r="AE48" s="324">
        <f t="shared" si="3"/>
        <v>5500</v>
      </c>
      <c r="AF48" s="125">
        <f t="shared" si="0"/>
        <v>119.56521739130434</v>
      </c>
    </row>
    <row r="49" spans="1:32" ht="18">
      <c r="A49" s="188">
        <v>8.8000000000000007</v>
      </c>
      <c r="B49" s="139">
        <v>66</v>
      </c>
      <c r="C49" s="139">
        <v>49</v>
      </c>
      <c r="D49" s="137" t="s">
        <v>180</v>
      </c>
      <c r="E49" s="138">
        <v>0.94</v>
      </c>
      <c r="F49" s="138">
        <v>0.94</v>
      </c>
      <c r="G49" s="658" t="s">
        <v>178</v>
      </c>
      <c r="H49" s="658"/>
      <c r="I49" s="137" t="s">
        <v>178</v>
      </c>
      <c r="J49" s="137" t="s">
        <v>178</v>
      </c>
      <c r="K49" s="137" t="s">
        <v>178</v>
      </c>
      <c r="L49" s="137" t="s">
        <v>178</v>
      </c>
      <c r="M49" s="199">
        <v>59</v>
      </c>
      <c r="N49" s="193">
        <v>36</v>
      </c>
      <c r="O49" s="139">
        <v>38</v>
      </c>
      <c r="P49" s="139">
        <v>40</v>
      </c>
      <c r="Q49" s="139">
        <v>43</v>
      </c>
      <c r="R49" s="659">
        <v>35</v>
      </c>
      <c r="S49" s="659"/>
      <c r="T49" s="139">
        <v>32</v>
      </c>
      <c r="U49" s="141">
        <v>0.128</v>
      </c>
      <c r="V49" s="139">
        <v>110</v>
      </c>
      <c r="W49" s="139">
        <v>165</v>
      </c>
      <c r="X49" s="143">
        <v>198</v>
      </c>
      <c r="Y49" s="686"/>
      <c r="AA49" s="204">
        <f t="shared" si="1"/>
        <v>36.260000000000005</v>
      </c>
      <c r="AB49" s="649"/>
      <c r="AD49">
        <f t="shared" si="2"/>
        <v>-8.8000000000000007</v>
      </c>
      <c r="AE49" s="324">
        <f t="shared" si="3"/>
        <v>6600</v>
      </c>
      <c r="AF49" s="125">
        <f t="shared" si="0"/>
        <v>134.69387755102042</v>
      </c>
    </row>
    <row r="50" spans="1:32" ht="36.75">
      <c r="A50" s="188">
        <v>9</v>
      </c>
      <c r="B50" s="139">
        <v>50</v>
      </c>
      <c r="C50" s="139">
        <v>34</v>
      </c>
      <c r="D50" s="137" t="s">
        <v>180</v>
      </c>
      <c r="E50" s="138">
        <v>0.92</v>
      </c>
      <c r="F50" s="138">
        <v>0.96</v>
      </c>
      <c r="G50" s="658" t="s">
        <v>178</v>
      </c>
      <c r="H50" s="658"/>
      <c r="I50" s="137" t="s">
        <v>178</v>
      </c>
      <c r="J50" s="137" t="s">
        <v>178</v>
      </c>
      <c r="K50" s="137" t="s">
        <v>178</v>
      </c>
      <c r="L50" s="137" t="s">
        <v>178</v>
      </c>
      <c r="M50" s="199">
        <v>49</v>
      </c>
      <c r="N50" s="193">
        <v>35</v>
      </c>
      <c r="O50" s="139">
        <v>37</v>
      </c>
      <c r="P50" s="139">
        <v>39</v>
      </c>
      <c r="Q50" s="139">
        <v>42</v>
      </c>
      <c r="R50" s="659">
        <v>33</v>
      </c>
      <c r="S50" s="659"/>
      <c r="T50" s="139">
        <v>31</v>
      </c>
      <c r="U50" s="141">
        <v>0.10199999999999999</v>
      </c>
      <c r="V50" s="139">
        <v>83</v>
      </c>
      <c r="W50" s="139">
        <v>125</v>
      </c>
      <c r="X50" s="144" t="s">
        <v>198</v>
      </c>
      <c r="Y50" s="686"/>
      <c r="AA50" s="204">
        <f t="shared" si="1"/>
        <v>34.86</v>
      </c>
      <c r="AB50" s="649"/>
      <c r="AD50">
        <f t="shared" si="2"/>
        <v>-9</v>
      </c>
      <c r="AE50" s="324">
        <f t="shared" si="3"/>
        <v>5000</v>
      </c>
      <c r="AF50" s="125">
        <f t="shared" si="0"/>
        <v>147.05882352941177</v>
      </c>
    </row>
    <row r="51" spans="1:32" ht="18">
      <c r="A51" s="188">
        <v>9.1999999999999993</v>
      </c>
      <c r="B51" s="139">
        <v>64</v>
      </c>
      <c r="C51" s="139">
        <v>44</v>
      </c>
      <c r="D51" s="137" t="s">
        <v>180</v>
      </c>
      <c r="E51" s="138">
        <v>0.94</v>
      </c>
      <c r="F51" s="138">
        <v>0.97</v>
      </c>
      <c r="G51" s="658" t="s">
        <v>178</v>
      </c>
      <c r="H51" s="658"/>
      <c r="I51" s="137" t="s">
        <v>178</v>
      </c>
      <c r="J51" s="137" t="s">
        <v>178</v>
      </c>
      <c r="K51" s="137" t="s">
        <v>178</v>
      </c>
      <c r="L51" s="137" t="s">
        <v>178</v>
      </c>
      <c r="M51" s="199">
        <v>57</v>
      </c>
      <c r="N51" s="193">
        <v>36</v>
      </c>
      <c r="O51" s="139">
        <v>38</v>
      </c>
      <c r="P51" s="139">
        <v>40</v>
      </c>
      <c r="Q51" s="139">
        <v>43</v>
      </c>
      <c r="R51" s="659">
        <v>35</v>
      </c>
      <c r="S51" s="659"/>
      <c r="T51" s="139">
        <v>32</v>
      </c>
      <c r="U51" s="141">
        <v>0.123</v>
      </c>
      <c r="V51" s="139">
        <v>107</v>
      </c>
      <c r="W51" s="139">
        <v>160</v>
      </c>
      <c r="X51" s="143">
        <v>192</v>
      </c>
      <c r="Y51" s="686"/>
      <c r="AA51" s="204">
        <f t="shared" si="1"/>
        <v>35.980000000000004</v>
      </c>
      <c r="AB51" s="649"/>
      <c r="AD51">
        <f t="shared" si="2"/>
        <v>-9.1999999999999993</v>
      </c>
      <c r="AE51" s="324">
        <f t="shared" si="3"/>
        <v>6400</v>
      </c>
      <c r="AF51" s="125">
        <f t="shared" si="0"/>
        <v>145.45454545454547</v>
      </c>
    </row>
    <row r="52" spans="1:32" ht="18">
      <c r="A52" s="188">
        <v>9.4</v>
      </c>
      <c r="B52" s="139">
        <v>68</v>
      </c>
      <c r="C52" s="139">
        <v>42</v>
      </c>
      <c r="D52" s="137" t="s">
        <v>180</v>
      </c>
      <c r="E52" s="138">
        <v>0.95</v>
      </c>
      <c r="F52" s="138">
        <v>0.99</v>
      </c>
      <c r="G52" s="658" t="s">
        <v>178</v>
      </c>
      <c r="H52" s="658"/>
      <c r="I52" s="137" t="s">
        <v>178</v>
      </c>
      <c r="J52" s="137" t="s">
        <v>178</v>
      </c>
      <c r="K52" s="137" t="s">
        <v>178</v>
      </c>
      <c r="L52" s="137" t="s">
        <v>178</v>
      </c>
      <c r="M52" s="199">
        <v>59</v>
      </c>
      <c r="N52" s="193">
        <v>36</v>
      </c>
      <c r="O52" s="139">
        <v>38</v>
      </c>
      <c r="P52" s="139">
        <v>40</v>
      </c>
      <c r="Q52" s="139">
        <v>43</v>
      </c>
      <c r="R52" s="659">
        <v>35</v>
      </c>
      <c r="S52" s="659"/>
      <c r="T52" s="139">
        <v>32</v>
      </c>
      <c r="U52" s="141">
        <v>0.127</v>
      </c>
      <c r="V52" s="139">
        <v>113</v>
      </c>
      <c r="W52" s="139">
        <v>170</v>
      </c>
      <c r="X52" s="143">
        <v>204</v>
      </c>
      <c r="Y52" s="686"/>
      <c r="AA52" s="204">
        <f t="shared" si="1"/>
        <v>36.260000000000005</v>
      </c>
      <c r="AB52" s="649"/>
      <c r="AD52">
        <f t="shared" si="2"/>
        <v>-9.4</v>
      </c>
      <c r="AE52" s="324">
        <f t="shared" si="3"/>
        <v>6800</v>
      </c>
      <c r="AF52" s="125">
        <f t="shared" si="0"/>
        <v>161.9047619047619</v>
      </c>
    </row>
    <row r="53" spans="1:32" ht="18.75" thickBot="1">
      <c r="A53" s="188">
        <v>9.6</v>
      </c>
      <c r="B53" s="146">
        <v>72</v>
      </c>
      <c r="C53" s="147" t="s">
        <v>178</v>
      </c>
      <c r="D53" s="147" t="s">
        <v>180</v>
      </c>
      <c r="E53" s="148">
        <v>0.95</v>
      </c>
      <c r="F53" s="148">
        <v>1.01</v>
      </c>
      <c r="G53" s="660" t="s">
        <v>178</v>
      </c>
      <c r="H53" s="660"/>
      <c r="I53" s="147" t="s">
        <v>178</v>
      </c>
      <c r="J53" s="147" t="s">
        <v>178</v>
      </c>
      <c r="K53" s="147" t="s">
        <v>178</v>
      </c>
      <c r="L53" s="147" t="s">
        <v>178</v>
      </c>
      <c r="M53" s="200">
        <v>60</v>
      </c>
      <c r="N53" s="194">
        <v>36</v>
      </c>
      <c r="O53" s="146">
        <v>38</v>
      </c>
      <c r="P53" s="146">
        <v>41</v>
      </c>
      <c r="Q53" s="146">
        <v>43</v>
      </c>
      <c r="R53" s="661">
        <v>35</v>
      </c>
      <c r="S53" s="661"/>
      <c r="T53" s="146">
        <v>32</v>
      </c>
      <c r="U53" s="149">
        <v>0.13200000000000001</v>
      </c>
      <c r="V53" s="146">
        <v>120</v>
      </c>
      <c r="W53" s="146">
        <v>180</v>
      </c>
      <c r="X53" s="150">
        <v>216</v>
      </c>
      <c r="Y53" s="687"/>
      <c r="AA53" s="205">
        <f t="shared" si="1"/>
        <v>36.4</v>
      </c>
      <c r="AB53" s="650"/>
      <c r="AD53">
        <f t="shared" si="2"/>
        <v>-9.6</v>
      </c>
      <c r="AE53" s="324">
        <f t="shared" si="3"/>
        <v>7200</v>
      </c>
      <c r="AF53" s="324"/>
    </row>
    <row r="57" spans="1:32" ht="15.75" thickBot="1"/>
    <row r="58" spans="1:32">
      <c r="A58" s="662" t="s">
        <v>213</v>
      </c>
      <c r="B58" s="663"/>
      <c r="C58" s="663"/>
      <c r="D58" s="663"/>
      <c r="E58" s="663"/>
      <c r="F58" s="663"/>
      <c r="G58" s="663"/>
      <c r="H58" s="663"/>
      <c r="I58" s="663"/>
      <c r="J58" s="663"/>
      <c r="K58" s="663"/>
      <c r="L58" s="663"/>
      <c r="M58" s="663"/>
      <c r="N58" s="663"/>
      <c r="O58" s="663"/>
      <c r="P58" s="663"/>
      <c r="Q58" s="663"/>
      <c r="R58" s="663"/>
      <c r="S58" s="663"/>
      <c r="T58" s="663"/>
      <c r="U58" s="663"/>
      <c r="V58" s="663"/>
      <c r="W58" s="663"/>
      <c r="X58" s="664"/>
    </row>
    <row r="59" spans="1:32" ht="15.75" thickBot="1">
      <c r="A59" s="665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7"/>
    </row>
    <row r="60" spans="1:32" ht="15.75" customHeight="1" thickBot="1">
      <c r="A60" s="690" t="s">
        <v>156</v>
      </c>
      <c r="B60" s="691"/>
      <c r="C60" s="691"/>
      <c r="D60" s="691"/>
      <c r="E60" s="691"/>
      <c r="F60" s="691"/>
      <c r="G60" s="691"/>
      <c r="H60" s="691"/>
      <c r="I60" s="691"/>
      <c r="J60" s="691"/>
      <c r="K60" s="691"/>
      <c r="L60" s="692"/>
      <c r="M60" s="693" t="s">
        <v>157</v>
      </c>
      <c r="N60" s="691"/>
      <c r="O60" s="691"/>
      <c r="P60" s="691"/>
      <c r="Q60" s="691"/>
      <c r="R60" s="691"/>
      <c r="S60" s="691"/>
      <c r="T60" s="691"/>
      <c r="U60" s="691"/>
      <c r="V60" s="691"/>
      <c r="W60" s="691"/>
      <c r="X60" s="694"/>
      <c r="Y60" t="s">
        <v>214</v>
      </c>
    </row>
    <row r="61" spans="1:32">
      <c r="A61" s="668" t="s">
        <v>158</v>
      </c>
      <c r="B61" s="669"/>
      <c r="C61" s="669"/>
      <c r="D61" s="670" t="s">
        <v>159</v>
      </c>
      <c r="E61" s="670"/>
      <c r="F61" s="670"/>
      <c r="G61" s="670"/>
      <c r="H61" s="670"/>
      <c r="I61" s="670"/>
      <c r="J61" s="669" t="s">
        <v>160</v>
      </c>
      <c r="K61" s="669"/>
      <c r="L61" s="151" t="s">
        <v>161</v>
      </c>
      <c r="M61" s="152" t="s">
        <v>162</v>
      </c>
      <c r="N61" s="153" t="s">
        <v>163</v>
      </c>
      <c r="O61" s="153" t="s">
        <v>164</v>
      </c>
      <c r="P61" s="153" t="s">
        <v>165</v>
      </c>
      <c r="Q61" s="153" t="s">
        <v>166</v>
      </c>
      <c r="R61" s="671" t="s">
        <v>167</v>
      </c>
      <c r="S61" s="671"/>
      <c r="T61" s="151" t="s">
        <v>168</v>
      </c>
      <c r="U61" s="151" t="s">
        <v>169</v>
      </c>
      <c r="V61" s="670" t="s">
        <v>170</v>
      </c>
      <c r="W61" s="670"/>
      <c r="X61" s="672"/>
      <c r="Y61" s="182" t="s">
        <v>275</v>
      </c>
      <c r="AA61" s="201" t="s">
        <v>275</v>
      </c>
      <c r="AB61" s="186" t="s">
        <v>277</v>
      </c>
    </row>
    <row r="62" spans="1:32" ht="36.75" thickBot="1">
      <c r="A62" s="679" t="s">
        <v>171</v>
      </c>
      <c r="B62" s="680"/>
      <c r="C62" s="680"/>
      <c r="D62" s="670" t="s">
        <v>172</v>
      </c>
      <c r="E62" s="670"/>
      <c r="F62" s="670"/>
      <c r="G62" s="670"/>
      <c r="H62" s="670"/>
      <c r="I62" s="670"/>
      <c r="J62" s="669" t="s">
        <v>173</v>
      </c>
      <c r="K62" s="669"/>
      <c r="L62" s="151" t="s">
        <v>173</v>
      </c>
      <c r="M62" s="152" t="s">
        <v>174</v>
      </c>
      <c r="N62" s="152" t="s">
        <v>175</v>
      </c>
      <c r="O62" s="152" t="s">
        <v>175</v>
      </c>
      <c r="P62" s="152" t="s">
        <v>175</v>
      </c>
      <c r="Q62" s="152" t="s">
        <v>175</v>
      </c>
      <c r="R62" s="671" t="s">
        <v>175</v>
      </c>
      <c r="S62" s="671"/>
      <c r="T62" s="151" t="s">
        <v>175</v>
      </c>
      <c r="U62" s="154" t="s">
        <v>176</v>
      </c>
      <c r="V62" s="669" t="s">
        <v>177</v>
      </c>
      <c r="W62" s="669"/>
      <c r="X62" s="681"/>
      <c r="Y62" s="183" t="s">
        <v>175</v>
      </c>
      <c r="AA62" s="202" t="s">
        <v>175</v>
      </c>
      <c r="AB62" s="187" t="s">
        <v>175</v>
      </c>
      <c r="AD62" s="575" t="s">
        <v>255</v>
      </c>
      <c r="AE62" s="575" t="s">
        <v>628</v>
      </c>
      <c r="AF62" s="575" t="s">
        <v>629</v>
      </c>
    </row>
    <row r="63" spans="1:32" ht="15" customHeight="1">
      <c r="A63" s="192">
        <v>0.2</v>
      </c>
      <c r="B63" s="190">
        <v>7</v>
      </c>
      <c r="C63" s="190"/>
      <c r="D63" s="670" t="s">
        <v>200</v>
      </c>
      <c r="E63" s="670"/>
      <c r="F63" s="670"/>
      <c r="G63" s="670"/>
      <c r="H63" s="670"/>
      <c r="I63" s="670"/>
      <c r="J63" s="669" t="s">
        <v>201</v>
      </c>
      <c r="K63" s="669"/>
      <c r="L63" s="155">
        <v>32</v>
      </c>
      <c r="M63" s="153" t="s">
        <v>178</v>
      </c>
      <c r="N63" s="152" t="s">
        <v>178</v>
      </c>
      <c r="O63" s="152" t="s">
        <v>178</v>
      </c>
      <c r="P63" s="152" t="s">
        <v>178</v>
      </c>
      <c r="Q63" s="152" t="s">
        <v>178</v>
      </c>
      <c r="R63" s="671" t="s">
        <v>178</v>
      </c>
      <c r="S63" s="671"/>
      <c r="T63" s="156" t="s">
        <v>178</v>
      </c>
      <c r="U63" s="157" t="s">
        <v>178</v>
      </c>
      <c r="V63" s="669" t="s">
        <v>202</v>
      </c>
      <c r="W63" s="669"/>
      <c r="X63" s="681"/>
      <c r="Y63" s="651">
        <f>AVERAGE(N63:N76)</f>
        <v>37.230769230769234</v>
      </c>
      <c r="AA63" s="204" t="s">
        <v>109</v>
      </c>
      <c r="AB63" s="651">
        <f>AVERAGE(AA63:AA76)</f>
        <v>37.369230769230775</v>
      </c>
      <c r="AD63">
        <f t="shared" ref="AD63:AD94" si="4">-A63</f>
        <v>-0.2</v>
      </c>
      <c r="AE63" s="324">
        <f t="shared" ref="AE63:AE94" si="5">B63*100</f>
        <v>700</v>
      </c>
    </row>
    <row r="64" spans="1:32">
      <c r="A64" s="189">
        <v>0.4</v>
      </c>
      <c r="B64" s="191">
        <v>14</v>
      </c>
      <c r="C64" s="191">
        <v>35</v>
      </c>
      <c r="D64" s="154" t="s">
        <v>179</v>
      </c>
      <c r="E64" s="159">
        <v>1.85</v>
      </c>
      <c r="F64" s="159">
        <v>7.0000000000000007E-2</v>
      </c>
      <c r="G64" s="684">
        <v>0.64</v>
      </c>
      <c r="H64" s="684"/>
      <c r="I64" s="160">
        <v>92.5</v>
      </c>
      <c r="J64" s="161">
        <v>108</v>
      </c>
      <c r="K64" s="158">
        <v>162</v>
      </c>
      <c r="L64" s="155">
        <v>48</v>
      </c>
      <c r="M64" s="161">
        <v>68</v>
      </c>
      <c r="N64" s="162">
        <v>38</v>
      </c>
      <c r="O64" s="162">
        <v>39</v>
      </c>
      <c r="P64" s="162">
        <v>41</v>
      </c>
      <c r="Q64" s="162">
        <v>43</v>
      </c>
      <c r="R64" s="683">
        <v>40</v>
      </c>
      <c r="S64" s="683"/>
      <c r="T64" s="163">
        <v>26</v>
      </c>
      <c r="U64" s="164">
        <v>0.153</v>
      </c>
      <c r="V64" s="158">
        <v>23</v>
      </c>
      <c r="W64" s="161">
        <v>35</v>
      </c>
      <c r="X64" s="165">
        <v>42</v>
      </c>
      <c r="Y64" s="652"/>
      <c r="AA64" s="204">
        <f t="shared" ref="AA64:AA112" si="6">28+0.14*M64</f>
        <v>37.520000000000003</v>
      </c>
      <c r="AB64" s="652"/>
      <c r="AD64">
        <f t="shared" si="4"/>
        <v>-0.4</v>
      </c>
      <c r="AE64" s="324">
        <f t="shared" si="5"/>
        <v>1400</v>
      </c>
      <c r="AF64" s="125">
        <f t="shared" ref="AF64:AF111" si="7">AE64/C64</f>
        <v>40</v>
      </c>
    </row>
    <row r="65" spans="1:32">
      <c r="A65" s="192">
        <v>0.6</v>
      </c>
      <c r="B65" s="158">
        <v>24</v>
      </c>
      <c r="C65" s="158">
        <v>40</v>
      </c>
      <c r="D65" s="154" t="s">
        <v>180</v>
      </c>
      <c r="E65" s="159">
        <v>1.85</v>
      </c>
      <c r="F65" s="159">
        <v>0.11</v>
      </c>
      <c r="G65" s="682" t="s">
        <v>178</v>
      </c>
      <c r="H65" s="682"/>
      <c r="I65" s="152" t="s">
        <v>178</v>
      </c>
      <c r="J65" s="153" t="s">
        <v>178</v>
      </c>
      <c r="K65" s="154" t="s">
        <v>178</v>
      </c>
      <c r="L65" s="154" t="s">
        <v>178</v>
      </c>
      <c r="M65" s="161">
        <v>77</v>
      </c>
      <c r="N65" s="162">
        <v>39</v>
      </c>
      <c r="O65" s="162">
        <v>40</v>
      </c>
      <c r="P65" s="162">
        <v>42</v>
      </c>
      <c r="Q65" s="162">
        <v>44</v>
      </c>
      <c r="R65" s="683">
        <v>40</v>
      </c>
      <c r="S65" s="683"/>
      <c r="T65" s="163">
        <v>28</v>
      </c>
      <c r="U65" s="164">
        <v>0.17899999999999999</v>
      </c>
      <c r="V65" s="158">
        <v>40</v>
      </c>
      <c r="W65" s="161">
        <v>60</v>
      </c>
      <c r="X65" s="165">
        <v>72</v>
      </c>
      <c r="Y65" s="652"/>
      <c r="AA65" s="204">
        <f t="shared" si="6"/>
        <v>38.78</v>
      </c>
      <c r="AB65" s="652"/>
      <c r="AD65">
        <f t="shared" si="4"/>
        <v>-0.6</v>
      </c>
      <c r="AE65" s="324">
        <f t="shared" si="5"/>
        <v>2400</v>
      </c>
      <c r="AF65" s="125">
        <f t="shared" si="7"/>
        <v>60</v>
      </c>
    </row>
    <row r="66" spans="1:32">
      <c r="A66" s="189">
        <v>0.8</v>
      </c>
      <c r="B66" s="158">
        <v>50</v>
      </c>
      <c r="C66" s="158">
        <v>62</v>
      </c>
      <c r="D66" s="154" t="s">
        <v>180</v>
      </c>
      <c r="E66" s="159">
        <v>1.85</v>
      </c>
      <c r="F66" s="159">
        <v>0.15</v>
      </c>
      <c r="G66" s="682" t="s">
        <v>178</v>
      </c>
      <c r="H66" s="682"/>
      <c r="I66" s="152" t="s">
        <v>178</v>
      </c>
      <c r="J66" s="153" t="s">
        <v>178</v>
      </c>
      <c r="K66" s="154" t="s">
        <v>178</v>
      </c>
      <c r="L66" s="154" t="s">
        <v>178</v>
      </c>
      <c r="M66" s="161">
        <v>95</v>
      </c>
      <c r="N66" s="162">
        <v>41</v>
      </c>
      <c r="O66" s="162">
        <v>43</v>
      </c>
      <c r="P66" s="162">
        <v>44</v>
      </c>
      <c r="Q66" s="162">
        <v>46</v>
      </c>
      <c r="R66" s="683">
        <v>42</v>
      </c>
      <c r="S66" s="683"/>
      <c r="T66" s="163">
        <v>31</v>
      </c>
      <c r="U66" s="164">
        <v>0.24</v>
      </c>
      <c r="V66" s="158">
        <v>83</v>
      </c>
      <c r="W66" s="161">
        <v>125</v>
      </c>
      <c r="X66" s="165">
        <v>150</v>
      </c>
      <c r="Y66" s="652"/>
      <c r="AA66" s="204">
        <f t="shared" si="6"/>
        <v>41.3</v>
      </c>
      <c r="AB66" s="652"/>
      <c r="AD66">
        <f t="shared" si="4"/>
        <v>-0.8</v>
      </c>
      <c r="AE66" s="324">
        <f t="shared" si="5"/>
        <v>5000</v>
      </c>
      <c r="AF66" s="125">
        <f t="shared" si="7"/>
        <v>80.645161290322577</v>
      </c>
    </row>
    <row r="67" spans="1:32" ht="30.75">
      <c r="A67" s="192">
        <v>1</v>
      </c>
      <c r="B67" s="158">
        <v>40</v>
      </c>
      <c r="C67" s="158">
        <v>37</v>
      </c>
      <c r="D67" s="154" t="s">
        <v>180</v>
      </c>
      <c r="E67" s="159">
        <v>1.85</v>
      </c>
      <c r="F67" s="159">
        <v>0.19</v>
      </c>
      <c r="G67" s="682" t="s">
        <v>178</v>
      </c>
      <c r="H67" s="682"/>
      <c r="I67" s="152" t="s">
        <v>178</v>
      </c>
      <c r="J67" s="153" t="s">
        <v>178</v>
      </c>
      <c r="K67" s="154" t="s">
        <v>178</v>
      </c>
      <c r="L67" s="154" t="s">
        <v>178</v>
      </c>
      <c r="M67" s="161">
        <v>82</v>
      </c>
      <c r="N67" s="162">
        <v>39</v>
      </c>
      <c r="O67" s="162">
        <v>41</v>
      </c>
      <c r="P67" s="162">
        <v>43</v>
      </c>
      <c r="Q67" s="162">
        <v>45</v>
      </c>
      <c r="R67" s="683">
        <v>40</v>
      </c>
      <c r="S67" s="683"/>
      <c r="T67" s="163">
        <v>30</v>
      </c>
      <c r="U67" s="164">
        <v>0.19500000000000001</v>
      </c>
      <c r="V67" s="158">
        <v>67</v>
      </c>
      <c r="W67" s="161">
        <v>100</v>
      </c>
      <c r="X67" s="166" t="s">
        <v>203</v>
      </c>
      <c r="Y67" s="652"/>
      <c r="AA67" s="204">
        <f t="shared" si="6"/>
        <v>39.480000000000004</v>
      </c>
      <c r="AB67" s="652"/>
      <c r="AD67">
        <f t="shared" si="4"/>
        <v>-1</v>
      </c>
      <c r="AE67" s="324">
        <f t="shared" si="5"/>
        <v>4000</v>
      </c>
      <c r="AF67" s="125">
        <f t="shared" si="7"/>
        <v>108.10810810810811</v>
      </c>
    </row>
    <row r="68" spans="1:32">
      <c r="A68" s="189">
        <v>1.2</v>
      </c>
      <c r="B68" s="158">
        <v>24</v>
      </c>
      <c r="C68" s="158">
        <v>28</v>
      </c>
      <c r="D68" s="154" t="s">
        <v>179</v>
      </c>
      <c r="E68" s="159">
        <v>1.85</v>
      </c>
      <c r="F68" s="159">
        <v>0.22</v>
      </c>
      <c r="G68" s="684">
        <v>0.89</v>
      </c>
      <c r="H68" s="684"/>
      <c r="I68" s="160">
        <v>35.6</v>
      </c>
      <c r="J68" s="161">
        <v>151</v>
      </c>
      <c r="K68" s="158">
        <v>227</v>
      </c>
      <c r="L68" s="155">
        <v>72</v>
      </c>
      <c r="M68" s="161">
        <v>60</v>
      </c>
      <c r="N68" s="162">
        <v>36</v>
      </c>
      <c r="O68" s="162">
        <v>38</v>
      </c>
      <c r="P68" s="162">
        <v>41</v>
      </c>
      <c r="Q68" s="162">
        <v>43</v>
      </c>
      <c r="R68" s="683">
        <v>37</v>
      </c>
      <c r="S68" s="683"/>
      <c r="T68" s="163">
        <v>28</v>
      </c>
      <c r="U68" s="164">
        <v>0.13</v>
      </c>
      <c r="V68" s="158">
        <v>40</v>
      </c>
      <c r="W68" s="161">
        <v>60</v>
      </c>
      <c r="X68" s="165">
        <v>72</v>
      </c>
      <c r="Y68" s="652"/>
      <c r="AA68" s="204">
        <f t="shared" si="6"/>
        <v>36.4</v>
      </c>
      <c r="AB68" s="652"/>
      <c r="AD68">
        <f t="shared" si="4"/>
        <v>-1.2</v>
      </c>
      <c r="AE68" s="324">
        <f t="shared" si="5"/>
        <v>2400</v>
      </c>
      <c r="AF68" s="125">
        <f t="shared" si="7"/>
        <v>85.714285714285708</v>
      </c>
    </row>
    <row r="69" spans="1:32">
      <c r="A69" s="192">
        <v>1.4</v>
      </c>
      <c r="B69" s="158">
        <v>27</v>
      </c>
      <c r="C69" s="158">
        <v>31</v>
      </c>
      <c r="D69" s="154" t="s">
        <v>180</v>
      </c>
      <c r="E69" s="159">
        <v>1.85</v>
      </c>
      <c r="F69" s="159">
        <v>0.26</v>
      </c>
      <c r="G69" s="682" t="s">
        <v>178</v>
      </c>
      <c r="H69" s="682"/>
      <c r="I69" s="152" t="s">
        <v>178</v>
      </c>
      <c r="J69" s="153" t="s">
        <v>178</v>
      </c>
      <c r="K69" s="154" t="s">
        <v>178</v>
      </c>
      <c r="L69" s="154" t="s">
        <v>178</v>
      </c>
      <c r="M69" s="161">
        <v>60</v>
      </c>
      <c r="N69" s="162">
        <v>36</v>
      </c>
      <c r="O69" s="162">
        <v>38</v>
      </c>
      <c r="P69" s="162">
        <v>41</v>
      </c>
      <c r="Q69" s="162">
        <v>43</v>
      </c>
      <c r="R69" s="683">
        <v>37</v>
      </c>
      <c r="S69" s="683"/>
      <c r="T69" s="163">
        <v>28</v>
      </c>
      <c r="U69" s="164">
        <v>0.13</v>
      </c>
      <c r="V69" s="158">
        <v>45</v>
      </c>
      <c r="W69" s="161">
        <v>68</v>
      </c>
      <c r="X69" s="165">
        <v>81</v>
      </c>
      <c r="Y69" s="652"/>
      <c r="AA69" s="204">
        <f t="shared" si="6"/>
        <v>36.4</v>
      </c>
      <c r="AB69" s="652"/>
      <c r="AD69">
        <f t="shared" si="4"/>
        <v>-1.4</v>
      </c>
      <c r="AE69" s="324">
        <f t="shared" si="5"/>
        <v>2700</v>
      </c>
      <c r="AF69" s="125">
        <f t="shared" si="7"/>
        <v>87.096774193548384</v>
      </c>
    </row>
    <row r="70" spans="1:32">
      <c r="A70" s="189">
        <v>1.6</v>
      </c>
      <c r="B70" s="158">
        <v>31</v>
      </c>
      <c r="C70" s="158">
        <v>36</v>
      </c>
      <c r="D70" s="154" t="s">
        <v>180</v>
      </c>
      <c r="E70" s="159">
        <v>1.85</v>
      </c>
      <c r="F70" s="159">
        <v>0.3</v>
      </c>
      <c r="G70" s="682" t="s">
        <v>178</v>
      </c>
      <c r="H70" s="682"/>
      <c r="I70" s="152" t="s">
        <v>178</v>
      </c>
      <c r="J70" s="153" t="s">
        <v>178</v>
      </c>
      <c r="K70" s="154" t="s">
        <v>178</v>
      </c>
      <c r="L70" s="154" t="s">
        <v>178</v>
      </c>
      <c r="M70" s="161">
        <v>61</v>
      </c>
      <c r="N70" s="162">
        <v>37</v>
      </c>
      <c r="O70" s="162">
        <v>39</v>
      </c>
      <c r="P70" s="162">
        <v>41</v>
      </c>
      <c r="Q70" s="162">
        <v>43</v>
      </c>
      <c r="R70" s="683">
        <v>37</v>
      </c>
      <c r="S70" s="683"/>
      <c r="T70" s="163">
        <v>29</v>
      </c>
      <c r="U70" s="164">
        <v>0.13400000000000001</v>
      </c>
      <c r="V70" s="158">
        <v>52</v>
      </c>
      <c r="W70" s="161">
        <v>78</v>
      </c>
      <c r="X70" s="165">
        <v>93</v>
      </c>
      <c r="Y70" s="652"/>
      <c r="AA70" s="204">
        <f t="shared" si="6"/>
        <v>36.54</v>
      </c>
      <c r="AB70" s="652"/>
      <c r="AD70">
        <f t="shared" si="4"/>
        <v>-1.6</v>
      </c>
      <c r="AE70" s="324">
        <f t="shared" si="5"/>
        <v>3100</v>
      </c>
      <c r="AF70" s="125">
        <f t="shared" si="7"/>
        <v>86.111111111111114</v>
      </c>
    </row>
    <row r="71" spans="1:32">
      <c r="A71" s="192">
        <v>1.8</v>
      </c>
      <c r="B71" s="158">
        <v>31</v>
      </c>
      <c r="C71" s="158">
        <v>29</v>
      </c>
      <c r="D71" s="154" t="s">
        <v>179</v>
      </c>
      <c r="E71" s="159">
        <v>1.85</v>
      </c>
      <c r="F71" s="159">
        <v>0.33</v>
      </c>
      <c r="G71" s="684">
        <v>1.03</v>
      </c>
      <c r="H71" s="684"/>
      <c r="I71" s="160">
        <v>25.9</v>
      </c>
      <c r="J71" s="161">
        <v>176</v>
      </c>
      <c r="K71" s="158">
        <v>264</v>
      </c>
      <c r="L71" s="155">
        <v>93</v>
      </c>
      <c r="M71" s="161">
        <v>59</v>
      </c>
      <c r="N71" s="162">
        <v>36</v>
      </c>
      <c r="O71" s="162">
        <v>38</v>
      </c>
      <c r="P71" s="162">
        <v>40</v>
      </c>
      <c r="Q71" s="162">
        <v>43</v>
      </c>
      <c r="R71" s="683">
        <v>37</v>
      </c>
      <c r="S71" s="683"/>
      <c r="T71" s="163">
        <v>29</v>
      </c>
      <c r="U71" s="164">
        <v>0.127</v>
      </c>
      <c r="V71" s="158">
        <v>52</v>
      </c>
      <c r="W71" s="161">
        <v>78</v>
      </c>
      <c r="X71" s="165">
        <v>93</v>
      </c>
      <c r="Y71" s="652"/>
      <c r="AA71" s="204">
        <f t="shared" si="6"/>
        <v>36.260000000000005</v>
      </c>
      <c r="AB71" s="652"/>
      <c r="AD71">
        <f t="shared" si="4"/>
        <v>-1.8</v>
      </c>
      <c r="AE71" s="324">
        <f t="shared" si="5"/>
        <v>3100</v>
      </c>
      <c r="AF71" s="125">
        <f t="shared" si="7"/>
        <v>106.89655172413794</v>
      </c>
    </row>
    <row r="72" spans="1:32" ht="15.75">
      <c r="A72" s="189">
        <v>2</v>
      </c>
      <c r="B72" s="158">
        <v>28</v>
      </c>
      <c r="C72" s="158">
        <v>38</v>
      </c>
      <c r="D72" s="154" t="s">
        <v>180</v>
      </c>
      <c r="E72" s="159">
        <v>1.85</v>
      </c>
      <c r="F72" s="159">
        <v>0.37</v>
      </c>
      <c r="G72" s="682" t="s">
        <v>178</v>
      </c>
      <c r="H72" s="682"/>
      <c r="I72" s="152" t="s">
        <v>178</v>
      </c>
      <c r="J72" s="153" t="s">
        <v>178</v>
      </c>
      <c r="K72" s="154" t="s">
        <v>178</v>
      </c>
      <c r="L72" s="154" t="s">
        <v>178</v>
      </c>
      <c r="M72" s="161">
        <v>52</v>
      </c>
      <c r="N72" s="162">
        <v>35</v>
      </c>
      <c r="O72" s="162">
        <v>38</v>
      </c>
      <c r="P72" s="162">
        <v>40</v>
      </c>
      <c r="Q72" s="162">
        <v>42</v>
      </c>
      <c r="R72" s="683">
        <v>35</v>
      </c>
      <c r="S72" s="683"/>
      <c r="T72" s="163">
        <v>28</v>
      </c>
      <c r="U72" s="164">
        <v>0.11</v>
      </c>
      <c r="V72" s="158">
        <v>47</v>
      </c>
      <c r="W72" s="161">
        <v>70</v>
      </c>
      <c r="X72" s="167" t="s">
        <v>204</v>
      </c>
      <c r="Y72" s="652"/>
      <c r="AA72" s="204">
        <f t="shared" si="6"/>
        <v>35.28</v>
      </c>
      <c r="AB72" s="652"/>
      <c r="AD72">
        <f t="shared" si="4"/>
        <v>-2</v>
      </c>
      <c r="AE72" s="324">
        <f t="shared" si="5"/>
        <v>2800</v>
      </c>
      <c r="AF72" s="125">
        <f t="shared" si="7"/>
        <v>73.684210526315795</v>
      </c>
    </row>
    <row r="73" spans="1:32">
      <c r="A73" s="192">
        <v>2.2000000000000002</v>
      </c>
      <c r="B73" s="158">
        <v>35</v>
      </c>
      <c r="C73" s="158">
        <v>33</v>
      </c>
      <c r="D73" s="154" t="s">
        <v>180</v>
      </c>
      <c r="E73" s="159">
        <v>1.85</v>
      </c>
      <c r="F73" s="159">
        <v>0.41</v>
      </c>
      <c r="G73" s="682" t="s">
        <v>178</v>
      </c>
      <c r="H73" s="682"/>
      <c r="I73" s="152" t="s">
        <v>178</v>
      </c>
      <c r="J73" s="153" t="s">
        <v>178</v>
      </c>
      <c r="K73" s="154" t="s">
        <v>178</v>
      </c>
      <c r="L73" s="154" t="s">
        <v>178</v>
      </c>
      <c r="M73" s="161">
        <v>58</v>
      </c>
      <c r="N73" s="162">
        <v>36</v>
      </c>
      <c r="O73" s="162">
        <v>38</v>
      </c>
      <c r="P73" s="162">
        <v>40</v>
      </c>
      <c r="Q73" s="162">
        <v>43</v>
      </c>
      <c r="R73" s="683">
        <v>36</v>
      </c>
      <c r="S73" s="683"/>
      <c r="T73" s="163">
        <v>29</v>
      </c>
      <c r="U73" s="164">
        <v>0.125</v>
      </c>
      <c r="V73" s="158">
        <v>58</v>
      </c>
      <c r="W73" s="161">
        <v>88</v>
      </c>
      <c r="X73" s="165">
        <v>105</v>
      </c>
      <c r="Y73" s="652"/>
      <c r="AA73" s="204">
        <f t="shared" si="6"/>
        <v>36.120000000000005</v>
      </c>
      <c r="AB73" s="652"/>
      <c r="AD73">
        <f t="shared" si="4"/>
        <v>-2.2000000000000002</v>
      </c>
      <c r="AE73" s="324">
        <f t="shared" si="5"/>
        <v>3500</v>
      </c>
      <c r="AF73" s="125">
        <f t="shared" si="7"/>
        <v>106.06060606060606</v>
      </c>
    </row>
    <row r="74" spans="1:32">
      <c r="A74" s="189">
        <v>2.4</v>
      </c>
      <c r="B74" s="158">
        <v>32</v>
      </c>
      <c r="C74" s="158">
        <v>48</v>
      </c>
      <c r="D74" s="154" t="s">
        <v>180</v>
      </c>
      <c r="E74" s="159">
        <v>1.85</v>
      </c>
      <c r="F74" s="159">
        <v>0.44</v>
      </c>
      <c r="G74" s="682" t="s">
        <v>178</v>
      </c>
      <c r="H74" s="682"/>
      <c r="I74" s="152" t="s">
        <v>178</v>
      </c>
      <c r="J74" s="153" t="s">
        <v>178</v>
      </c>
      <c r="K74" s="154" t="s">
        <v>178</v>
      </c>
      <c r="L74" s="154" t="s">
        <v>178</v>
      </c>
      <c r="M74" s="161">
        <v>53</v>
      </c>
      <c r="N74" s="162">
        <v>35</v>
      </c>
      <c r="O74" s="162">
        <v>38</v>
      </c>
      <c r="P74" s="162">
        <v>40</v>
      </c>
      <c r="Q74" s="162">
        <v>42</v>
      </c>
      <c r="R74" s="683">
        <v>35</v>
      </c>
      <c r="S74" s="683"/>
      <c r="T74" s="163">
        <v>29</v>
      </c>
      <c r="U74" s="164">
        <v>0.111</v>
      </c>
      <c r="V74" s="158">
        <v>53</v>
      </c>
      <c r="W74" s="161">
        <v>80</v>
      </c>
      <c r="X74" s="165">
        <v>96</v>
      </c>
      <c r="Y74" s="652"/>
      <c r="AA74" s="204">
        <f t="shared" si="6"/>
        <v>35.42</v>
      </c>
      <c r="AB74" s="652"/>
      <c r="AD74">
        <f t="shared" si="4"/>
        <v>-2.4</v>
      </c>
      <c r="AE74" s="324">
        <f t="shared" si="5"/>
        <v>3200</v>
      </c>
      <c r="AF74" s="125">
        <f t="shared" si="7"/>
        <v>66.666666666666671</v>
      </c>
    </row>
    <row r="75" spans="1:32">
      <c r="A75" s="192">
        <v>2.6</v>
      </c>
      <c r="B75" s="158">
        <v>64</v>
      </c>
      <c r="C75" s="158">
        <v>48</v>
      </c>
      <c r="D75" s="154" t="s">
        <v>180</v>
      </c>
      <c r="E75" s="159">
        <v>1.85</v>
      </c>
      <c r="F75" s="159">
        <v>0.48</v>
      </c>
      <c r="G75" s="682" t="s">
        <v>178</v>
      </c>
      <c r="H75" s="682"/>
      <c r="I75" s="152" t="s">
        <v>178</v>
      </c>
      <c r="J75" s="153" t="s">
        <v>178</v>
      </c>
      <c r="K75" s="154" t="s">
        <v>178</v>
      </c>
      <c r="L75" s="154" t="s">
        <v>178</v>
      </c>
      <c r="M75" s="161">
        <v>75</v>
      </c>
      <c r="N75" s="162">
        <v>38</v>
      </c>
      <c r="O75" s="162">
        <v>40</v>
      </c>
      <c r="P75" s="162">
        <v>42</v>
      </c>
      <c r="Q75" s="162">
        <v>44</v>
      </c>
      <c r="R75" s="683">
        <v>38</v>
      </c>
      <c r="S75" s="683"/>
      <c r="T75" s="163">
        <v>32</v>
      </c>
      <c r="U75" s="164">
        <v>0.17299999999999999</v>
      </c>
      <c r="V75" s="158">
        <v>107</v>
      </c>
      <c r="W75" s="161">
        <v>160</v>
      </c>
      <c r="X75" s="165">
        <v>192</v>
      </c>
      <c r="Y75" s="652"/>
      <c r="AA75" s="204">
        <f t="shared" si="6"/>
        <v>38.5</v>
      </c>
      <c r="AB75" s="652"/>
      <c r="AD75">
        <f t="shared" si="4"/>
        <v>-2.6</v>
      </c>
      <c r="AE75" s="324">
        <f t="shared" si="5"/>
        <v>6400</v>
      </c>
      <c r="AF75" s="125">
        <f t="shared" si="7"/>
        <v>133.33333333333334</v>
      </c>
    </row>
    <row r="76" spans="1:32" ht="15.75" thickBot="1">
      <c r="A76" s="189">
        <v>2.8</v>
      </c>
      <c r="B76" s="158">
        <v>60</v>
      </c>
      <c r="C76" s="158">
        <v>45</v>
      </c>
      <c r="D76" s="154" t="s">
        <v>180</v>
      </c>
      <c r="E76" s="159">
        <v>1.85</v>
      </c>
      <c r="F76" s="159">
        <v>0.52</v>
      </c>
      <c r="G76" s="682" t="s">
        <v>178</v>
      </c>
      <c r="H76" s="682"/>
      <c r="I76" s="152" t="s">
        <v>178</v>
      </c>
      <c r="J76" s="153" t="s">
        <v>178</v>
      </c>
      <c r="K76" s="154" t="s">
        <v>178</v>
      </c>
      <c r="L76" s="154" t="s">
        <v>178</v>
      </c>
      <c r="M76" s="161">
        <v>70</v>
      </c>
      <c r="N76" s="162">
        <v>38</v>
      </c>
      <c r="O76" s="162">
        <v>40</v>
      </c>
      <c r="P76" s="162">
        <v>42</v>
      </c>
      <c r="Q76" s="162">
        <v>44</v>
      </c>
      <c r="R76" s="683">
        <v>38</v>
      </c>
      <c r="S76" s="683"/>
      <c r="T76" s="163">
        <v>32</v>
      </c>
      <c r="U76" s="164">
        <v>0.161</v>
      </c>
      <c r="V76" s="158">
        <v>100</v>
      </c>
      <c r="W76" s="161">
        <v>150</v>
      </c>
      <c r="X76" s="165">
        <v>180</v>
      </c>
      <c r="Y76" s="653"/>
      <c r="AA76" s="204">
        <f t="shared" si="6"/>
        <v>37.799999999999997</v>
      </c>
      <c r="AB76" s="653"/>
      <c r="AD76">
        <f t="shared" si="4"/>
        <v>-2.8</v>
      </c>
      <c r="AE76" s="324">
        <f t="shared" si="5"/>
        <v>6000</v>
      </c>
      <c r="AF76" s="125">
        <f t="shared" si="7"/>
        <v>133.33333333333334</v>
      </c>
    </row>
    <row r="77" spans="1:32" ht="30.75">
      <c r="A77" s="192">
        <v>3</v>
      </c>
      <c r="B77" s="158">
        <v>80</v>
      </c>
      <c r="C77" s="158">
        <v>46</v>
      </c>
      <c r="D77" s="154" t="s">
        <v>180</v>
      </c>
      <c r="E77" s="159">
        <v>1.85</v>
      </c>
      <c r="F77" s="159">
        <v>0.55000000000000004</v>
      </c>
      <c r="G77" s="682" t="s">
        <v>178</v>
      </c>
      <c r="H77" s="682"/>
      <c r="I77" s="152" t="s">
        <v>178</v>
      </c>
      <c r="J77" s="153" t="s">
        <v>178</v>
      </c>
      <c r="K77" s="154" t="s">
        <v>178</v>
      </c>
      <c r="L77" s="154" t="s">
        <v>178</v>
      </c>
      <c r="M77" s="161">
        <v>79</v>
      </c>
      <c r="N77" s="162">
        <v>39</v>
      </c>
      <c r="O77" s="162">
        <v>41</v>
      </c>
      <c r="P77" s="162">
        <v>42</v>
      </c>
      <c r="Q77" s="162">
        <v>44</v>
      </c>
      <c r="R77" s="683">
        <v>39</v>
      </c>
      <c r="S77" s="683"/>
      <c r="T77" s="163">
        <v>33</v>
      </c>
      <c r="U77" s="164">
        <v>0.186</v>
      </c>
      <c r="V77" s="158">
        <v>133</v>
      </c>
      <c r="W77" s="161">
        <v>200</v>
      </c>
      <c r="X77" s="166" t="s">
        <v>205</v>
      </c>
      <c r="Y77" s="685">
        <f>AVERAGE(N77:N112)</f>
        <v>33.972222222222221</v>
      </c>
      <c r="AA77" s="204">
        <f t="shared" si="6"/>
        <v>39.06</v>
      </c>
      <c r="AB77" s="654">
        <f>AVERAGE(AA77:AA112)</f>
        <v>33.911111111111111</v>
      </c>
      <c r="AD77">
        <f t="shared" si="4"/>
        <v>-3</v>
      </c>
      <c r="AE77" s="324">
        <f t="shared" si="5"/>
        <v>8000</v>
      </c>
      <c r="AF77" s="125">
        <f t="shared" si="7"/>
        <v>173.91304347826087</v>
      </c>
    </row>
    <row r="78" spans="1:32">
      <c r="A78" s="189">
        <v>3.2</v>
      </c>
      <c r="B78" s="158">
        <v>80</v>
      </c>
      <c r="C78" s="158">
        <v>43</v>
      </c>
      <c r="D78" s="154" t="s">
        <v>180</v>
      </c>
      <c r="E78" s="159">
        <v>1.85</v>
      </c>
      <c r="F78" s="159">
        <v>0.59</v>
      </c>
      <c r="G78" s="682" t="s">
        <v>178</v>
      </c>
      <c r="H78" s="682"/>
      <c r="I78" s="152" t="s">
        <v>178</v>
      </c>
      <c r="J78" s="153" t="s">
        <v>178</v>
      </c>
      <c r="K78" s="154" t="s">
        <v>178</v>
      </c>
      <c r="L78" s="154" t="s">
        <v>178</v>
      </c>
      <c r="M78" s="161">
        <v>77</v>
      </c>
      <c r="N78" s="162">
        <v>39</v>
      </c>
      <c r="O78" s="162">
        <v>41</v>
      </c>
      <c r="P78" s="162">
        <v>42</v>
      </c>
      <c r="Q78" s="162">
        <v>44</v>
      </c>
      <c r="R78" s="683">
        <v>38</v>
      </c>
      <c r="S78" s="683"/>
      <c r="T78" s="163">
        <v>33</v>
      </c>
      <c r="U78" s="164">
        <v>0.18099999999999999</v>
      </c>
      <c r="V78" s="158">
        <v>133</v>
      </c>
      <c r="W78" s="161">
        <v>200</v>
      </c>
      <c r="X78" s="165">
        <v>240</v>
      </c>
      <c r="Y78" s="686"/>
      <c r="AA78" s="204">
        <f t="shared" si="6"/>
        <v>38.78</v>
      </c>
      <c r="AB78" s="655"/>
      <c r="AD78">
        <f t="shared" si="4"/>
        <v>-3.2</v>
      </c>
      <c r="AE78" s="324">
        <f t="shared" si="5"/>
        <v>8000</v>
      </c>
      <c r="AF78" s="125">
        <f t="shared" si="7"/>
        <v>186.04651162790697</v>
      </c>
    </row>
    <row r="79" spans="1:32">
      <c r="A79" s="192">
        <v>3.4</v>
      </c>
      <c r="B79" s="158">
        <v>52</v>
      </c>
      <c r="C79" s="158">
        <v>43</v>
      </c>
      <c r="D79" s="154" t="s">
        <v>180</v>
      </c>
      <c r="E79" s="159">
        <v>1.85</v>
      </c>
      <c r="F79" s="159">
        <v>0.63</v>
      </c>
      <c r="G79" s="682" t="s">
        <v>178</v>
      </c>
      <c r="H79" s="682"/>
      <c r="I79" s="152" t="s">
        <v>178</v>
      </c>
      <c r="J79" s="153" t="s">
        <v>178</v>
      </c>
      <c r="K79" s="154" t="s">
        <v>178</v>
      </c>
      <c r="L79" s="154" t="s">
        <v>178</v>
      </c>
      <c r="M79" s="161">
        <v>61</v>
      </c>
      <c r="N79" s="162">
        <v>37</v>
      </c>
      <c r="O79" s="162">
        <v>39</v>
      </c>
      <c r="P79" s="162">
        <v>41</v>
      </c>
      <c r="Q79" s="162">
        <v>43</v>
      </c>
      <c r="R79" s="683">
        <v>36</v>
      </c>
      <c r="S79" s="683"/>
      <c r="T79" s="163">
        <v>31</v>
      </c>
      <c r="U79" s="164">
        <v>0.13300000000000001</v>
      </c>
      <c r="V79" s="158">
        <v>87</v>
      </c>
      <c r="W79" s="161">
        <v>130</v>
      </c>
      <c r="X79" s="165">
        <v>156</v>
      </c>
      <c r="Y79" s="686"/>
      <c r="AA79" s="204">
        <f t="shared" si="6"/>
        <v>36.54</v>
      </c>
      <c r="AB79" s="655"/>
      <c r="AD79">
        <f t="shared" si="4"/>
        <v>-3.4</v>
      </c>
      <c r="AE79" s="324">
        <f t="shared" si="5"/>
        <v>5200</v>
      </c>
      <c r="AF79" s="125">
        <f t="shared" si="7"/>
        <v>120.93023255813954</v>
      </c>
    </row>
    <row r="80" spans="1:32">
      <c r="A80" s="189">
        <v>3.6</v>
      </c>
      <c r="B80" s="158">
        <v>44</v>
      </c>
      <c r="C80" s="158">
        <v>37</v>
      </c>
      <c r="D80" s="154" t="s">
        <v>180</v>
      </c>
      <c r="E80" s="159">
        <v>1.85</v>
      </c>
      <c r="F80" s="159">
        <v>0.67</v>
      </c>
      <c r="G80" s="682" t="s">
        <v>178</v>
      </c>
      <c r="H80" s="682"/>
      <c r="I80" s="152" t="s">
        <v>178</v>
      </c>
      <c r="J80" s="153" t="s">
        <v>178</v>
      </c>
      <c r="K80" s="154" t="s">
        <v>178</v>
      </c>
      <c r="L80" s="154" t="s">
        <v>178</v>
      </c>
      <c r="M80" s="161">
        <v>54</v>
      </c>
      <c r="N80" s="162">
        <v>36</v>
      </c>
      <c r="O80" s="162">
        <v>38</v>
      </c>
      <c r="P80" s="162">
        <v>40</v>
      </c>
      <c r="Q80" s="162">
        <v>42</v>
      </c>
      <c r="R80" s="683">
        <v>35</v>
      </c>
      <c r="S80" s="683"/>
      <c r="T80" s="163">
        <v>31</v>
      </c>
      <c r="U80" s="164">
        <v>0.113</v>
      </c>
      <c r="V80" s="158">
        <v>73</v>
      </c>
      <c r="W80" s="161">
        <v>110</v>
      </c>
      <c r="X80" s="165">
        <v>132</v>
      </c>
      <c r="Y80" s="686"/>
      <c r="AA80" s="204">
        <f t="shared" si="6"/>
        <v>35.56</v>
      </c>
      <c r="AB80" s="655"/>
      <c r="AD80">
        <f t="shared" si="4"/>
        <v>-3.6</v>
      </c>
      <c r="AE80" s="324">
        <f t="shared" si="5"/>
        <v>4400</v>
      </c>
      <c r="AF80" s="125">
        <f t="shared" si="7"/>
        <v>118.91891891891892</v>
      </c>
    </row>
    <row r="81" spans="1:32">
      <c r="A81" s="192">
        <v>3.8</v>
      </c>
      <c r="B81" s="158">
        <v>29</v>
      </c>
      <c r="C81" s="158">
        <v>29</v>
      </c>
      <c r="D81" s="154" t="s">
        <v>179</v>
      </c>
      <c r="E81" s="159">
        <v>1.85</v>
      </c>
      <c r="F81" s="159">
        <v>0.7</v>
      </c>
      <c r="G81" s="684">
        <v>0.98</v>
      </c>
      <c r="H81" s="684"/>
      <c r="I81" s="160">
        <v>9.5</v>
      </c>
      <c r="J81" s="161">
        <v>169</v>
      </c>
      <c r="K81" s="158">
        <v>254</v>
      </c>
      <c r="L81" s="155">
        <v>87</v>
      </c>
      <c r="M81" s="161">
        <v>38</v>
      </c>
      <c r="N81" s="162">
        <v>33</v>
      </c>
      <c r="O81" s="162">
        <v>36</v>
      </c>
      <c r="P81" s="162">
        <v>38</v>
      </c>
      <c r="Q81" s="162">
        <v>41</v>
      </c>
      <c r="R81" s="683">
        <v>32</v>
      </c>
      <c r="S81" s="683"/>
      <c r="T81" s="163">
        <v>29</v>
      </c>
      <c r="U81" s="164">
        <v>7.4999999999999997E-2</v>
      </c>
      <c r="V81" s="158">
        <v>48</v>
      </c>
      <c r="W81" s="161">
        <v>73</v>
      </c>
      <c r="X81" s="165">
        <v>87</v>
      </c>
      <c r="Y81" s="686"/>
      <c r="AA81" s="204">
        <f t="shared" si="6"/>
        <v>33.32</v>
      </c>
      <c r="AB81" s="655"/>
      <c r="AD81">
        <f t="shared" si="4"/>
        <v>-3.8</v>
      </c>
      <c r="AE81" s="324">
        <f t="shared" si="5"/>
        <v>2900</v>
      </c>
      <c r="AF81" s="125">
        <f t="shared" si="7"/>
        <v>100</v>
      </c>
    </row>
    <row r="82" spans="1:32" ht="15.75">
      <c r="A82" s="189">
        <v>4</v>
      </c>
      <c r="B82" s="158">
        <v>29</v>
      </c>
      <c r="C82" s="158">
        <v>48</v>
      </c>
      <c r="D82" s="154" t="s">
        <v>180</v>
      </c>
      <c r="E82" s="159">
        <v>1.85</v>
      </c>
      <c r="F82" s="159">
        <v>0.74</v>
      </c>
      <c r="G82" s="682" t="s">
        <v>178</v>
      </c>
      <c r="H82" s="682"/>
      <c r="I82" s="152" t="s">
        <v>178</v>
      </c>
      <c r="J82" s="153" t="s">
        <v>178</v>
      </c>
      <c r="K82" s="154" t="s">
        <v>178</v>
      </c>
      <c r="L82" s="154" t="s">
        <v>178</v>
      </c>
      <c r="M82" s="161">
        <v>37</v>
      </c>
      <c r="N82" s="162">
        <v>33</v>
      </c>
      <c r="O82" s="162">
        <v>36</v>
      </c>
      <c r="P82" s="162">
        <v>38</v>
      </c>
      <c r="Q82" s="162">
        <v>41</v>
      </c>
      <c r="R82" s="683">
        <v>32</v>
      </c>
      <c r="S82" s="683"/>
      <c r="T82" s="163">
        <v>29</v>
      </c>
      <c r="U82" s="164">
        <v>7.1999999999999995E-2</v>
      </c>
      <c r="V82" s="158">
        <v>48</v>
      </c>
      <c r="W82" s="161">
        <v>73</v>
      </c>
      <c r="X82" s="167" t="s">
        <v>206</v>
      </c>
      <c r="Y82" s="686"/>
      <c r="AA82" s="204">
        <f t="shared" si="6"/>
        <v>33.18</v>
      </c>
      <c r="AB82" s="655"/>
      <c r="AD82">
        <f t="shared" si="4"/>
        <v>-4</v>
      </c>
      <c r="AE82" s="324">
        <f t="shared" si="5"/>
        <v>2900</v>
      </c>
      <c r="AF82" s="125">
        <f t="shared" si="7"/>
        <v>60.416666666666664</v>
      </c>
    </row>
    <row r="83" spans="1:32">
      <c r="A83" s="192">
        <v>4.2</v>
      </c>
      <c r="B83" s="158">
        <v>35</v>
      </c>
      <c r="C83" s="158">
        <v>44</v>
      </c>
      <c r="D83" s="154" t="s">
        <v>180</v>
      </c>
      <c r="E83" s="159">
        <v>1.85</v>
      </c>
      <c r="F83" s="159">
        <v>0.78</v>
      </c>
      <c r="G83" s="682" t="s">
        <v>178</v>
      </c>
      <c r="H83" s="682"/>
      <c r="I83" s="152" t="s">
        <v>178</v>
      </c>
      <c r="J83" s="153" t="s">
        <v>178</v>
      </c>
      <c r="K83" s="154" t="s">
        <v>178</v>
      </c>
      <c r="L83" s="154" t="s">
        <v>178</v>
      </c>
      <c r="M83" s="161">
        <v>42</v>
      </c>
      <c r="N83" s="162">
        <v>34</v>
      </c>
      <c r="O83" s="162">
        <v>36</v>
      </c>
      <c r="P83" s="162">
        <v>39</v>
      </c>
      <c r="Q83" s="162">
        <v>41</v>
      </c>
      <c r="R83" s="683">
        <v>33</v>
      </c>
      <c r="S83" s="683"/>
      <c r="T83" s="163">
        <v>29</v>
      </c>
      <c r="U83" s="164">
        <v>8.5000000000000006E-2</v>
      </c>
      <c r="V83" s="158">
        <v>58</v>
      </c>
      <c r="W83" s="161">
        <v>88</v>
      </c>
      <c r="X83" s="165">
        <v>105</v>
      </c>
      <c r="Y83" s="686"/>
      <c r="AA83" s="204">
        <f t="shared" si="6"/>
        <v>33.880000000000003</v>
      </c>
      <c r="AB83" s="655"/>
      <c r="AD83">
        <f t="shared" si="4"/>
        <v>-4.2</v>
      </c>
      <c r="AE83" s="324">
        <f t="shared" si="5"/>
        <v>3500</v>
      </c>
      <c r="AF83" s="125">
        <f t="shared" si="7"/>
        <v>79.545454545454547</v>
      </c>
    </row>
    <row r="84" spans="1:32">
      <c r="A84" s="189">
        <v>4.4000000000000004</v>
      </c>
      <c r="B84" s="158">
        <v>31</v>
      </c>
      <c r="C84" s="158">
        <v>58</v>
      </c>
      <c r="D84" s="154" t="s">
        <v>180</v>
      </c>
      <c r="E84" s="159">
        <v>1.85</v>
      </c>
      <c r="F84" s="159">
        <v>0.81</v>
      </c>
      <c r="G84" s="682" t="s">
        <v>178</v>
      </c>
      <c r="H84" s="682"/>
      <c r="I84" s="152" t="s">
        <v>178</v>
      </c>
      <c r="J84" s="153" t="s">
        <v>178</v>
      </c>
      <c r="K84" s="154" t="s">
        <v>178</v>
      </c>
      <c r="L84" s="154" t="s">
        <v>178</v>
      </c>
      <c r="M84" s="161">
        <v>37</v>
      </c>
      <c r="N84" s="162">
        <v>33</v>
      </c>
      <c r="O84" s="162">
        <v>36</v>
      </c>
      <c r="P84" s="162">
        <v>38</v>
      </c>
      <c r="Q84" s="162">
        <v>41</v>
      </c>
      <c r="R84" s="683">
        <v>32</v>
      </c>
      <c r="S84" s="683"/>
      <c r="T84" s="163">
        <v>29</v>
      </c>
      <c r="U84" s="164">
        <v>7.1999999999999995E-2</v>
      </c>
      <c r="V84" s="158">
        <v>52</v>
      </c>
      <c r="W84" s="161">
        <v>78</v>
      </c>
      <c r="X84" s="165">
        <v>93</v>
      </c>
      <c r="Y84" s="686"/>
      <c r="AA84" s="204">
        <f t="shared" si="6"/>
        <v>33.18</v>
      </c>
      <c r="AB84" s="655"/>
      <c r="AD84">
        <f t="shared" si="4"/>
        <v>-4.4000000000000004</v>
      </c>
      <c r="AE84" s="324">
        <f t="shared" si="5"/>
        <v>3100</v>
      </c>
      <c r="AF84" s="125">
        <f t="shared" si="7"/>
        <v>53.448275862068968</v>
      </c>
    </row>
    <row r="85" spans="1:32">
      <c r="A85" s="192">
        <v>4.5999999999999996</v>
      </c>
      <c r="B85" s="158">
        <v>28</v>
      </c>
      <c r="C85" s="158">
        <v>42</v>
      </c>
      <c r="D85" s="154" t="s">
        <v>180</v>
      </c>
      <c r="E85" s="159">
        <v>1.85</v>
      </c>
      <c r="F85" s="159">
        <v>0.85</v>
      </c>
      <c r="G85" s="682" t="s">
        <v>178</v>
      </c>
      <c r="H85" s="682"/>
      <c r="I85" s="152" t="s">
        <v>178</v>
      </c>
      <c r="J85" s="153" t="s">
        <v>178</v>
      </c>
      <c r="K85" s="154" t="s">
        <v>178</v>
      </c>
      <c r="L85" s="154" t="s">
        <v>178</v>
      </c>
      <c r="M85" s="161">
        <v>32</v>
      </c>
      <c r="N85" s="162">
        <v>33</v>
      </c>
      <c r="O85" s="162">
        <v>35</v>
      </c>
      <c r="P85" s="162">
        <v>38</v>
      </c>
      <c r="Q85" s="162">
        <v>41</v>
      </c>
      <c r="R85" s="683">
        <v>31</v>
      </c>
      <c r="S85" s="683"/>
      <c r="T85" s="163">
        <v>28</v>
      </c>
      <c r="U85" s="164">
        <v>6.2E-2</v>
      </c>
      <c r="V85" s="158">
        <v>47</v>
      </c>
      <c r="W85" s="161">
        <v>70</v>
      </c>
      <c r="X85" s="165">
        <v>84</v>
      </c>
      <c r="Y85" s="686"/>
      <c r="AA85" s="204">
        <f t="shared" si="6"/>
        <v>32.480000000000004</v>
      </c>
      <c r="AB85" s="655"/>
      <c r="AD85">
        <f t="shared" si="4"/>
        <v>-4.5999999999999996</v>
      </c>
      <c r="AE85" s="324">
        <f t="shared" si="5"/>
        <v>2800</v>
      </c>
      <c r="AF85" s="125">
        <f t="shared" si="7"/>
        <v>66.666666666666671</v>
      </c>
    </row>
    <row r="86" spans="1:32">
      <c r="A86" s="189">
        <v>4.8</v>
      </c>
      <c r="B86" s="158">
        <v>31</v>
      </c>
      <c r="C86" s="158">
        <v>77</v>
      </c>
      <c r="D86" s="154" t="s">
        <v>180</v>
      </c>
      <c r="E86" s="159">
        <v>1.85</v>
      </c>
      <c r="F86" s="159">
        <v>0.89</v>
      </c>
      <c r="G86" s="682" t="s">
        <v>178</v>
      </c>
      <c r="H86" s="682"/>
      <c r="I86" s="152" t="s">
        <v>178</v>
      </c>
      <c r="J86" s="153" t="s">
        <v>178</v>
      </c>
      <c r="K86" s="154" t="s">
        <v>178</v>
      </c>
      <c r="L86" s="154" t="s">
        <v>178</v>
      </c>
      <c r="M86" s="161">
        <v>35</v>
      </c>
      <c r="N86" s="162">
        <v>33</v>
      </c>
      <c r="O86" s="162">
        <v>35</v>
      </c>
      <c r="P86" s="162">
        <v>38</v>
      </c>
      <c r="Q86" s="162">
        <v>41</v>
      </c>
      <c r="R86" s="683">
        <v>31</v>
      </c>
      <c r="S86" s="683"/>
      <c r="T86" s="163">
        <v>29</v>
      </c>
      <c r="U86" s="164">
        <v>6.8000000000000005E-2</v>
      </c>
      <c r="V86" s="158">
        <v>52</v>
      </c>
      <c r="W86" s="161">
        <v>78</v>
      </c>
      <c r="X86" s="165">
        <v>93</v>
      </c>
      <c r="Y86" s="686"/>
      <c r="AA86" s="204">
        <f t="shared" si="6"/>
        <v>32.9</v>
      </c>
      <c r="AB86" s="655"/>
      <c r="AD86">
        <f t="shared" si="4"/>
        <v>-4.8</v>
      </c>
      <c r="AE86" s="324">
        <f t="shared" si="5"/>
        <v>3100</v>
      </c>
      <c r="AF86" s="125">
        <f t="shared" si="7"/>
        <v>40.259740259740262</v>
      </c>
    </row>
    <row r="87" spans="1:32" ht="30.75">
      <c r="A87" s="192">
        <v>5</v>
      </c>
      <c r="B87" s="158">
        <v>48</v>
      </c>
      <c r="C87" s="158">
        <v>55</v>
      </c>
      <c r="D87" s="154" t="s">
        <v>180</v>
      </c>
      <c r="E87" s="159">
        <v>1.85</v>
      </c>
      <c r="F87" s="159">
        <v>0.93</v>
      </c>
      <c r="G87" s="682" t="s">
        <v>178</v>
      </c>
      <c r="H87" s="682"/>
      <c r="I87" s="152" t="s">
        <v>178</v>
      </c>
      <c r="J87" s="153" t="s">
        <v>178</v>
      </c>
      <c r="K87" s="154" t="s">
        <v>178</v>
      </c>
      <c r="L87" s="154" t="s">
        <v>178</v>
      </c>
      <c r="M87" s="161">
        <v>49</v>
      </c>
      <c r="N87" s="162">
        <v>35</v>
      </c>
      <c r="O87" s="162">
        <v>37</v>
      </c>
      <c r="P87" s="162">
        <v>39</v>
      </c>
      <c r="Q87" s="162">
        <v>42</v>
      </c>
      <c r="R87" s="683">
        <v>33</v>
      </c>
      <c r="S87" s="683"/>
      <c r="T87" s="163">
        <v>31</v>
      </c>
      <c r="U87" s="164">
        <v>0.10100000000000001</v>
      </c>
      <c r="V87" s="158">
        <v>80</v>
      </c>
      <c r="W87" s="161">
        <v>120</v>
      </c>
      <c r="X87" s="166" t="s">
        <v>207</v>
      </c>
      <c r="Y87" s="686"/>
      <c r="AA87" s="204">
        <f t="shared" si="6"/>
        <v>34.86</v>
      </c>
      <c r="AB87" s="655"/>
      <c r="AD87">
        <f t="shared" si="4"/>
        <v>-5</v>
      </c>
      <c r="AE87" s="324">
        <f t="shared" si="5"/>
        <v>4800</v>
      </c>
      <c r="AF87" s="125">
        <f t="shared" si="7"/>
        <v>87.272727272727266</v>
      </c>
    </row>
    <row r="88" spans="1:32">
      <c r="A88" s="189">
        <v>5.2</v>
      </c>
      <c r="B88" s="158">
        <v>43</v>
      </c>
      <c r="C88" s="158">
        <v>64</v>
      </c>
      <c r="D88" s="154" t="s">
        <v>180</v>
      </c>
      <c r="E88" s="159">
        <v>1.85</v>
      </c>
      <c r="F88" s="159">
        <v>0.96</v>
      </c>
      <c r="G88" s="682" t="s">
        <v>178</v>
      </c>
      <c r="H88" s="682"/>
      <c r="I88" s="152" t="s">
        <v>178</v>
      </c>
      <c r="J88" s="153" t="s">
        <v>178</v>
      </c>
      <c r="K88" s="154" t="s">
        <v>178</v>
      </c>
      <c r="L88" s="154" t="s">
        <v>178</v>
      </c>
      <c r="M88" s="161">
        <v>44</v>
      </c>
      <c r="N88" s="162">
        <v>34</v>
      </c>
      <c r="O88" s="162">
        <v>37</v>
      </c>
      <c r="P88" s="162">
        <v>39</v>
      </c>
      <c r="Q88" s="162">
        <v>42</v>
      </c>
      <c r="R88" s="683">
        <v>32</v>
      </c>
      <c r="S88" s="683"/>
      <c r="T88" s="163">
        <v>30</v>
      </c>
      <c r="U88" s="164">
        <v>8.8999999999999996E-2</v>
      </c>
      <c r="V88" s="158">
        <v>72</v>
      </c>
      <c r="W88" s="161">
        <v>108</v>
      </c>
      <c r="X88" s="165">
        <v>129</v>
      </c>
      <c r="Y88" s="686"/>
      <c r="AA88" s="204">
        <f t="shared" si="6"/>
        <v>34.159999999999997</v>
      </c>
      <c r="AB88" s="655"/>
      <c r="AD88">
        <f t="shared" si="4"/>
        <v>-5.2</v>
      </c>
      <c r="AE88" s="324">
        <f t="shared" si="5"/>
        <v>4300</v>
      </c>
      <c r="AF88" s="125">
        <f t="shared" si="7"/>
        <v>67.1875</v>
      </c>
    </row>
    <row r="89" spans="1:32">
      <c r="A89" s="192">
        <v>5.4</v>
      </c>
      <c r="B89" s="158">
        <v>48</v>
      </c>
      <c r="C89" s="158">
        <v>60</v>
      </c>
      <c r="D89" s="154" t="s">
        <v>180</v>
      </c>
      <c r="E89" s="159">
        <v>1.85</v>
      </c>
      <c r="F89" s="159">
        <v>1</v>
      </c>
      <c r="G89" s="682" t="s">
        <v>178</v>
      </c>
      <c r="H89" s="682"/>
      <c r="I89" s="152" t="s">
        <v>178</v>
      </c>
      <c r="J89" s="153" t="s">
        <v>178</v>
      </c>
      <c r="K89" s="154" t="s">
        <v>178</v>
      </c>
      <c r="L89" s="154" t="s">
        <v>178</v>
      </c>
      <c r="M89" s="161">
        <v>47</v>
      </c>
      <c r="N89" s="162">
        <v>35</v>
      </c>
      <c r="O89" s="162">
        <v>37</v>
      </c>
      <c r="P89" s="162">
        <v>39</v>
      </c>
      <c r="Q89" s="162">
        <v>42</v>
      </c>
      <c r="R89" s="683">
        <v>33</v>
      </c>
      <c r="S89" s="683"/>
      <c r="T89" s="163">
        <v>31</v>
      </c>
      <c r="U89" s="164">
        <v>9.6000000000000002E-2</v>
      </c>
      <c r="V89" s="158">
        <v>80</v>
      </c>
      <c r="W89" s="161">
        <v>120</v>
      </c>
      <c r="X89" s="165">
        <v>144</v>
      </c>
      <c r="Y89" s="686"/>
      <c r="AA89" s="204">
        <f t="shared" si="6"/>
        <v>34.58</v>
      </c>
      <c r="AB89" s="655"/>
      <c r="AD89">
        <f t="shared" si="4"/>
        <v>-5.4</v>
      </c>
      <c r="AE89" s="324">
        <f t="shared" si="5"/>
        <v>4800</v>
      </c>
      <c r="AF89" s="125">
        <f t="shared" si="7"/>
        <v>80</v>
      </c>
    </row>
    <row r="90" spans="1:32">
      <c r="A90" s="189">
        <v>5.6</v>
      </c>
      <c r="B90" s="158">
        <v>52</v>
      </c>
      <c r="C90" s="158">
        <v>49</v>
      </c>
      <c r="D90" s="154" t="s">
        <v>180</v>
      </c>
      <c r="E90" s="159">
        <v>1.85</v>
      </c>
      <c r="F90" s="159">
        <v>1.04</v>
      </c>
      <c r="G90" s="682" t="s">
        <v>178</v>
      </c>
      <c r="H90" s="682"/>
      <c r="I90" s="152" t="s">
        <v>178</v>
      </c>
      <c r="J90" s="153" t="s">
        <v>178</v>
      </c>
      <c r="K90" s="154" t="s">
        <v>178</v>
      </c>
      <c r="L90" s="154" t="s">
        <v>178</v>
      </c>
      <c r="M90" s="161">
        <v>49</v>
      </c>
      <c r="N90" s="162">
        <v>35</v>
      </c>
      <c r="O90" s="162">
        <v>37</v>
      </c>
      <c r="P90" s="162">
        <v>39</v>
      </c>
      <c r="Q90" s="162">
        <v>42</v>
      </c>
      <c r="R90" s="683">
        <v>33</v>
      </c>
      <c r="S90" s="683"/>
      <c r="T90" s="163">
        <v>31</v>
      </c>
      <c r="U90" s="164">
        <v>0.10100000000000001</v>
      </c>
      <c r="V90" s="158">
        <v>87</v>
      </c>
      <c r="W90" s="161">
        <v>130</v>
      </c>
      <c r="X90" s="165">
        <v>156</v>
      </c>
      <c r="Y90" s="686"/>
      <c r="AA90" s="204">
        <f t="shared" si="6"/>
        <v>34.86</v>
      </c>
      <c r="AB90" s="655"/>
      <c r="AD90">
        <f t="shared" si="4"/>
        <v>-5.6</v>
      </c>
      <c r="AE90" s="324">
        <f t="shared" si="5"/>
        <v>5200</v>
      </c>
      <c r="AF90" s="125">
        <f t="shared" si="7"/>
        <v>106.12244897959184</v>
      </c>
    </row>
    <row r="91" spans="1:32">
      <c r="A91" s="192">
        <v>5.8</v>
      </c>
      <c r="B91" s="158">
        <v>38</v>
      </c>
      <c r="C91" s="158">
        <v>71</v>
      </c>
      <c r="D91" s="154" t="s">
        <v>180</v>
      </c>
      <c r="E91" s="159">
        <v>1.85</v>
      </c>
      <c r="F91" s="159">
        <v>1.07</v>
      </c>
      <c r="G91" s="682" t="s">
        <v>178</v>
      </c>
      <c r="H91" s="682"/>
      <c r="I91" s="152" t="s">
        <v>178</v>
      </c>
      <c r="J91" s="153" t="s">
        <v>178</v>
      </c>
      <c r="K91" s="154" t="s">
        <v>178</v>
      </c>
      <c r="L91" s="154" t="s">
        <v>178</v>
      </c>
      <c r="M91" s="161">
        <v>37</v>
      </c>
      <c r="N91" s="162">
        <v>33</v>
      </c>
      <c r="O91" s="162">
        <v>36</v>
      </c>
      <c r="P91" s="162">
        <v>38</v>
      </c>
      <c r="Q91" s="162">
        <v>41</v>
      </c>
      <c r="R91" s="683">
        <v>31</v>
      </c>
      <c r="S91" s="683"/>
      <c r="T91" s="163">
        <v>30</v>
      </c>
      <c r="U91" s="164">
        <v>7.2999999999999995E-2</v>
      </c>
      <c r="V91" s="158">
        <v>63</v>
      </c>
      <c r="W91" s="161">
        <v>95</v>
      </c>
      <c r="X91" s="165">
        <v>114</v>
      </c>
      <c r="Y91" s="686"/>
      <c r="AA91" s="204">
        <f t="shared" si="6"/>
        <v>33.18</v>
      </c>
      <c r="AB91" s="655"/>
      <c r="AD91">
        <f t="shared" si="4"/>
        <v>-5.8</v>
      </c>
      <c r="AE91" s="324">
        <f t="shared" si="5"/>
        <v>3800</v>
      </c>
      <c r="AF91" s="125">
        <f t="shared" si="7"/>
        <v>53.521126760563384</v>
      </c>
    </row>
    <row r="92" spans="1:32" ht="30.75">
      <c r="A92" s="189">
        <v>6</v>
      </c>
      <c r="B92" s="158">
        <v>49</v>
      </c>
      <c r="C92" s="158">
        <v>82</v>
      </c>
      <c r="D92" s="154" t="s">
        <v>180</v>
      </c>
      <c r="E92" s="159">
        <v>1.85</v>
      </c>
      <c r="F92" s="159">
        <v>1.1100000000000001</v>
      </c>
      <c r="G92" s="682" t="s">
        <v>178</v>
      </c>
      <c r="H92" s="682"/>
      <c r="I92" s="152" t="s">
        <v>178</v>
      </c>
      <c r="J92" s="153" t="s">
        <v>178</v>
      </c>
      <c r="K92" s="154" t="s">
        <v>178</v>
      </c>
      <c r="L92" s="154" t="s">
        <v>178</v>
      </c>
      <c r="M92" s="161">
        <v>45</v>
      </c>
      <c r="N92" s="162">
        <v>34</v>
      </c>
      <c r="O92" s="162">
        <v>37</v>
      </c>
      <c r="P92" s="162">
        <v>39</v>
      </c>
      <c r="Q92" s="162">
        <v>42</v>
      </c>
      <c r="R92" s="683">
        <v>32</v>
      </c>
      <c r="S92" s="683"/>
      <c r="T92" s="163">
        <v>31</v>
      </c>
      <c r="U92" s="164">
        <v>9.0999999999999998E-2</v>
      </c>
      <c r="V92" s="158">
        <v>82</v>
      </c>
      <c r="W92" s="161">
        <v>123</v>
      </c>
      <c r="X92" s="166" t="s">
        <v>208</v>
      </c>
      <c r="Y92" s="686"/>
      <c r="AA92" s="204">
        <f t="shared" si="6"/>
        <v>34.299999999999997</v>
      </c>
      <c r="AB92" s="655"/>
      <c r="AD92">
        <f t="shared" si="4"/>
        <v>-6</v>
      </c>
      <c r="AE92" s="324">
        <f t="shared" si="5"/>
        <v>4900</v>
      </c>
      <c r="AF92" s="125">
        <f t="shared" si="7"/>
        <v>59.756097560975611</v>
      </c>
    </row>
    <row r="93" spans="1:32">
      <c r="A93" s="192">
        <v>6.2</v>
      </c>
      <c r="B93" s="158">
        <v>55</v>
      </c>
      <c r="C93" s="158">
        <v>46</v>
      </c>
      <c r="D93" s="154" t="s">
        <v>180</v>
      </c>
      <c r="E93" s="159">
        <v>1.85</v>
      </c>
      <c r="F93" s="159">
        <v>1.1499999999999999</v>
      </c>
      <c r="G93" s="682" t="s">
        <v>178</v>
      </c>
      <c r="H93" s="682"/>
      <c r="I93" s="152" t="s">
        <v>178</v>
      </c>
      <c r="J93" s="153" t="s">
        <v>178</v>
      </c>
      <c r="K93" s="154" t="s">
        <v>178</v>
      </c>
      <c r="L93" s="154" t="s">
        <v>178</v>
      </c>
      <c r="M93" s="161">
        <v>48</v>
      </c>
      <c r="N93" s="162">
        <v>35</v>
      </c>
      <c r="O93" s="162">
        <v>37</v>
      </c>
      <c r="P93" s="162">
        <v>39</v>
      </c>
      <c r="Q93" s="162">
        <v>42</v>
      </c>
      <c r="R93" s="683">
        <v>33</v>
      </c>
      <c r="S93" s="683"/>
      <c r="T93" s="163">
        <v>31</v>
      </c>
      <c r="U93" s="164">
        <v>9.9000000000000005E-2</v>
      </c>
      <c r="V93" s="158">
        <v>92</v>
      </c>
      <c r="W93" s="161">
        <v>138</v>
      </c>
      <c r="X93" s="165">
        <v>165</v>
      </c>
      <c r="Y93" s="686"/>
      <c r="AA93" s="204">
        <f t="shared" si="6"/>
        <v>34.72</v>
      </c>
      <c r="AB93" s="655"/>
      <c r="AD93">
        <f t="shared" si="4"/>
        <v>-6.2</v>
      </c>
      <c r="AE93" s="324">
        <f t="shared" si="5"/>
        <v>5500</v>
      </c>
      <c r="AF93" s="125">
        <f t="shared" si="7"/>
        <v>119.56521739130434</v>
      </c>
    </row>
    <row r="94" spans="1:32">
      <c r="A94" s="189">
        <v>6.4</v>
      </c>
      <c r="B94" s="158">
        <v>50</v>
      </c>
      <c r="C94" s="158">
        <v>37</v>
      </c>
      <c r="D94" s="154" t="s">
        <v>180</v>
      </c>
      <c r="E94" s="159">
        <v>1.85</v>
      </c>
      <c r="F94" s="159">
        <v>1.18</v>
      </c>
      <c r="G94" s="682" t="s">
        <v>178</v>
      </c>
      <c r="H94" s="682"/>
      <c r="I94" s="152" t="s">
        <v>178</v>
      </c>
      <c r="J94" s="153" t="s">
        <v>178</v>
      </c>
      <c r="K94" s="154" t="s">
        <v>178</v>
      </c>
      <c r="L94" s="154" t="s">
        <v>178</v>
      </c>
      <c r="M94" s="161">
        <v>44</v>
      </c>
      <c r="N94" s="162">
        <v>34</v>
      </c>
      <c r="O94" s="162">
        <v>37</v>
      </c>
      <c r="P94" s="162">
        <v>39</v>
      </c>
      <c r="Q94" s="162">
        <v>42</v>
      </c>
      <c r="R94" s="683">
        <v>32</v>
      </c>
      <c r="S94" s="683"/>
      <c r="T94" s="163">
        <v>31</v>
      </c>
      <c r="U94" s="164">
        <v>8.8999999999999996E-2</v>
      </c>
      <c r="V94" s="158">
        <v>83</v>
      </c>
      <c r="W94" s="161">
        <v>125</v>
      </c>
      <c r="X94" s="165">
        <v>150</v>
      </c>
      <c r="Y94" s="686"/>
      <c r="AA94" s="204">
        <f t="shared" si="6"/>
        <v>34.159999999999997</v>
      </c>
      <c r="AB94" s="655"/>
      <c r="AD94">
        <f t="shared" si="4"/>
        <v>-6.4</v>
      </c>
      <c r="AE94" s="324">
        <f t="shared" si="5"/>
        <v>5000</v>
      </c>
      <c r="AF94" s="125">
        <f t="shared" si="7"/>
        <v>135.13513513513513</v>
      </c>
    </row>
    <row r="95" spans="1:32">
      <c r="A95" s="192">
        <v>6.6</v>
      </c>
      <c r="B95" s="158">
        <v>50</v>
      </c>
      <c r="C95" s="158">
        <v>62</v>
      </c>
      <c r="D95" s="154" t="s">
        <v>180</v>
      </c>
      <c r="E95" s="159">
        <v>1.85</v>
      </c>
      <c r="F95" s="159">
        <v>1.22</v>
      </c>
      <c r="G95" s="682" t="s">
        <v>178</v>
      </c>
      <c r="H95" s="682"/>
      <c r="I95" s="152" t="s">
        <v>178</v>
      </c>
      <c r="J95" s="153" t="s">
        <v>178</v>
      </c>
      <c r="K95" s="154" t="s">
        <v>178</v>
      </c>
      <c r="L95" s="154" t="s">
        <v>178</v>
      </c>
      <c r="M95" s="161">
        <v>43</v>
      </c>
      <c r="N95" s="162">
        <v>34</v>
      </c>
      <c r="O95" s="162">
        <v>36</v>
      </c>
      <c r="P95" s="162">
        <v>39</v>
      </c>
      <c r="Q95" s="162">
        <v>41</v>
      </c>
      <c r="R95" s="683">
        <v>32</v>
      </c>
      <c r="S95" s="683"/>
      <c r="T95" s="163">
        <v>31</v>
      </c>
      <c r="U95" s="164">
        <v>8.7999999999999995E-2</v>
      </c>
      <c r="V95" s="158">
        <v>83</v>
      </c>
      <c r="W95" s="161">
        <v>125</v>
      </c>
      <c r="X95" s="165">
        <v>150</v>
      </c>
      <c r="Y95" s="686"/>
      <c r="AA95" s="204">
        <f t="shared" si="6"/>
        <v>34.020000000000003</v>
      </c>
      <c r="AB95" s="655"/>
      <c r="AD95">
        <f t="shared" ref="AD95:AD112" si="8">-A95</f>
        <v>-6.6</v>
      </c>
      <c r="AE95" s="324">
        <f t="shared" ref="AE95:AE112" si="9">B95*100</f>
        <v>5000</v>
      </c>
      <c r="AF95" s="125">
        <f t="shared" si="7"/>
        <v>80.645161290322577</v>
      </c>
    </row>
    <row r="96" spans="1:32">
      <c r="A96" s="189">
        <v>6.8</v>
      </c>
      <c r="B96" s="158">
        <v>60</v>
      </c>
      <c r="C96" s="158">
        <v>60</v>
      </c>
      <c r="D96" s="154" t="s">
        <v>180</v>
      </c>
      <c r="E96" s="159">
        <v>1.85</v>
      </c>
      <c r="F96" s="159">
        <v>1.26</v>
      </c>
      <c r="G96" s="682" t="s">
        <v>178</v>
      </c>
      <c r="H96" s="682"/>
      <c r="I96" s="152" t="s">
        <v>178</v>
      </c>
      <c r="J96" s="153" t="s">
        <v>178</v>
      </c>
      <c r="K96" s="154" t="s">
        <v>178</v>
      </c>
      <c r="L96" s="154" t="s">
        <v>178</v>
      </c>
      <c r="M96" s="161">
        <v>49</v>
      </c>
      <c r="N96" s="162">
        <v>35</v>
      </c>
      <c r="O96" s="162">
        <v>37</v>
      </c>
      <c r="P96" s="162">
        <v>39</v>
      </c>
      <c r="Q96" s="162">
        <v>42</v>
      </c>
      <c r="R96" s="683">
        <v>33</v>
      </c>
      <c r="S96" s="683"/>
      <c r="T96" s="163">
        <v>32</v>
      </c>
      <c r="U96" s="164">
        <v>0.10100000000000001</v>
      </c>
      <c r="V96" s="158">
        <v>100</v>
      </c>
      <c r="W96" s="161">
        <v>150</v>
      </c>
      <c r="X96" s="165">
        <v>180</v>
      </c>
      <c r="Y96" s="686"/>
      <c r="AA96" s="204">
        <f t="shared" si="6"/>
        <v>34.86</v>
      </c>
      <c r="AB96" s="655"/>
      <c r="AD96">
        <f t="shared" si="8"/>
        <v>-6.8</v>
      </c>
      <c r="AE96" s="324">
        <f t="shared" si="9"/>
        <v>6000</v>
      </c>
      <c r="AF96" s="125">
        <f t="shared" si="7"/>
        <v>100</v>
      </c>
    </row>
    <row r="97" spans="1:32" ht="30.75">
      <c r="A97" s="192">
        <v>7</v>
      </c>
      <c r="B97" s="158">
        <v>41</v>
      </c>
      <c r="C97" s="158">
        <v>88</v>
      </c>
      <c r="D97" s="154" t="s">
        <v>180</v>
      </c>
      <c r="E97" s="159">
        <v>1.85</v>
      </c>
      <c r="F97" s="159">
        <v>1.3</v>
      </c>
      <c r="G97" s="682" t="s">
        <v>178</v>
      </c>
      <c r="H97" s="682"/>
      <c r="I97" s="152" t="s">
        <v>178</v>
      </c>
      <c r="J97" s="153" t="s">
        <v>178</v>
      </c>
      <c r="K97" s="154" t="s">
        <v>178</v>
      </c>
      <c r="L97" s="154" t="s">
        <v>178</v>
      </c>
      <c r="M97" s="161">
        <v>35</v>
      </c>
      <c r="N97" s="162">
        <v>33</v>
      </c>
      <c r="O97" s="162">
        <v>35</v>
      </c>
      <c r="P97" s="162">
        <v>38</v>
      </c>
      <c r="Q97" s="162">
        <v>41</v>
      </c>
      <c r="R97" s="683">
        <v>31</v>
      </c>
      <c r="S97" s="683"/>
      <c r="T97" s="163">
        <v>30</v>
      </c>
      <c r="U97" s="164">
        <v>6.9000000000000006E-2</v>
      </c>
      <c r="V97" s="158">
        <v>68</v>
      </c>
      <c r="W97" s="161">
        <v>103</v>
      </c>
      <c r="X97" s="166" t="s">
        <v>209</v>
      </c>
      <c r="Y97" s="686"/>
      <c r="AA97" s="204">
        <f t="shared" si="6"/>
        <v>32.9</v>
      </c>
      <c r="AB97" s="655"/>
      <c r="AD97">
        <f t="shared" si="8"/>
        <v>-7</v>
      </c>
      <c r="AE97" s="324">
        <f t="shared" si="9"/>
        <v>4100</v>
      </c>
      <c r="AF97" s="125">
        <f t="shared" si="7"/>
        <v>46.590909090909093</v>
      </c>
    </row>
    <row r="98" spans="1:32">
      <c r="A98" s="189">
        <v>7.2</v>
      </c>
      <c r="B98" s="158">
        <v>53</v>
      </c>
      <c r="C98" s="158">
        <v>50</v>
      </c>
      <c r="D98" s="154" t="s">
        <v>180</v>
      </c>
      <c r="E98" s="159">
        <v>1.85</v>
      </c>
      <c r="F98" s="159">
        <v>1.33</v>
      </c>
      <c r="G98" s="682" t="s">
        <v>178</v>
      </c>
      <c r="H98" s="682"/>
      <c r="I98" s="152" t="s">
        <v>178</v>
      </c>
      <c r="J98" s="153" t="s">
        <v>178</v>
      </c>
      <c r="K98" s="154" t="s">
        <v>178</v>
      </c>
      <c r="L98" s="154" t="s">
        <v>178</v>
      </c>
      <c r="M98" s="161">
        <v>43</v>
      </c>
      <c r="N98" s="162">
        <v>34</v>
      </c>
      <c r="O98" s="162">
        <v>36</v>
      </c>
      <c r="P98" s="162">
        <v>39</v>
      </c>
      <c r="Q98" s="162">
        <v>41</v>
      </c>
      <c r="R98" s="683">
        <v>32</v>
      </c>
      <c r="S98" s="683"/>
      <c r="T98" s="163">
        <v>31</v>
      </c>
      <c r="U98" s="164">
        <v>8.6999999999999994E-2</v>
      </c>
      <c r="V98" s="158">
        <v>88</v>
      </c>
      <c r="W98" s="161">
        <v>133</v>
      </c>
      <c r="X98" s="165">
        <v>159</v>
      </c>
      <c r="Y98" s="686"/>
      <c r="AA98" s="204">
        <f t="shared" si="6"/>
        <v>34.020000000000003</v>
      </c>
      <c r="AB98" s="655"/>
      <c r="AD98">
        <f t="shared" si="8"/>
        <v>-7.2</v>
      </c>
      <c r="AE98" s="324">
        <f t="shared" si="9"/>
        <v>5300</v>
      </c>
      <c r="AF98" s="125">
        <f t="shared" si="7"/>
        <v>106</v>
      </c>
    </row>
    <row r="99" spans="1:32">
      <c r="A99" s="192">
        <v>7.4</v>
      </c>
      <c r="B99" s="158">
        <v>32</v>
      </c>
      <c r="C99" s="158">
        <v>32</v>
      </c>
      <c r="D99" s="154" t="s">
        <v>180</v>
      </c>
      <c r="E99" s="159">
        <v>1.85</v>
      </c>
      <c r="F99" s="159">
        <v>1.37</v>
      </c>
      <c r="G99" s="682" t="s">
        <v>178</v>
      </c>
      <c r="H99" s="682"/>
      <c r="I99" s="152" t="s">
        <v>178</v>
      </c>
      <c r="J99" s="153" t="s">
        <v>178</v>
      </c>
      <c r="K99" s="154" t="s">
        <v>178</v>
      </c>
      <c r="L99" s="154" t="s">
        <v>178</v>
      </c>
      <c r="M99" s="161">
        <v>25</v>
      </c>
      <c r="N99" s="162">
        <v>32</v>
      </c>
      <c r="O99" s="162">
        <v>34</v>
      </c>
      <c r="P99" s="162">
        <v>37</v>
      </c>
      <c r="Q99" s="162">
        <v>40</v>
      </c>
      <c r="R99" s="683">
        <v>29</v>
      </c>
      <c r="S99" s="683"/>
      <c r="T99" s="163">
        <v>29</v>
      </c>
      <c r="U99" s="164">
        <v>4.8000000000000001E-2</v>
      </c>
      <c r="V99" s="158">
        <v>53</v>
      </c>
      <c r="W99" s="161">
        <v>80</v>
      </c>
      <c r="X99" s="165">
        <v>96</v>
      </c>
      <c r="Y99" s="686"/>
      <c r="AA99" s="204">
        <f t="shared" si="6"/>
        <v>31.5</v>
      </c>
      <c r="AB99" s="655"/>
      <c r="AD99">
        <f t="shared" si="8"/>
        <v>-7.4</v>
      </c>
      <c r="AE99" s="324">
        <f t="shared" si="9"/>
        <v>3200</v>
      </c>
      <c r="AF99" s="125">
        <f t="shared" si="7"/>
        <v>100</v>
      </c>
    </row>
    <row r="100" spans="1:32">
      <c r="A100" s="189">
        <v>7.6</v>
      </c>
      <c r="B100" s="158">
        <v>43</v>
      </c>
      <c r="C100" s="158">
        <v>40</v>
      </c>
      <c r="D100" s="154" t="s">
        <v>180</v>
      </c>
      <c r="E100" s="159">
        <v>1.85</v>
      </c>
      <c r="F100" s="159">
        <v>1.41</v>
      </c>
      <c r="G100" s="682" t="s">
        <v>178</v>
      </c>
      <c r="H100" s="682"/>
      <c r="I100" s="152" t="s">
        <v>178</v>
      </c>
      <c r="J100" s="153" t="s">
        <v>178</v>
      </c>
      <c r="K100" s="154" t="s">
        <v>178</v>
      </c>
      <c r="L100" s="154" t="s">
        <v>178</v>
      </c>
      <c r="M100" s="161">
        <v>35</v>
      </c>
      <c r="N100" s="162">
        <v>33</v>
      </c>
      <c r="O100" s="162">
        <v>35</v>
      </c>
      <c r="P100" s="162">
        <v>38</v>
      </c>
      <c r="Q100" s="162">
        <v>41</v>
      </c>
      <c r="R100" s="683">
        <v>30</v>
      </c>
      <c r="S100" s="683"/>
      <c r="T100" s="163">
        <v>30</v>
      </c>
      <c r="U100" s="164">
        <v>6.8000000000000005E-2</v>
      </c>
      <c r="V100" s="158">
        <v>72</v>
      </c>
      <c r="W100" s="161">
        <v>108</v>
      </c>
      <c r="X100" s="165">
        <v>129</v>
      </c>
      <c r="Y100" s="686"/>
      <c r="AA100" s="204">
        <f t="shared" si="6"/>
        <v>32.9</v>
      </c>
      <c r="AB100" s="655"/>
      <c r="AD100">
        <f t="shared" si="8"/>
        <v>-7.6</v>
      </c>
      <c r="AE100" s="324">
        <f t="shared" si="9"/>
        <v>4300</v>
      </c>
      <c r="AF100" s="125">
        <f t="shared" si="7"/>
        <v>107.5</v>
      </c>
    </row>
    <row r="101" spans="1:32">
      <c r="A101" s="192">
        <v>7.8</v>
      </c>
      <c r="B101" s="158">
        <v>39</v>
      </c>
      <c r="C101" s="158">
        <v>53</v>
      </c>
      <c r="D101" s="154" t="s">
        <v>180</v>
      </c>
      <c r="E101" s="159">
        <v>1.85</v>
      </c>
      <c r="F101" s="159">
        <v>1.44</v>
      </c>
      <c r="G101" s="682" t="s">
        <v>178</v>
      </c>
      <c r="H101" s="682"/>
      <c r="I101" s="152" t="s">
        <v>178</v>
      </c>
      <c r="J101" s="153" t="s">
        <v>178</v>
      </c>
      <c r="K101" s="154" t="s">
        <v>178</v>
      </c>
      <c r="L101" s="154" t="s">
        <v>178</v>
      </c>
      <c r="M101" s="161">
        <v>31</v>
      </c>
      <c r="N101" s="162">
        <v>32</v>
      </c>
      <c r="O101" s="162">
        <v>35</v>
      </c>
      <c r="P101" s="162">
        <v>38</v>
      </c>
      <c r="Q101" s="162">
        <v>40</v>
      </c>
      <c r="R101" s="683">
        <v>30</v>
      </c>
      <c r="S101" s="683"/>
      <c r="T101" s="163">
        <v>30</v>
      </c>
      <c r="U101" s="164">
        <v>5.8999999999999997E-2</v>
      </c>
      <c r="V101" s="158">
        <v>65</v>
      </c>
      <c r="W101" s="161">
        <v>98</v>
      </c>
      <c r="X101" s="165">
        <v>117</v>
      </c>
      <c r="Y101" s="686"/>
      <c r="AA101" s="204">
        <f t="shared" si="6"/>
        <v>32.340000000000003</v>
      </c>
      <c r="AB101" s="655"/>
      <c r="AD101">
        <f t="shared" si="8"/>
        <v>-7.8</v>
      </c>
      <c r="AE101" s="324">
        <f t="shared" si="9"/>
        <v>3900</v>
      </c>
      <c r="AF101" s="125">
        <f t="shared" si="7"/>
        <v>73.584905660377359</v>
      </c>
    </row>
    <row r="102" spans="1:32" ht="30.75">
      <c r="A102" s="189">
        <v>8</v>
      </c>
      <c r="B102" s="158">
        <v>47</v>
      </c>
      <c r="C102" s="158">
        <v>59</v>
      </c>
      <c r="D102" s="154" t="s">
        <v>180</v>
      </c>
      <c r="E102" s="159">
        <v>1.85</v>
      </c>
      <c r="F102" s="159">
        <v>1.48</v>
      </c>
      <c r="G102" s="682" t="s">
        <v>178</v>
      </c>
      <c r="H102" s="682"/>
      <c r="I102" s="152" t="s">
        <v>178</v>
      </c>
      <c r="J102" s="153" t="s">
        <v>178</v>
      </c>
      <c r="K102" s="154" t="s">
        <v>178</v>
      </c>
      <c r="L102" s="154" t="s">
        <v>178</v>
      </c>
      <c r="M102" s="161">
        <v>36</v>
      </c>
      <c r="N102" s="162">
        <v>33</v>
      </c>
      <c r="O102" s="162">
        <v>36</v>
      </c>
      <c r="P102" s="162">
        <v>38</v>
      </c>
      <c r="Q102" s="162">
        <v>41</v>
      </c>
      <c r="R102" s="683">
        <v>31</v>
      </c>
      <c r="S102" s="683"/>
      <c r="T102" s="163">
        <v>31</v>
      </c>
      <c r="U102" s="164">
        <v>7.1999999999999995E-2</v>
      </c>
      <c r="V102" s="158">
        <v>78</v>
      </c>
      <c r="W102" s="161">
        <v>118</v>
      </c>
      <c r="X102" s="166" t="s">
        <v>210</v>
      </c>
      <c r="Y102" s="686"/>
      <c r="AA102" s="204">
        <f t="shared" si="6"/>
        <v>33.04</v>
      </c>
      <c r="AB102" s="655"/>
      <c r="AD102">
        <f t="shared" si="8"/>
        <v>-8</v>
      </c>
      <c r="AE102" s="324">
        <f t="shared" si="9"/>
        <v>4700</v>
      </c>
      <c r="AF102" s="125">
        <f t="shared" si="7"/>
        <v>79.66101694915254</v>
      </c>
    </row>
    <row r="103" spans="1:32">
      <c r="A103" s="192">
        <v>8.1999999999999993</v>
      </c>
      <c r="B103" s="158">
        <v>48</v>
      </c>
      <c r="C103" s="158">
        <v>72</v>
      </c>
      <c r="D103" s="154" t="s">
        <v>180</v>
      </c>
      <c r="E103" s="159">
        <v>1.85</v>
      </c>
      <c r="F103" s="159">
        <v>1.52</v>
      </c>
      <c r="G103" s="682" t="s">
        <v>178</v>
      </c>
      <c r="H103" s="682"/>
      <c r="I103" s="152" t="s">
        <v>178</v>
      </c>
      <c r="J103" s="153" t="s">
        <v>178</v>
      </c>
      <c r="K103" s="154" t="s">
        <v>178</v>
      </c>
      <c r="L103" s="154" t="s">
        <v>178</v>
      </c>
      <c r="M103" s="161">
        <v>37</v>
      </c>
      <c r="N103" s="162">
        <v>33</v>
      </c>
      <c r="O103" s="162">
        <v>36</v>
      </c>
      <c r="P103" s="162">
        <v>38</v>
      </c>
      <c r="Q103" s="162">
        <v>41</v>
      </c>
      <c r="R103" s="683">
        <v>31</v>
      </c>
      <c r="S103" s="683"/>
      <c r="T103" s="163">
        <v>31</v>
      </c>
      <c r="U103" s="164">
        <v>7.1999999999999995E-2</v>
      </c>
      <c r="V103" s="158">
        <v>80</v>
      </c>
      <c r="W103" s="161">
        <v>120</v>
      </c>
      <c r="X103" s="165">
        <v>144</v>
      </c>
      <c r="Y103" s="686"/>
      <c r="AA103" s="204">
        <f t="shared" si="6"/>
        <v>33.18</v>
      </c>
      <c r="AB103" s="655"/>
      <c r="AD103">
        <f t="shared" si="8"/>
        <v>-8.1999999999999993</v>
      </c>
      <c r="AE103" s="324">
        <f t="shared" si="9"/>
        <v>4800</v>
      </c>
      <c r="AF103" s="125">
        <f t="shared" si="7"/>
        <v>66.666666666666671</v>
      </c>
    </row>
    <row r="104" spans="1:32">
      <c r="A104" s="189">
        <v>8.4</v>
      </c>
      <c r="B104" s="158">
        <v>40</v>
      </c>
      <c r="C104" s="158">
        <v>35</v>
      </c>
      <c r="D104" s="154" t="s">
        <v>180</v>
      </c>
      <c r="E104" s="159">
        <v>1.85</v>
      </c>
      <c r="F104" s="159">
        <v>1.55</v>
      </c>
      <c r="G104" s="682" t="s">
        <v>178</v>
      </c>
      <c r="H104" s="682"/>
      <c r="I104" s="152" t="s">
        <v>178</v>
      </c>
      <c r="J104" s="153" t="s">
        <v>178</v>
      </c>
      <c r="K104" s="154" t="s">
        <v>178</v>
      </c>
      <c r="L104" s="154" t="s">
        <v>178</v>
      </c>
      <c r="M104" s="161">
        <v>30</v>
      </c>
      <c r="N104" s="162">
        <v>32</v>
      </c>
      <c r="O104" s="162">
        <v>35</v>
      </c>
      <c r="P104" s="162">
        <v>38</v>
      </c>
      <c r="Q104" s="162">
        <v>40</v>
      </c>
      <c r="R104" s="683">
        <v>29</v>
      </c>
      <c r="S104" s="683"/>
      <c r="T104" s="163">
        <v>30</v>
      </c>
      <c r="U104" s="164">
        <v>5.7000000000000002E-2</v>
      </c>
      <c r="V104" s="158">
        <v>67</v>
      </c>
      <c r="W104" s="161">
        <v>100</v>
      </c>
      <c r="X104" s="165">
        <v>120</v>
      </c>
      <c r="Y104" s="686"/>
      <c r="AA104" s="204">
        <f t="shared" si="6"/>
        <v>32.200000000000003</v>
      </c>
      <c r="AB104" s="655"/>
      <c r="AD104">
        <f t="shared" si="8"/>
        <v>-8.4</v>
      </c>
      <c r="AE104" s="324">
        <f t="shared" si="9"/>
        <v>4000</v>
      </c>
      <c r="AF104" s="125">
        <f t="shared" si="7"/>
        <v>114.28571428571429</v>
      </c>
    </row>
    <row r="105" spans="1:32">
      <c r="A105" s="192">
        <v>8.6</v>
      </c>
      <c r="B105" s="158">
        <v>33</v>
      </c>
      <c r="C105" s="158">
        <v>41</v>
      </c>
      <c r="D105" s="154" t="s">
        <v>180</v>
      </c>
      <c r="E105" s="159">
        <v>1.85</v>
      </c>
      <c r="F105" s="159">
        <v>1.59</v>
      </c>
      <c r="G105" s="682" t="s">
        <v>178</v>
      </c>
      <c r="H105" s="682"/>
      <c r="I105" s="152" t="s">
        <v>178</v>
      </c>
      <c r="J105" s="153" t="s">
        <v>178</v>
      </c>
      <c r="K105" s="154" t="s">
        <v>178</v>
      </c>
      <c r="L105" s="154" t="s">
        <v>178</v>
      </c>
      <c r="M105" s="161">
        <v>23</v>
      </c>
      <c r="N105" s="162">
        <v>31</v>
      </c>
      <c r="O105" s="162">
        <v>34</v>
      </c>
      <c r="P105" s="162">
        <v>37</v>
      </c>
      <c r="Q105" s="162">
        <v>40</v>
      </c>
      <c r="R105" s="683">
        <v>28</v>
      </c>
      <c r="S105" s="683"/>
      <c r="T105" s="163">
        <v>29</v>
      </c>
      <c r="U105" s="164">
        <v>4.2999999999999997E-2</v>
      </c>
      <c r="V105" s="158">
        <v>55</v>
      </c>
      <c r="W105" s="161">
        <v>83</v>
      </c>
      <c r="X105" s="165">
        <v>99</v>
      </c>
      <c r="Y105" s="686"/>
      <c r="AA105" s="204">
        <f t="shared" si="6"/>
        <v>31.22</v>
      </c>
      <c r="AB105" s="655"/>
      <c r="AD105">
        <f t="shared" si="8"/>
        <v>-8.6</v>
      </c>
      <c r="AE105" s="324">
        <f t="shared" si="9"/>
        <v>3300</v>
      </c>
      <c r="AF105" s="125">
        <f t="shared" si="7"/>
        <v>80.487804878048777</v>
      </c>
    </row>
    <row r="106" spans="1:32">
      <c r="A106" s="189">
        <v>8.8000000000000007</v>
      </c>
      <c r="B106" s="158">
        <v>46</v>
      </c>
      <c r="C106" s="158">
        <v>69</v>
      </c>
      <c r="D106" s="154" t="s">
        <v>180</v>
      </c>
      <c r="E106" s="159">
        <v>1.85</v>
      </c>
      <c r="F106" s="159">
        <v>1.63</v>
      </c>
      <c r="G106" s="682" t="s">
        <v>178</v>
      </c>
      <c r="H106" s="682"/>
      <c r="I106" s="152" t="s">
        <v>178</v>
      </c>
      <c r="J106" s="153" t="s">
        <v>178</v>
      </c>
      <c r="K106" s="154" t="s">
        <v>178</v>
      </c>
      <c r="L106" s="154" t="s">
        <v>178</v>
      </c>
      <c r="M106" s="161">
        <v>33</v>
      </c>
      <c r="N106" s="162">
        <v>33</v>
      </c>
      <c r="O106" s="162">
        <v>35</v>
      </c>
      <c r="P106" s="162">
        <v>38</v>
      </c>
      <c r="Q106" s="162">
        <v>41</v>
      </c>
      <c r="R106" s="683">
        <v>30</v>
      </c>
      <c r="S106" s="683"/>
      <c r="T106" s="163">
        <v>31</v>
      </c>
      <c r="U106" s="164">
        <v>6.5000000000000002E-2</v>
      </c>
      <c r="V106" s="158">
        <v>77</v>
      </c>
      <c r="W106" s="161">
        <v>115</v>
      </c>
      <c r="X106" s="165">
        <v>138</v>
      </c>
      <c r="Y106" s="686"/>
      <c r="AA106" s="204">
        <f t="shared" si="6"/>
        <v>32.619999999999997</v>
      </c>
      <c r="AB106" s="655"/>
      <c r="AD106">
        <f t="shared" si="8"/>
        <v>-8.8000000000000007</v>
      </c>
      <c r="AE106" s="324">
        <f t="shared" si="9"/>
        <v>4600</v>
      </c>
      <c r="AF106" s="125">
        <f t="shared" si="7"/>
        <v>66.666666666666671</v>
      </c>
    </row>
    <row r="107" spans="1:32" ht="17.25" customHeight="1">
      <c r="A107" s="192">
        <v>9</v>
      </c>
      <c r="B107" s="158">
        <v>56</v>
      </c>
      <c r="C107" s="158">
        <v>60</v>
      </c>
      <c r="D107" s="154" t="s">
        <v>180</v>
      </c>
      <c r="E107" s="159">
        <v>1.85</v>
      </c>
      <c r="F107" s="159">
        <v>1.66</v>
      </c>
      <c r="G107" s="682" t="s">
        <v>178</v>
      </c>
      <c r="H107" s="682"/>
      <c r="I107" s="152" t="s">
        <v>178</v>
      </c>
      <c r="J107" s="153" t="s">
        <v>178</v>
      </c>
      <c r="K107" s="154" t="s">
        <v>178</v>
      </c>
      <c r="L107" s="154" t="s">
        <v>178</v>
      </c>
      <c r="M107" s="161">
        <v>40</v>
      </c>
      <c r="N107" s="162">
        <v>34</v>
      </c>
      <c r="O107" s="162">
        <v>36</v>
      </c>
      <c r="P107" s="162">
        <v>39</v>
      </c>
      <c r="Q107" s="162">
        <v>41</v>
      </c>
      <c r="R107" s="683">
        <v>31</v>
      </c>
      <c r="S107" s="683"/>
      <c r="T107" s="163">
        <v>31</v>
      </c>
      <c r="U107" s="164">
        <v>7.9000000000000001E-2</v>
      </c>
      <c r="V107" s="158">
        <v>93</v>
      </c>
      <c r="W107" s="161">
        <v>140</v>
      </c>
      <c r="X107" s="166" t="s">
        <v>211</v>
      </c>
      <c r="Y107" s="686"/>
      <c r="AA107" s="204">
        <f t="shared" si="6"/>
        <v>33.6</v>
      </c>
      <c r="AB107" s="655"/>
      <c r="AD107">
        <f t="shared" si="8"/>
        <v>-9</v>
      </c>
      <c r="AE107" s="324">
        <f t="shared" si="9"/>
        <v>5600</v>
      </c>
      <c r="AF107" s="125">
        <f t="shared" si="7"/>
        <v>93.333333333333329</v>
      </c>
    </row>
    <row r="108" spans="1:32">
      <c r="A108" s="189">
        <v>9.1999999999999993</v>
      </c>
      <c r="B108" s="158">
        <v>56</v>
      </c>
      <c r="C108" s="158">
        <v>52</v>
      </c>
      <c r="D108" s="154" t="s">
        <v>180</v>
      </c>
      <c r="E108" s="159">
        <v>1.85</v>
      </c>
      <c r="F108" s="159">
        <v>1.7</v>
      </c>
      <c r="G108" s="682" t="s">
        <v>178</v>
      </c>
      <c r="H108" s="682"/>
      <c r="I108" s="152" t="s">
        <v>178</v>
      </c>
      <c r="J108" s="153" t="s">
        <v>178</v>
      </c>
      <c r="K108" s="154" t="s">
        <v>178</v>
      </c>
      <c r="L108" s="154" t="s">
        <v>178</v>
      </c>
      <c r="M108" s="161">
        <v>39</v>
      </c>
      <c r="N108" s="162">
        <v>33</v>
      </c>
      <c r="O108" s="162">
        <v>36</v>
      </c>
      <c r="P108" s="162">
        <v>38</v>
      </c>
      <c r="Q108" s="162">
        <v>41</v>
      </c>
      <c r="R108" s="683">
        <v>31</v>
      </c>
      <c r="S108" s="683"/>
      <c r="T108" s="163">
        <v>31</v>
      </c>
      <c r="U108" s="164">
        <v>7.8E-2</v>
      </c>
      <c r="V108" s="158">
        <v>93</v>
      </c>
      <c r="W108" s="161">
        <v>140</v>
      </c>
      <c r="X108" s="165">
        <v>168</v>
      </c>
      <c r="Y108" s="686"/>
      <c r="AA108" s="204">
        <f t="shared" si="6"/>
        <v>33.46</v>
      </c>
      <c r="AB108" s="655"/>
      <c r="AD108">
        <f t="shared" si="8"/>
        <v>-9.1999999999999993</v>
      </c>
      <c r="AE108" s="324">
        <f t="shared" si="9"/>
        <v>5600</v>
      </c>
      <c r="AF108" s="125">
        <f t="shared" si="7"/>
        <v>107.69230769230769</v>
      </c>
    </row>
    <row r="109" spans="1:32">
      <c r="A109" s="192">
        <v>9.4</v>
      </c>
      <c r="B109" s="158">
        <v>58</v>
      </c>
      <c r="C109" s="158">
        <v>43</v>
      </c>
      <c r="D109" s="154" t="s">
        <v>180</v>
      </c>
      <c r="E109" s="159">
        <v>1.85</v>
      </c>
      <c r="F109" s="159">
        <v>1.74</v>
      </c>
      <c r="G109" s="682" t="s">
        <v>178</v>
      </c>
      <c r="H109" s="682"/>
      <c r="I109" s="152" t="s">
        <v>178</v>
      </c>
      <c r="J109" s="153" t="s">
        <v>178</v>
      </c>
      <c r="K109" s="154" t="s">
        <v>178</v>
      </c>
      <c r="L109" s="154" t="s">
        <v>178</v>
      </c>
      <c r="M109" s="161">
        <v>40</v>
      </c>
      <c r="N109" s="162">
        <v>34</v>
      </c>
      <c r="O109" s="162">
        <v>36</v>
      </c>
      <c r="P109" s="162">
        <v>39</v>
      </c>
      <c r="Q109" s="162">
        <v>41</v>
      </c>
      <c r="R109" s="683">
        <v>31</v>
      </c>
      <c r="S109" s="683"/>
      <c r="T109" s="163">
        <v>31</v>
      </c>
      <c r="U109" s="164">
        <v>7.9000000000000001E-2</v>
      </c>
      <c r="V109" s="158">
        <v>97</v>
      </c>
      <c r="W109" s="161">
        <v>145</v>
      </c>
      <c r="X109" s="165">
        <v>174</v>
      </c>
      <c r="Y109" s="686"/>
      <c r="AA109" s="204">
        <f t="shared" si="6"/>
        <v>33.6</v>
      </c>
      <c r="AB109" s="655"/>
      <c r="AD109">
        <f t="shared" si="8"/>
        <v>-9.4</v>
      </c>
      <c r="AE109" s="324">
        <f t="shared" si="9"/>
        <v>5800</v>
      </c>
      <c r="AF109" s="125">
        <f t="shared" si="7"/>
        <v>134.88372093023256</v>
      </c>
    </row>
    <row r="110" spans="1:32">
      <c r="A110" s="189">
        <v>9.6</v>
      </c>
      <c r="B110" s="158">
        <v>64</v>
      </c>
      <c r="C110" s="158">
        <v>44</v>
      </c>
      <c r="D110" s="154" t="s">
        <v>180</v>
      </c>
      <c r="E110" s="159">
        <v>1.85</v>
      </c>
      <c r="F110" s="159">
        <v>1.78</v>
      </c>
      <c r="G110" s="682" t="s">
        <v>178</v>
      </c>
      <c r="H110" s="682"/>
      <c r="I110" s="152" t="s">
        <v>178</v>
      </c>
      <c r="J110" s="153" t="s">
        <v>178</v>
      </c>
      <c r="K110" s="154" t="s">
        <v>178</v>
      </c>
      <c r="L110" s="154" t="s">
        <v>178</v>
      </c>
      <c r="M110" s="161">
        <v>43</v>
      </c>
      <c r="N110" s="162">
        <v>34</v>
      </c>
      <c r="O110" s="162">
        <v>36</v>
      </c>
      <c r="P110" s="162">
        <v>39</v>
      </c>
      <c r="Q110" s="162">
        <v>41</v>
      </c>
      <c r="R110" s="683">
        <v>31</v>
      </c>
      <c r="S110" s="683"/>
      <c r="T110" s="163">
        <v>32</v>
      </c>
      <c r="U110" s="164">
        <v>8.5999999999999993E-2</v>
      </c>
      <c r="V110" s="158">
        <v>107</v>
      </c>
      <c r="W110" s="161">
        <v>160</v>
      </c>
      <c r="X110" s="165">
        <v>192</v>
      </c>
      <c r="Y110" s="686"/>
      <c r="AA110" s="204">
        <f t="shared" si="6"/>
        <v>34.020000000000003</v>
      </c>
      <c r="AB110" s="655"/>
      <c r="AD110">
        <f t="shared" si="8"/>
        <v>-9.6</v>
      </c>
      <c r="AE110" s="324">
        <f t="shared" si="9"/>
        <v>6400</v>
      </c>
      <c r="AF110" s="125">
        <f t="shared" si="7"/>
        <v>145.45454545454547</v>
      </c>
    </row>
    <row r="111" spans="1:32">
      <c r="A111" s="192">
        <v>9.8000000000000007</v>
      </c>
      <c r="B111" s="158">
        <v>68</v>
      </c>
      <c r="C111" s="158">
        <v>42</v>
      </c>
      <c r="D111" s="154" t="s">
        <v>180</v>
      </c>
      <c r="E111" s="159">
        <v>1.85</v>
      </c>
      <c r="F111" s="159">
        <v>1.81</v>
      </c>
      <c r="G111" s="682" t="s">
        <v>178</v>
      </c>
      <c r="H111" s="682"/>
      <c r="I111" s="152" t="s">
        <v>178</v>
      </c>
      <c r="J111" s="153" t="s">
        <v>178</v>
      </c>
      <c r="K111" s="154" t="s">
        <v>178</v>
      </c>
      <c r="L111" s="154" t="s">
        <v>178</v>
      </c>
      <c r="M111" s="161">
        <v>44</v>
      </c>
      <c r="N111" s="162">
        <v>34</v>
      </c>
      <c r="O111" s="162">
        <v>37</v>
      </c>
      <c r="P111" s="162">
        <v>39</v>
      </c>
      <c r="Q111" s="162">
        <v>42</v>
      </c>
      <c r="R111" s="683">
        <v>32</v>
      </c>
      <c r="S111" s="683"/>
      <c r="T111" s="163">
        <v>32</v>
      </c>
      <c r="U111" s="164">
        <v>0.09</v>
      </c>
      <c r="V111" s="158">
        <v>113</v>
      </c>
      <c r="W111" s="161">
        <v>170</v>
      </c>
      <c r="X111" s="165">
        <v>204</v>
      </c>
      <c r="Y111" s="686"/>
      <c r="AA111" s="204">
        <f t="shared" si="6"/>
        <v>34.159999999999997</v>
      </c>
      <c r="AB111" s="655"/>
      <c r="AD111">
        <f t="shared" si="8"/>
        <v>-9.8000000000000007</v>
      </c>
      <c r="AE111" s="324">
        <f t="shared" si="9"/>
        <v>6800</v>
      </c>
      <c r="AF111" s="125">
        <f t="shared" si="7"/>
        <v>161.9047619047619</v>
      </c>
    </row>
    <row r="112" spans="1:32" ht="18" customHeight="1" thickBot="1">
      <c r="A112" s="189">
        <v>10</v>
      </c>
      <c r="B112" s="168">
        <v>60</v>
      </c>
      <c r="C112" s="169" t="s">
        <v>178</v>
      </c>
      <c r="D112" s="169" t="s">
        <v>180</v>
      </c>
      <c r="E112" s="170">
        <v>1.85</v>
      </c>
      <c r="F112" s="170">
        <v>1.85</v>
      </c>
      <c r="G112" s="688" t="s">
        <v>178</v>
      </c>
      <c r="H112" s="688"/>
      <c r="I112" s="171" t="s">
        <v>178</v>
      </c>
      <c r="J112" s="172" t="s">
        <v>178</v>
      </c>
      <c r="K112" s="169" t="s">
        <v>178</v>
      </c>
      <c r="L112" s="169" t="s">
        <v>178</v>
      </c>
      <c r="M112" s="173">
        <v>39</v>
      </c>
      <c r="N112" s="174">
        <v>34</v>
      </c>
      <c r="O112" s="174">
        <v>36</v>
      </c>
      <c r="P112" s="174">
        <v>38</v>
      </c>
      <c r="Q112" s="174">
        <v>41</v>
      </c>
      <c r="R112" s="689">
        <v>31</v>
      </c>
      <c r="S112" s="689"/>
      <c r="T112" s="175">
        <v>32</v>
      </c>
      <c r="U112" s="176">
        <v>7.8E-2</v>
      </c>
      <c r="V112" s="168">
        <v>100</v>
      </c>
      <c r="W112" s="173">
        <v>150</v>
      </c>
      <c r="X112" s="177" t="s">
        <v>212</v>
      </c>
      <c r="Y112" s="687"/>
      <c r="AA112" s="204">
        <f t="shared" si="6"/>
        <v>33.46</v>
      </c>
      <c r="AB112" s="655"/>
      <c r="AD112">
        <f t="shared" si="8"/>
        <v>-10</v>
      </c>
      <c r="AE112" s="324">
        <f t="shared" si="9"/>
        <v>6000</v>
      </c>
    </row>
  </sheetData>
  <mergeCells count="232">
    <mergeCell ref="Y6:Y19"/>
    <mergeCell ref="Y20:Y53"/>
    <mergeCell ref="Y63:Y76"/>
    <mergeCell ref="Y77:Y112"/>
    <mergeCell ref="G112:H112"/>
    <mergeCell ref="R112:S112"/>
    <mergeCell ref="A58:X59"/>
    <mergeCell ref="A60:L60"/>
    <mergeCell ref="M60:X60"/>
    <mergeCell ref="G109:H109"/>
    <mergeCell ref="R109:S109"/>
    <mergeCell ref="G110:H110"/>
    <mergeCell ref="R110:S110"/>
    <mergeCell ref="G111:H111"/>
    <mergeCell ref="R111:S111"/>
    <mergeCell ref="G106:H106"/>
    <mergeCell ref="R106:S106"/>
    <mergeCell ref="G107:H107"/>
    <mergeCell ref="R107:S107"/>
    <mergeCell ref="G108:H108"/>
    <mergeCell ref="R108:S108"/>
    <mergeCell ref="G103:H103"/>
    <mergeCell ref="R103:S103"/>
    <mergeCell ref="G104:H104"/>
    <mergeCell ref="R104:S104"/>
    <mergeCell ref="G105:H105"/>
    <mergeCell ref="R105:S105"/>
    <mergeCell ref="G100:H100"/>
    <mergeCell ref="R100:S100"/>
    <mergeCell ref="G101:H101"/>
    <mergeCell ref="R101:S101"/>
    <mergeCell ref="G102:H102"/>
    <mergeCell ref="R102:S102"/>
    <mergeCell ref="G97:H97"/>
    <mergeCell ref="R97:S97"/>
    <mergeCell ref="G98:H98"/>
    <mergeCell ref="R98:S98"/>
    <mergeCell ref="G99:H99"/>
    <mergeCell ref="R99:S99"/>
    <mergeCell ref="G94:H94"/>
    <mergeCell ref="R94:S94"/>
    <mergeCell ref="G95:H95"/>
    <mergeCell ref="R95:S95"/>
    <mergeCell ref="G96:H96"/>
    <mergeCell ref="R96:S96"/>
    <mergeCell ref="G91:H91"/>
    <mergeCell ref="R91:S91"/>
    <mergeCell ref="G92:H92"/>
    <mergeCell ref="R92:S92"/>
    <mergeCell ref="G93:H93"/>
    <mergeCell ref="R93:S93"/>
    <mergeCell ref="G88:H88"/>
    <mergeCell ref="R88:S88"/>
    <mergeCell ref="G89:H89"/>
    <mergeCell ref="R89:S89"/>
    <mergeCell ref="G90:H90"/>
    <mergeCell ref="R90:S90"/>
    <mergeCell ref="G85:H85"/>
    <mergeCell ref="R85:S85"/>
    <mergeCell ref="G86:H86"/>
    <mergeCell ref="R86:S86"/>
    <mergeCell ref="G87:H87"/>
    <mergeCell ref="R87:S87"/>
    <mergeCell ref="G82:H82"/>
    <mergeCell ref="R82:S82"/>
    <mergeCell ref="G83:H83"/>
    <mergeCell ref="R83:S83"/>
    <mergeCell ref="G84:H84"/>
    <mergeCell ref="R84:S84"/>
    <mergeCell ref="G79:H79"/>
    <mergeCell ref="R79:S79"/>
    <mergeCell ref="G80:H80"/>
    <mergeCell ref="R80:S80"/>
    <mergeCell ref="G81:H81"/>
    <mergeCell ref="R81:S81"/>
    <mergeCell ref="G76:H76"/>
    <mergeCell ref="R76:S76"/>
    <mergeCell ref="G77:H77"/>
    <mergeCell ref="R77:S77"/>
    <mergeCell ref="G78:H78"/>
    <mergeCell ref="R78:S78"/>
    <mergeCell ref="G73:H73"/>
    <mergeCell ref="R73:S73"/>
    <mergeCell ref="G74:H74"/>
    <mergeCell ref="R74:S74"/>
    <mergeCell ref="G75:H75"/>
    <mergeCell ref="R75:S75"/>
    <mergeCell ref="G70:H70"/>
    <mergeCell ref="R70:S70"/>
    <mergeCell ref="G71:H71"/>
    <mergeCell ref="R71:S71"/>
    <mergeCell ref="G72:H72"/>
    <mergeCell ref="R72:S72"/>
    <mergeCell ref="G67:H67"/>
    <mergeCell ref="R67:S67"/>
    <mergeCell ref="G68:H68"/>
    <mergeCell ref="R68:S68"/>
    <mergeCell ref="G69:H69"/>
    <mergeCell ref="R69:S69"/>
    <mergeCell ref="G64:H64"/>
    <mergeCell ref="R64:S64"/>
    <mergeCell ref="G65:H65"/>
    <mergeCell ref="R65:S65"/>
    <mergeCell ref="G66:H66"/>
    <mergeCell ref="R66:S66"/>
    <mergeCell ref="A62:C62"/>
    <mergeCell ref="D62:I62"/>
    <mergeCell ref="J62:K62"/>
    <mergeCell ref="R62:S62"/>
    <mergeCell ref="V62:X62"/>
    <mergeCell ref="D63:I63"/>
    <mergeCell ref="J63:K63"/>
    <mergeCell ref="R63:S63"/>
    <mergeCell ref="V63:X63"/>
    <mergeCell ref="G53:H53"/>
    <mergeCell ref="R53:S53"/>
    <mergeCell ref="A1:X2"/>
    <mergeCell ref="A61:C61"/>
    <mergeCell ref="D61:I61"/>
    <mergeCell ref="J61:K61"/>
    <mergeCell ref="R61:S61"/>
    <mergeCell ref="V61:X61"/>
    <mergeCell ref="G52:H52"/>
    <mergeCell ref="R52:S52"/>
    <mergeCell ref="A3:K3"/>
    <mergeCell ref="N3:X3"/>
    <mergeCell ref="A5:C5"/>
    <mergeCell ref="D5:I5"/>
    <mergeCell ref="J5:K5"/>
    <mergeCell ref="V5:X5"/>
    <mergeCell ref="G50:H50"/>
    <mergeCell ref="R50:S50"/>
    <mergeCell ref="G51:H51"/>
    <mergeCell ref="R51:S51"/>
    <mergeCell ref="A4:C4"/>
    <mergeCell ref="D4:I4"/>
    <mergeCell ref="J4:K4"/>
    <mergeCell ref="V4:X4"/>
    <mergeCell ref="G47:H47"/>
    <mergeCell ref="R47:S47"/>
    <mergeCell ref="G48:H48"/>
    <mergeCell ref="R48:S48"/>
    <mergeCell ref="G49:H49"/>
    <mergeCell ref="R49:S49"/>
    <mergeCell ref="G44:H44"/>
    <mergeCell ref="R44:S44"/>
    <mergeCell ref="G45:H45"/>
    <mergeCell ref="R45:S45"/>
    <mergeCell ref="G46:H46"/>
    <mergeCell ref="R46:S46"/>
    <mergeCell ref="G41:H41"/>
    <mergeCell ref="R41:S41"/>
    <mergeCell ref="G42:H42"/>
    <mergeCell ref="R42:S42"/>
    <mergeCell ref="G43:H43"/>
    <mergeCell ref="R43:S43"/>
    <mergeCell ref="G38:H38"/>
    <mergeCell ref="R38:S38"/>
    <mergeCell ref="G39:H39"/>
    <mergeCell ref="R39:S39"/>
    <mergeCell ref="G40:H40"/>
    <mergeCell ref="R40:S40"/>
    <mergeCell ref="G35:H35"/>
    <mergeCell ref="R35:S35"/>
    <mergeCell ref="G36:H36"/>
    <mergeCell ref="R36:S36"/>
    <mergeCell ref="G37:H37"/>
    <mergeCell ref="R37:S37"/>
    <mergeCell ref="G32:H32"/>
    <mergeCell ref="R32:S32"/>
    <mergeCell ref="G33:H33"/>
    <mergeCell ref="R33:S33"/>
    <mergeCell ref="G34:H34"/>
    <mergeCell ref="R34:S34"/>
    <mergeCell ref="G29:H29"/>
    <mergeCell ref="R29:S29"/>
    <mergeCell ref="G30:H30"/>
    <mergeCell ref="R30:S30"/>
    <mergeCell ref="G31:H31"/>
    <mergeCell ref="R31:S31"/>
    <mergeCell ref="G26:H26"/>
    <mergeCell ref="R26:S26"/>
    <mergeCell ref="G27:H27"/>
    <mergeCell ref="R27:S27"/>
    <mergeCell ref="G28:H28"/>
    <mergeCell ref="R28:S28"/>
    <mergeCell ref="G24:H24"/>
    <mergeCell ref="R24:S24"/>
    <mergeCell ref="G25:H25"/>
    <mergeCell ref="R25:S25"/>
    <mergeCell ref="G20:H20"/>
    <mergeCell ref="R20:S20"/>
    <mergeCell ref="G21:H21"/>
    <mergeCell ref="R21:S21"/>
    <mergeCell ref="G22:H22"/>
    <mergeCell ref="R22:S22"/>
    <mergeCell ref="R4:S4"/>
    <mergeCell ref="G8:H8"/>
    <mergeCell ref="R8:S8"/>
    <mergeCell ref="G9:H9"/>
    <mergeCell ref="R9:S9"/>
    <mergeCell ref="G10:H10"/>
    <mergeCell ref="R10:S10"/>
    <mergeCell ref="R5:S5"/>
    <mergeCell ref="G6:H6"/>
    <mergeCell ref="R6:S6"/>
    <mergeCell ref="G7:H7"/>
    <mergeCell ref="R7:S7"/>
    <mergeCell ref="AB6:AB19"/>
    <mergeCell ref="AB20:AB53"/>
    <mergeCell ref="AB63:AB76"/>
    <mergeCell ref="AB77:AB112"/>
    <mergeCell ref="G11:H11"/>
    <mergeCell ref="R11:S11"/>
    <mergeCell ref="G12:H12"/>
    <mergeCell ref="R12:S12"/>
    <mergeCell ref="G13:H13"/>
    <mergeCell ref="R13:S13"/>
    <mergeCell ref="G17:H17"/>
    <mergeCell ref="R17:S17"/>
    <mergeCell ref="G18:H18"/>
    <mergeCell ref="R18:S18"/>
    <mergeCell ref="G19:H19"/>
    <mergeCell ref="R19:S19"/>
    <mergeCell ref="G14:H14"/>
    <mergeCell ref="R14:S14"/>
    <mergeCell ref="G15:H15"/>
    <mergeCell ref="R15:S15"/>
    <mergeCell ref="G16:H16"/>
    <mergeCell ref="R16:S16"/>
    <mergeCell ref="G23:H23"/>
    <mergeCell ref="R23:S23"/>
  </mergeCells>
  <pageMargins left="0.25" right="0.25" top="0.75" bottom="0.75" header="0.3" footer="0.3"/>
  <pageSetup paperSize="9" scale="23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DF11-B8DC-4A68-BE69-320E0709CAB9}">
  <sheetPr>
    <pageSetUpPr fitToPage="1"/>
  </sheetPr>
  <dimension ref="A1:BH108"/>
  <sheetViews>
    <sheetView zoomScale="10" zoomScaleNormal="10" workbookViewId="0">
      <selection activeCell="R14" sqref="R14"/>
    </sheetView>
  </sheetViews>
  <sheetFormatPr defaultRowHeight="18.75"/>
  <cols>
    <col min="1" max="1" width="9.140625" style="532"/>
    <col min="2" max="2" width="13.42578125" style="533" customWidth="1"/>
    <col min="3" max="3" width="11.7109375" style="533" customWidth="1"/>
    <col min="4" max="4" width="13.7109375" style="533" customWidth="1"/>
    <col min="5" max="7" width="9.140625" style="533"/>
    <col min="10" max="10" width="9.140625" style="534"/>
    <col min="11" max="11" width="9.85546875" style="534" customWidth="1"/>
    <col min="12" max="12" width="11.28515625" style="534" customWidth="1"/>
    <col min="13" max="13" width="12.7109375" style="549" customWidth="1"/>
    <col min="14" max="14" width="11.7109375" style="534" customWidth="1"/>
    <col min="15" max="15" width="12.42578125" style="534" customWidth="1"/>
    <col min="16" max="16" width="10.140625" style="534" customWidth="1"/>
    <col min="17" max="17" width="9.42578125" style="324" customWidth="1"/>
    <col min="18" max="18" width="14.85546875" style="324" customWidth="1"/>
    <col min="19" max="19" width="9.140625" style="324"/>
    <col min="20" max="20" width="10" style="324" customWidth="1"/>
    <col min="21" max="23" width="9.140625" style="324"/>
    <col min="25" max="25" width="9.140625" style="324"/>
    <col min="26" max="29" width="9.28515625" bestFit="1" customWidth="1"/>
    <col min="30" max="30" width="13.7109375" customWidth="1"/>
    <col min="31" max="31" width="9.28515625" customWidth="1"/>
    <col min="32" max="32" width="15.7109375" customWidth="1"/>
    <col min="33" max="33" width="9.5703125" customWidth="1"/>
    <col min="34" max="34" width="15.5703125" customWidth="1"/>
    <col min="35" max="46" width="11.5703125" bestFit="1" customWidth="1"/>
    <col min="50" max="50" width="11.140625" customWidth="1"/>
    <col min="51" max="51" width="12" customWidth="1"/>
    <col min="52" max="52" width="12.7109375" customWidth="1"/>
    <col min="55" max="55" width="11.5703125" customWidth="1"/>
    <col min="57" max="57" width="12.5703125" customWidth="1"/>
    <col min="58" max="58" width="10.42578125" customWidth="1"/>
    <col min="59" max="59" width="13.42578125" customWidth="1"/>
    <col min="60" max="60" width="9.5703125" style="324" customWidth="1"/>
  </cols>
  <sheetData>
    <row r="1" spans="1:45" ht="28.5" customHeight="1">
      <c r="A1" s="696" t="s">
        <v>199</v>
      </c>
      <c r="B1" s="696"/>
      <c r="C1" s="696"/>
      <c r="D1" s="696"/>
      <c r="E1" s="696"/>
      <c r="F1" s="696"/>
      <c r="G1" s="696"/>
      <c r="J1" s="560"/>
      <c r="K1" s="561"/>
      <c r="L1" s="562"/>
      <c r="M1" s="559"/>
      <c r="N1" s="559"/>
      <c r="O1" s="559"/>
      <c r="P1" s="559"/>
      <c r="Q1" s="559"/>
      <c r="R1" s="559"/>
      <c r="S1" s="559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551" t="s">
        <v>619</v>
      </c>
      <c r="AE1" s="207"/>
      <c r="AF1" s="551" t="s">
        <v>617</v>
      </c>
      <c r="AG1" s="2"/>
      <c r="AH1" s="551" t="s">
        <v>619</v>
      </c>
    </row>
    <row r="2" spans="1:45" ht="18.75" customHeight="1">
      <c r="A2" s="571" t="s">
        <v>577</v>
      </c>
      <c r="B2" s="528" t="s">
        <v>578</v>
      </c>
      <c r="C2" s="528" t="s">
        <v>591</v>
      </c>
      <c r="D2" s="529" t="s">
        <v>579</v>
      </c>
      <c r="E2" s="528" t="s">
        <v>580</v>
      </c>
      <c r="F2" s="568" t="s">
        <v>581</v>
      </c>
      <c r="G2" s="568" t="s">
        <v>582</v>
      </c>
      <c r="H2" s="568" t="s">
        <v>583</v>
      </c>
      <c r="J2"/>
      <c r="K2" s="540" t="s">
        <v>577</v>
      </c>
      <c r="L2" s="541" t="s">
        <v>574</v>
      </c>
      <c r="M2" s="541" t="s">
        <v>597</v>
      </c>
      <c r="N2" s="542" t="s">
        <v>590</v>
      </c>
      <c r="O2" s="542" t="s">
        <v>579</v>
      </c>
      <c r="P2" s="541" t="s">
        <v>589</v>
      </c>
      <c r="Q2" s="541" t="s">
        <v>584</v>
      </c>
      <c r="R2" s="543" t="s">
        <v>593</v>
      </c>
      <c r="S2" s="543" t="s">
        <v>592</v>
      </c>
      <c r="T2" s="543" t="s">
        <v>529</v>
      </c>
      <c r="U2" s="543" t="s">
        <v>599</v>
      </c>
      <c r="V2" s="543" t="s">
        <v>598</v>
      </c>
      <c r="W2" s="543" t="s">
        <v>608</v>
      </c>
      <c r="X2" s="543" t="s">
        <v>595</v>
      </c>
      <c r="Y2" s="543" t="s">
        <v>609</v>
      </c>
      <c r="Z2" s="543" t="s">
        <v>162</v>
      </c>
      <c r="AA2" s="543" t="s">
        <v>614</v>
      </c>
      <c r="AB2" s="543" t="s">
        <v>613</v>
      </c>
      <c r="AC2" s="543" t="s">
        <v>616</v>
      </c>
      <c r="AD2" s="543" t="s">
        <v>615</v>
      </c>
      <c r="AE2" s="543" t="s">
        <v>618</v>
      </c>
      <c r="AF2" s="543" t="s">
        <v>621</v>
      </c>
      <c r="AG2" s="543" t="s">
        <v>596</v>
      </c>
      <c r="AH2" s="543" t="s">
        <v>620</v>
      </c>
      <c r="AI2" s="543" t="s">
        <v>596</v>
      </c>
    </row>
    <row r="3" spans="1:45" ht="21.75" customHeight="1">
      <c r="A3" s="530" t="s">
        <v>576</v>
      </c>
      <c r="B3" s="531" t="s">
        <v>575</v>
      </c>
      <c r="C3" s="531" t="s">
        <v>575</v>
      </c>
      <c r="D3" s="531" t="s">
        <v>587</v>
      </c>
      <c r="E3" s="531" t="s">
        <v>575</v>
      </c>
      <c r="F3" s="532" t="s">
        <v>174</v>
      </c>
      <c r="G3" s="532" t="s">
        <v>175</v>
      </c>
      <c r="H3" s="532" t="s">
        <v>176</v>
      </c>
      <c r="K3" s="546" t="s">
        <v>576</v>
      </c>
      <c r="L3" s="540" t="s">
        <v>586</v>
      </c>
      <c r="M3" s="540" t="s">
        <v>586</v>
      </c>
      <c r="N3" s="540" t="s">
        <v>588</v>
      </c>
      <c r="O3" s="540" t="s">
        <v>588</v>
      </c>
      <c r="P3" s="540" t="s">
        <v>586</v>
      </c>
      <c r="Q3" s="540" t="s">
        <v>586</v>
      </c>
      <c r="R3" s="540" t="s">
        <v>586</v>
      </c>
      <c r="S3" s="540" t="s">
        <v>176</v>
      </c>
      <c r="T3" s="540" t="s">
        <v>176</v>
      </c>
      <c r="U3" s="540" t="s">
        <v>176</v>
      </c>
      <c r="V3" s="540" t="s">
        <v>176</v>
      </c>
      <c r="W3" s="540" t="s">
        <v>176</v>
      </c>
      <c r="X3" s="540" t="s">
        <v>176</v>
      </c>
      <c r="Y3" s="540" t="s">
        <v>176</v>
      </c>
      <c r="Z3" s="540" t="s">
        <v>174</v>
      </c>
      <c r="AA3" s="540" t="s">
        <v>176</v>
      </c>
      <c r="AB3" s="540" t="s">
        <v>176</v>
      </c>
      <c r="AC3" s="540" t="s">
        <v>176</v>
      </c>
      <c r="AD3" s="540" t="s">
        <v>176</v>
      </c>
      <c r="AE3" s="540" t="s">
        <v>176</v>
      </c>
      <c r="AF3" s="540" t="s">
        <v>176</v>
      </c>
      <c r="AG3" s="540" t="s">
        <v>176</v>
      </c>
      <c r="AH3" s="540" t="s">
        <v>176</v>
      </c>
      <c r="AI3" s="540" t="s">
        <v>176</v>
      </c>
      <c r="AN3" t="s">
        <v>622</v>
      </c>
      <c r="AO3" t="s">
        <v>623</v>
      </c>
      <c r="AP3" t="s">
        <v>624</v>
      </c>
      <c r="AQ3" t="s">
        <v>625</v>
      </c>
      <c r="AR3" t="s">
        <v>626</v>
      </c>
      <c r="AS3" t="s">
        <v>627</v>
      </c>
    </row>
    <row r="4" spans="1:45" ht="15" customHeight="1" thickBot="1">
      <c r="A4" s="567">
        <v>0.2</v>
      </c>
      <c r="B4" s="576">
        <v>7</v>
      </c>
      <c r="C4" s="169" t="s">
        <v>178</v>
      </c>
      <c r="D4" s="567">
        <v>1.85</v>
      </c>
      <c r="E4" s="567">
        <v>0.04</v>
      </c>
      <c r="F4" s="569">
        <v>89</v>
      </c>
      <c r="G4" s="569">
        <v>41</v>
      </c>
      <c r="H4" s="141">
        <v>0.221</v>
      </c>
      <c r="K4" s="557">
        <v>0.2</v>
      </c>
      <c r="L4" s="557">
        <f t="shared" ref="L4:L53" si="0">B4*100</f>
        <v>700</v>
      </c>
      <c r="M4" s="169" t="s">
        <v>178</v>
      </c>
      <c r="N4" s="557">
        <f>18.5</f>
        <v>18.5</v>
      </c>
      <c r="O4" s="557">
        <f>N4</f>
        <v>18.5</v>
      </c>
      <c r="P4" s="557">
        <f t="shared" ref="P4" si="1">N4*K4</f>
        <v>3.7</v>
      </c>
      <c r="Q4" s="557">
        <f t="shared" ref="Q4" si="2">O4*K4</f>
        <v>3.7</v>
      </c>
      <c r="R4" s="21">
        <f>100</f>
        <v>100</v>
      </c>
      <c r="S4" s="21" t="e">
        <f t="shared" ref="S4:S53" si="3">(M4/(L4-P4))*100</f>
        <v>#VALUE!</v>
      </c>
      <c r="T4" s="475" t="e">
        <f t="shared" ref="T4:T50" si="4">((AJ59-1.64)*0.3)+0.5</f>
        <v>#VALUE!</v>
      </c>
      <c r="U4" s="475" t="e">
        <f>(($L4-$P4)/$R$4)*(($R$4/$Q4)^T4)</f>
        <v>#VALUE!</v>
      </c>
      <c r="V4" s="475"/>
      <c r="W4" s="475" t="e">
        <f t="shared" ref="W4:W50" si="5">(L4/$R$4)*($R$4/Q4)^T4</f>
        <v>#VALUE!</v>
      </c>
      <c r="X4" s="296">
        <f>IF(V4&lt;2.5,-(0.403*V4^4)+(5.581*V4^3)-(21.63*V4^2)+(33.75*V4)-17.88,(6*10^(-7))*V4^(16.76))</f>
        <v>-17.88</v>
      </c>
      <c r="Y4" s="490" t="e">
        <f>X4*W4</f>
        <v>#VALUE!</v>
      </c>
      <c r="Z4" s="552">
        <f t="shared" ref="Z4:Z50" si="6">-98+66*LOG(10*B4/(SQRT(10*(Q4/100))))</f>
        <v>38.025813746730137</v>
      </c>
      <c r="AA4" s="11">
        <f t="shared" ref="AA4:AA50" si="7">IF(Z4&lt;40,1,0.75)</f>
        <v>1</v>
      </c>
      <c r="AB4" s="296">
        <f t="shared" ref="AB4:AB50" si="8">IF(P4/$R$4&lt;=1,1,(P4/$R$4)^(AA4-1))</f>
        <v>1</v>
      </c>
      <c r="AC4" s="297">
        <f t="shared" ref="AC4:AC50" si="9">IF(K4&lt;9.15,1-0.00765*K4,1.174-0.0267*K4)</f>
        <v>0.99846999999999997</v>
      </c>
      <c r="AD4" s="297">
        <f t="shared" ref="AD4:AD50" si="10">0.65*AC4*($R$7)*(P4/Q4)</f>
        <v>0.13239712200000001</v>
      </c>
      <c r="AE4" s="297">
        <f t="shared" ref="AE4:AE50" si="11">AD4/($R$22*AB4)</f>
        <v>0.10814867950634295</v>
      </c>
      <c r="AF4" s="297" t="e">
        <f t="shared" ref="AF4:AF50" si="12">93*(Y4/1000)^3+0.08</f>
        <v>#VALUE!</v>
      </c>
      <c r="AG4" s="553"/>
      <c r="AH4" s="11" t="e">
        <f t="shared" ref="AH4:AH50" si="13">EXP((Y4/540)+(Y4/67)^2-(Y4/80)^3+(Y4/114)^4-3)</f>
        <v>#VALUE!</v>
      </c>
      <c r="AI4" s="11" t="e">
        <f>AH4/AE4</f>
        <v>#VALUE!</v>
      </c>
      <c r="AL4" s="324">
        <v>1.25</v>
      </c>
      <c r="AM4" s="324">
        <v>-0.2</v>
      </c>
      <c r="AN4" s="324">
        <v>1.31</v>
      </c>
      <c r="AO4" s="573">
        <v>2.0499999999999998</v>
      </c>
      <c r="AP4" s="573">
        <v>2.6</v>
      </c>
      <c r="AQ4" s="324">
        <v>2.95</v>
      </c>
      <c r="AR4" s="324">
        <v>3.6</v>
      </c>
      <c r="AS4" s="324">
        <v>4</v>
      </c>
    </row>
    <row r="5" spans="1:45" ht="15" customHeight="1">
      <c r="A5" s="567">
        <v>0.4</v>
      </c>
      <c r="B5" s="577">
        <v>14</v>
      </c>
      <c r="C5" s="191">
        <v>35</v>
      </c>
      <c r="D5" s="567">
        <v>1.85</v>
      </c>
      <c r="E5" s="567">
        <v>7.0000000000000007E-2</v>
      </c>
      <c r="F5" s="569">
        <v>89</v>
      </c>
      <c r="G5" s="569">
        <v>40</v>
      </c>
      <c r="H5" s="141">
        <v>0.22</v>
      </c>
      <c r="K5" s="557">
        <v>0.4</v>
      </c>
      <c r="L5" s="557">
        <f t="shared" si="0"/>
        <v>1400</v>
      </c>
      <c r="M5" s="558">
        <f t="shared" ref="M5:M52" si="14">L5/C5</f>
        <v>40</v>
      </c>
      <c r="N5" s="557">
        <f t="shared" ref="N5:N53" si="15">18.5</f>
        <v>18.5</v>
      </c>
      <c r="O5" s="557">
        <f t="shared" ref="O5:O53" si="16">N5</f>
        <v>18.5</v>
      </c>
      <c r="P5" s="557">
        <f t="shared" ref="P5:P53" si="17">N5*K5</f>
        <v>7.4</v>
      </c>
      <c r="Q5" s="557">
        <f t="shared" ref="Q5:Q53" si="18">O5*K5</f>
        <v>7.4</v>
      </c>
      <c r="R5" s="545" t="s">
        <v>585</v>
      </c>
      <c r="S5" s="21">
        <f t="shared" si="3"/>
        <v>2.8723251472066642</v>
      </c>
      <c r="T5" s="475">
        <f t="shared" si="4"/>
        <v>0.69205416216148363</v>
      </c>
      <c r="U5" s="475">
        <f>(($L5-$P5)/$R$4)*(($R$4/$Q5)^$T$5)</f>
        <v>84.407159530702955</v>
      </c>
      <c r="V5" s="475">
        <f t="shared" ref="V5:V50" si="19">((3.47-LOG(U5))^2+(LOG($S5)+1.22)^2)^0.5</f>
        <v>2.2801826522473543</v>
      </c>
      <c r="W5" s="475">
        <f t="shared" si="5"/>
        <v>84.855682423512974</v>
      </c>
      <c r="X5" s="296">
        <f>-(0.403*V5^4)+(5.581*V5^3)-(21.63*V5^2)+(33.75*V5)-17.88</f>
        <v>1.8867262605839592</v>
      </c>
      <c r="Y5" s="296">
        <f t="shared" ref="Y5:Y50" si="20">X5*W5</f>
        <v>160.09944438821464</v>
      </c>
      <c r="Z5" s="552">
        <f t="shared" si="6"/>
        <v>47.95980360364149</v>
      </c>
      <c r="AA5" s="11">
        <f t="shared" si="7"/>
        <v>0.75</v>
      </c>
      <c r="AB5" s="296">
        <f t="shared" si="8"/>
        <v>1</v>
      </c>
      <c r="AC5" s="297">
        <f t="shared" si="9"/>
        <v>0.99694000000000005</v>
      </c>
      <c r="AD5" s="297">
        <f t="shared" si="10"/>
        <v>0.13219424399999999</v>
      </c>
      <c r="AE5" s="297">
        <f t="shared" si="11"/>
        <v>0.10798295847351801</v>
      </c>
      <c r="AF5" s="297">
        <f t="shared" si="12"/>
        <v>0.46163871314312122</v>
      </c>
      <c r="AG5" s="553"/>
      <c r="AH5" s="297">
        <f t="shared" si="13"/>
        <v>0.32673293315442475</v>
      </c>
      <c r="AI5" s="11"/>
      <c r="AL5" s="324">
        <v>1.25</v>
      </c>
      <c r="AM5" s="324">
        <v>-0.4</v>
      </c>
      <c r="AN5" s="324">
        <v>1.31</v>
      </c>
      <c r="AO5" s="573">
        <v>2.0499999999999998</v>
      </c>
      <c r="AP5" s="573">
        <v>2.6</v>
      </c>
      <c r="AQ5" s="324">
        <v>2.95</v>
      </c>
      <c r="AR5" s="324">
        <v>3.6</v>
      </c>
    </row>
    <row r="6" spans="1:45" ht="15" customHeight="1">
      <c r="A6" s="567">
        <v>0.6</v>
      </c>
      <c r="B6" s="577">
        <v>24</v>
      </c>
      <c r="C6" s="577">
        <v>40</v>
      </c>
      <c r="D6" s="567">
        <v>1.85</v>
      </c>
      <c r="E6" s="567">
        <v>0.11</v>
      </c>
      <c r="F6" s="569">
        <v>84</v>
      </c>
      <c r="G6" s="569">
        <v>40</v>
      </c>
      <c r="H6" s="141">
        <v>0.20399999999999999</v>
      </c>
      <c r="K6" s="557">
        <v>0.6</v>
      </c>
      <c r="L6" s="557">
        <f t="shared" si="0"/>
        <v>2400</v>
      </c>
      <c r="M6" s="558">
        <f t="shared" si="14"/>
        <v>60</v>
      </c>
      <c r="N6" s="557">
        <f t="shared" si="15"/>
        <v>18.5</v>
      </c>
      <c r="O6" s="557">
        <f t="shared" si="16"/>
        <v>18.5</v>
      </c>
      <c r="P6" s="557">
        <f t="shared" si="17"/>
        <v>11.1</v>
      </c>
      <c r="Q6" s="557">
        <f t="shared" si="18"/>
        <v>11.1</v>
      </c>
      <c r="R6" s="544" t="s">
        <v>176</v>
      </c>
      <c r="S6" s="21">
        <f t="shared" si="3"/>
        <v>2.5116162250408136</v>
      </c>
      <c r="T6" s="475">
        <f t="shared" si="4"/>
        <v>0.66216624783430422</v>
      </c>
      <c r="U6" s="475">
        <f t="shared" ref="U6:U50" si="21">(($L6-$P6)/$R$4)*(($R$4/$Q6)^T6)</f>
        <v>102.41247726968842</v>
      </c>
      <c r="V6" s="475">
        <f t="shared" si="19"/>
        <v>2.1805546012398378</v>
      </c>
      <c r="W6" s="475">
        <f t="shared" si="5"/>
        <v>102.88833582286921</v>
      </c>
      <c r="X6" s="296">
        <f t="shared" ref="X6:X50" si="22">-(0.403*V6^4)+(5.581*V6^3)-(21.63*V6^2)+(33.75*V6)-17.88</f>
        <v>1.6204478145763339</v>
      </c>
      <c r="Y6" s="296">
        <f t="shared" si="20"/>
        <v>166.72517892956435</v>
      </c>
      <c r="Z6" s="552">
        <f t="shared" si="6"/>
        <v>57.598283653006291</v>
      </c>
      <c r="AA6" s="11">
        <f t="shared" si="7"/>
        <v>0.75</v>
      </c>
      <c r="AB6" s="296">
        <f t="shared" si="8"/>
        <v>1</v>
      </c>
      <c r="AC6" s="297">
        <f t="shared" si="9"/>
        <v>0.99541000000000002</v>
      </c>
      <c r="AD6" s="297">
        <f t="shared" si="10"/>
        <v>0.131991366</v>
      </c>
      <c r="AE6" s="297">
        <f t="shared" si="11"/>
        <v>0.10781723744069309</v>
      </c>
      <c r="AF6" s="297">
        <f t="shared" si="12"/>
        <v>0.51100918481299129</v>
      </c>
      <c r="AG6" s="553">
        <f t="shared" ref="AG6:AG50" si="23">AF6/AE6</f>
        <v>4.7395870729305374</v>
      </c>
      <c r="AH6" s="297">
        <f t="shared" si="13"/>
        <v>0.3769016473223748</v>
      </c>
      <c r="AI6" s="296">
        <f t="shared" ref="AI6:AI50" si="24">AH6/AE6</f>
        <v>3.4957457292457219</v>
      </c>
      <c r="AL6" s="324">
        <v>1.25</v>
      </c>
      <c r="AM6" s="324">
        <v>-0.6</v>
      </c>
      <c r="AN6" s="324">
        <v>1.31</v>
      </c>
      <c r="AO6" s="573">
        <v>2.0499999999999998</v>
      </c>
      <c r="AP6" s="573">
        <v>2.6</v>
      </c>
      <c r="AQ6" s="324">
        <v>2.95</v>
      </c>
      <c r="AR6" s="324">
        <v>3.6</v>
      </c>
    </row>
    <row r="7" spans="1:45" ht="15" customHeight="1">
      <c r="A7" s="567">
        <v>0.8</v>
      </c>
      <c r="B7" s="577">
        <v>50</v>
      </c>
      <c r="C7" s="577">
        <v>62</v>
      </c>
      <c r="D7" s="567">
        <v>1.85</v>
      </c>
      <c r="E7" s="567">
        <v>0.15</v>
      </c>
      <c r="F7" s="569">
        <v>71</v>
      </c>
      <c r="G7" s="569">
        <v>38</v>
      </c>
      <c r="H7" s="141">
        <v>0.16200000000000001</v>
      </c>
      <c r="K7" s="557">
        <v>0.8</v>
      </c>
      <c r="L7" s="557">
        <f t="shared" si="0"/>
        <v>5000</v>
      </c>
      <c r="M7" s="558">
        <f t="shared" si="14"/>
        <v>80.645161290322577</v>
      </c>
      <c r="N7" s="557">
        <f t="shared" si="15"/>
        <v>18.5</v>
      </c>
      <c r="O7" s="557">
        <f t="shared" si="16"/>
        <v>18.5</v>
      </c>
      <c r="P7" s="557">
        <f t="shared" si="17"/>
        <v>14.8</v>
      </c>
      <c r="Q7" s="557">
        <f t="shared" si="18"/>
        <v>14.8</v>
      </c>
      <c r="R7" s="557">
        <v>0.20399999999999999</v>
      </c>
      <c r="S7" s="21">
        <f t="shared" si="3"/>
        <v>1.6176915929214992</v>
      </c>
      <c r="T7" s="477">
        <f t="shared" si="4"/>
        <v>0.58491279904966975</v>
      </c>
      <c r="U7" s="477">
        <f t="shared" si="21"/>
        <v>152.40777710922976</v>
      </c>
      <c r="V7" s="475">
        <f t="shared" si="19"/>
        <v>1.9230428110716209</v>
      </c>
      <c r="W7" s="475">
        <f t="shared" si="5"/>
        <v>152.86024342978192</v>
      </c>
      <c r="X7" s="296">
        <f t="shared" si="22"/>
        <v>1.2113400626928801</v>
      </c>
      <c r="Y7" s="296">
        <f t="shared" si="20"/>
        <v>185.16573685948094</v>
      </c>
      <c r="Z7" s="552">
        <f t="shared" si="6"/>
        <v>74.51338367814364</v>
      </c>
      <c r="AA7" s="11">
        <f t="shared" si="7"/>
        <v>0.75</v>
      </c>
      <c r="AB7" s="296">
        <f t="shared" si="8"/>
        <v>1</v>
      </c>
      <c r="AC7" s="297">
        <f t="shared" si="9"/>
        <v>0.99387999999999999</v>
      </c>
      <c r="AD7" s="297">
        <f t="shared" si="10"/>
        <v>0.13178848799999998</v>
      </c>
      <c r="AE7" s="297">
        <f t="shared" si="11"/>
        <v>0.10765151640786816</v>
      </c>
      <c r="AF7" s="297">
        <f t="shared" si="12"/>
        <v>0.67042512720107061</v>
      </c>
      <c r="AG7" s="553">
        <f t="shared" si="23"/>
        <v>6.2277350990670284</v>
      </c>
      <c r="AH7" s="297">
        <f t="shared" si="13"/>
        <v>0.63207938454055745</v>
      </c>
      <c r="AI7" s="296">
        <f t="shared" si="24"/>
        <v>5.8715325676021717</v>
      </c>
      <c r="AL7" s="324">
        <v>1.25</v>
      </c>
      <c r="AM7" s="324">
        <v>-0.8</v>
      </c>
      <c r="AN7" s="324">
        <v>1.31</v>
      </c>
      <c r="AO7" s="573">
        <v>2.0499999999999998</v>
      </c>
      <c r="AP7" s="573">
        <v>2.6</v>
      </c>
      <c r="AQ7" s="324">
        <v>2.95</v>
      </c>
      <c r="AR7" s="324">
        <v>3.6</v>
      </c>
    </row>
    <row r="8" spans="1:45" ht="15" customHeight="1">
      <c r="A8" s="527" t="s">
        <v>181</v>
      </c>
      <c r="B8" s="577">
        <v>40</v>
      </c>
      <c r="C8" s="577">
        <v>37</v>
      </c>
      <c r="D8" s="567">
        <v>1.85</v>
      </c>
      <c r="E8" s="567">
        <v>0.19</v>
      </c>
      <c r="F8" s="569">
        <v>52</v>
      </c>
      <c r="G8" s="569">
        <v>35</v>
      </c>
      <c r="H8" s="141">
        <v>0.11</v>
      </c>
      <c r="J8"/>
      <c r="K8" s="557">
        <v>1</v>
      </c>
      <c r="L8" s="557">
        <f t="shared" si="0"/>
        <v>4000</v>
      </c>
      <c r="M8" s="558">
        <f t="shared" si="14"/>
        <v>108.10810810810811</v>
      </c>
      <c r="N8" s="557">
        <f t="shared" si="15"/>
        <v>18.5</v>
      </c>
      <c r="O8" s="557">
        <f t="shared" si="16"/>
        <v>18.5</v>
      </c>
      <c r="P8" s="557">
        <f t="shared" si="17"/>
        <v>18.5</v>
      </c>
      <c r="Q8" s="557">
        <f t="shared" si="18"/>
        <v>18.5</v>
      </c>
      <c r="R8" s="572" t="s">
        <v>529</v>
      </c>
      <c r="S8" s="21">
        <f t="shared" si="3"/>
        <v>2.7152607838279068</v>
      </c>
      <c r="T8" s="475">
        <f t="shared" si="4"/>
        <v>0.65596464899142704</v>
      </c>
      <c r="U8" s="475">
        <f t="shared" si="21"/>
        <v>120.43595479957713</v>
      </c>
      <c r="V8" s="476">
        <f t="shared" si="19"/>
        <v>2.1598821913692539</v>
      </c>
      <c r="W8" s="475">
        <f t="shared" si="5"/>
        <v>120.99555926116</v>
      </c>
      <c r="X8" s="296">
        <f t="shared" si="22"/>
        <v>1.5740038673289014</v>
      </c>
      <c r="Y8" s="296">
        <f t="shared" si="20"/>
        <v>190.44747820668911</v>
      </c>
      <c r="Z8" s="552">
        <f t="shared" si="6"/>
        <v>64.919292390346072</v>
      </c>
      <c r="AA8" s="11">
        <f t="shared" si="7"/>
        <v>0.75</v>
      </c>
      <c r="AB8" s="296">
        <f t="shared" si="8"/>
        <v>1</v>
      </c>
      <c r="AC8" s="297">
        <f t="shared" si="9"/>
        <v>0.99234999999999995</v>
      </c>
      <c r="AD8" s="297">
        <f t="shared" si="10"/>
        <v>0.13158560999999999</v>
      </c>
      <c r="AE8" s="297">
        <f t="shared" si="11"/>
        <v>0.10748579537504323</v>
      </c>
      <c r="AF8" s="297">
        <f t="shared" si="12"/>
        <v>0.72240457863277585</v>
      </c>
      <c r="AG8" s="553">
        <f t="shared" si="23"/>
        <v>6.7209306691375943</v>
      </c>
      <c r="AH8" s="297">
        <f t="shared" si="13"/>
        <v>0.76347237565060522</v>
      </c>
      <c r="AI8" s="296">
        <f t="shared" si="24"/>
        <v>7.1030071739867626</v>
      </c>
      <c r="AL8" s="324">
        <v>1.25</v>
      </c>
      <c r="AM8" s="324">
        <v>-1</v>
      </c>
      <c r="AN8" s="324">
        <v>1.31</v>
      </c>
      <c r="AO8" s="573">
        <v>2.0499999999999998</v>
      </c>
      <c r="AP8" s="573">
        <v>2.6</v>
      </c>
      <c r="AQ8" s="324">
        <v>2.95</v>
      </c>
      <c r="AR8" s="324">
        <v>3.6</v>
      </c>
    </row>
    <row r="9" spans="1:45" ht="15" customHeight="1">
      <c r="A9" s="567">
        <v>1.2</v>
      </c>
      <c r="B9" s="577">
        <v>24</v>
      </c>
      <c r="C9" s="577">
        <v>28</v>
      </c>
      <c r="D9" s="567">
        <v>1.85</v>
      </c>
      <c r="E9" s="567">
        <v>0.22</v>
      </c>
      <c r="F9" s="568" t="s">
        <v>178</v>
      </c>
      <c r="G9" s="568" t="s">
        <v>178</v>
      </c>
      <c r="H9" s="568" t="s">
        <v>178</v>
      </c>
      <c r="J9"/>
      <c r="K9" s="557">
        <v>1.2</v>
      </c>
      <c r="L9" s="557">
        <f t="shared" si="0"/>
        <v>2400</v>
      </c>
      <c r="M9" s="558">
        <f t="shared" si="14"/>
        <v>85.714285714285708</v>
      </c>
      <c r="N9" s="557">
        <f t="shared" si="15"/>
        <v>18.5</v>
      </c>
      <c r="O9" s="557">
        <f t="shared" si="16"/>
        <v>18.5</v>
      </c>
      <c r="P9" s="557">
        <f t="shared" si="17"/>
        <v>22.2</v>
      </c>
      <c r="Q9" s="557">
        <f t="shared" si="18"/>
        <v>22.2</v>
      </c>
      <c r="R9" s="563" t="s">
        <v>176</v>
      </c>
      <c r="S9" s="21">
        <f t="shared" si="3"/>
        <v>3.6047727190800614</v>
      </c>
      <c r="T9" s="475">
        <f t="shared" si="4"/>
        <v>0.72883428995391808</v>
      </c>
      <c r="U9" s="475">
        <f t="shared" si="21"/>
        <v>71.215690327031012</v>
      </c>
      <c r="V9" s="476">
        <f t="shared" si="19"/>
        <v>2.4027809786101675</v>
      </c>
      <c r="W9" s="475">
        <f t="shared" si="5"/>
        <v>71.880585745173875</v>
      </c>
      <c r="X9" s="296">
        <f t="shared" si="22"/>
        <v>2.323757273693996</v>
      </c>
      <c r="Y9" s="296">
        <f t="shared" si="20"/>
        <v>167.03303396273276</v>
      </c>
      <c r="Z9" s="552">
        <f t="shared" si="6"/>
        <v>47.66429379609491</v>
      </c>
      <c r="AA9" s="11">
        <f t="shared" si="7"/>
        <v>0.75</v>
      </c>
      <c r="AB9" s="296">
        <f t="shared" si="8"/>
        <v>1</v>
      </c>
      <c r="AC9" s="297">
        <f t="shared" si="9"/>
        <v>0.99082000000000003</v>
      </c>
      <c r="AD9" s="297">
        <f t="shared" si="10"/>
        <v>0.131382732</v>
      </c>
      <c r="AE9" s="297">
        <f t="shared" si="11"/>
        <v>0.10732007434221831</v>
      </c>
      <c r="AF9" s="297">
        <f t="shared" si="12"/>
        <v>0.5134011481356997</v>
      </c>
      <c r="AG9" s="553">
        <f t="shared" si="23"/>
        <v>4.7838314619367948</v>
      </c>
      <c r="AH9" s="297">
        <f t="shared" si="13"/>
        <v>0.37959044714211904</v>
      </c>
      <c r="AI9" s="296">
        <f t="shared" si="24"/>
        <v>3.5369938892484827</v>
      </c>
      <c r="AL9" s="324">
        <v>1.25</v>
      </c>
      <c r="AM9" s="324">
        <v>-1.2</v>
      </c>
      <c r="AN9" s="324">
        <v>1.31</v>
      </c>
      <c r="AO9" s="573">
        <v>2.0499999999999998</v>
      </c>
      <c r="AP9" s="573">
        <v>2.6</v>
      </c>
      <c r="AQ9" s="324">
        <v>2.95</v>
      </c>
      <c r="AR9" s="324">
        <v>3.6</v>
      </c>
    </row>
    <row r="10" spans="1:45" ht="15" customHeight="1">
      <c r="A10" s="567">
        <v>1.4</v>
      </c>
      <c r="B10" s="577">
        <v>27</v>
      </c>
      <c r="C10" s="577">
        <v>31</v>
      </c>
      <c r="D10" s="567">
        <v>1.85</v>
      </c>
      <c r="E10" s="567">
        <v>0.26</v>
      </c>
      <c r="F10" s="569">
        <v>56</v>
      </c>
      <c r="G10" s="569">
        <v>36</v>
      </c>
      <c r="H10" s="141">
        <v>0.11899999999999999</v>
      </c>
      <c r="J10"/>
      <c r="K10" s="557">
        <v>1.4</v>
      </c>
      <c r="L10" s="557">
        <f t="shared" si="0"/>
        <v>2700</v>
      </c>
      <c r="M10" s="558">
        <f t="shared" si="14"/>
        <v>87.096774193548384</v>
      </c>
      <c r="N10" s="557">
        <f t="shared" si="15"/>
        <v>18.5</v>
      </c>
      <c r="O10" s="557">
        <f t="shared" si="16"/>
        <v>18.5</v>
      </c>
      <c r="P10" s="557">
        <f t="shared" si="17"/>
        <v>25.9</v>
      </c>
      <c r="Q10" s="557">
        <f t="shared" si="18"/>
        <v>25.9</v>
      </c>
      <c r="R10" s="564">
        <v>1</v>
      </c>
      <c r="S10" s="21">
        <f t="shared" si="3"/>
        <v>3.2570500053681006</v>
      </c>
      <c r="T10" s="475">
        <f t="shared" si="4"/>
        <v>0.71975507183994314</v>
      </c>
      <c r="U10" s="475">
        <f t="shared" si="21"/>
        <v>70.706300467699108</v>
      </c>
      <c r="V10" s="476">
        <f t="shared" si="19"/>
        <v>2.3725169114828022</v>
      </c>
      <c r="W10" s="475">
        <f t="shared" si="5"/>
        <v>71.391126458542161</v>
      </c>
      <c r="X10" s="296">
        <f t="shared" si="22"/>
        <v>2.2036599182002838</v>
      </c>
      <c r="Y10" s="296">
        <f t="shared" si="20"/>
        <v>157.32176389185713</v>
      </c>
      <c r="Z10" s="552">
        <f t="shared" si="6"/>
        <v>48.831116219811861</v>
      </c>
      <c r="AA10" s="11">
        <f t="shared" si="7"/>
        <v>0.75</v>
      </c>
      <c r="AB10" s="296">
        <f t="shared" si="8"/>
        <v>1</v>
      </c>
      <c r="AC10" s="297">
        <f t="shared" si="9"/>
        <v>0.98929</v>
      </c>
      <c r="AD10" s="297">
        <f t="shared" si="10"/>
        <v>0.13117985400000001</v>
      </c>
      <c r="AE10" s="297">
        <f t="shared" si="11"/>
        <v>0.10715435330939339</v>
      </c>
      <c r="AF10" s="297">
        <f t="shared" si="12"/>
        <v>0.44211738023992186</v>
      </c>
      <c r="AG10" s="553">
        <f t="shared" si="23"/>
        <v>4.1259861740135655</v>
      </c>
      <c r="AH10" s="297">
        <f t="shared" si="13"/>
        <v>0.30937377985838427</v>
      </c>
      <c r="AI10" s="296">
        <f t="shared" si="24"/>
        <v>2.8871788247847499</v>
      </c>
      <c r="AL10" s="324">
        <v>1.25</v>
      </c>
      <c r="AM10" s="324">
        <v>-1.4</v>
      </c>
      <c r="AN10" s="324">
        <v>1.31</v>
      </c>
      <c r="AO10" s="573">
        <v>2.0499999999999998</v>
      </c>
      <c r="AP10" s="573">
        <v>2.6</v>
      </c>
      <c r="AQ10" s="324">
        <v>2.95</v>
      </c>
      <c r="AR10" s="324">
        <v>3.6</v>
      </c>
    </row>
    <row r="11" spans="1:45" ht="15" customHeight="1">
      <c r="A11" s="567">
        <v>1.6</v>
      </c>
      <c r="B11" s="577">
        <v>31</v>
      </c>
      <c r="C11" s="577">
        <v>36</v>
      </c>
      <c r="D11" s="567">
        <v>1.85</v>
      </c>
      <c r="E11" s="567">
        <v>0.3</v>
      </c>
      <c r="F11" s="569">
        <v>46</v>
      </c>
      <c r="G11" s="569">
        <v>34</v>
      </c>
      <c r="H11" s="141">
        <v>9.5000000000000001E-2</v>
      </c>
      <c r="J11"/>
      <c r="K11" s="557">
        <v>1.6</v>
      </c>
      <c r="L11" s="557">
        <f t="shared" si="0"/>
        <v>3100</v>
      </c>
      <c r="M11" s="558">
        <f t="shared" si="14"/>
        <v>86.111111111111114</v>
      </c>
      <c r="N11" s="557">
        <f t="shared" si="15"/>
        <v>18.5</v>
      </c>
      <c r="O11" s="557">
        <f t="shared" si="16"/>
        <v>18.5</v>
      </c>
      <c r="P11" s="557">
        <f t="shared" si="17"/>
        <v>29.6</v>
      </c>
      <c r="Q11" s="557">
        <f t="shared" si="18"/>
        <v>29.6</v>
      </c>
      <c r="R11" s="565" t="s">
        <v>536</v>
      </c>
      <c r="S11" s="21">
        <f t="shared" si="3"/>
        <v>2.8045567714666206</v>
      </c>
      <c r="T11" s="475">
        <f t="shared" si="4"/>
        <v>0.70361466110284376</v>
      </c>
      <c r="U11" s="475">
        <f t="shared" si="21"/>
        <v>72.310582652703232</v>
      </c>
      <c r="V11" s="476">
        <f t="shared" si="19"/>
        <v>2.3187155395724548</v>
      </c>
      <c r="W11" s="475">
        <f t="shared" si="5"/>
        <v>73.007688321840817</v>
      </c>
      <c r="X11" s="296">
        <f t="shared" si="22"/>
        <v>2.0102418739702621</v>
      </c>
      <c r="Y11" s="296">
        <f t="shared" si="20"/>
        <v>146.7631121863341</v>
      </c>
      <c r="Z11" s="552">
        <f t="shared" si="6"/>
        <v>50.877245328117027</v>
      </c>
      <c r="AA11" s="11">
        <f t="shared" si="7"/>
        <v>0.75</v>
      </c>
      <c r="AB11" s="296">
        <f t="shared" si="8"/>
        <v>1</v>
      </c>
      <c r="AC11" s="297">
        <f t="shared" si="9"/>
        <v>0.98775999999999997</v>
      </c>
      <c r="AD11" s="297">
        <f t="shared" si="10"/>
        <v>0.13097697599999997</v>
      </c>
      <c r="AE11" s="297">
        <f t="shared" si="11"/>
        <v>0.10698863227656843</v>
      </c>
      <c r="AF11" s="297">
        <f t="shared" si="12"/>
        <v>0.37399076369695267</v>
      </c>
      <c r="AG11" s="553">
        <f t="shared" si="23"/>
        <v>3.4956121574689982</v>
      </c>
      <c r="AH11" s="297">
        <f t="shared" si="13"/>
        <v>0.25737564037683197</v>
      </c>
      <c r="AI11" s="296">
        <f t="shared" si="24"/>
        <v>2.405635392286436</v>
      </c>
      <c r="AL11" s="324">
        <v>1.25</v>
      </c>
      <c r="AM11" s="324">
        <v>-1.6</v>
      </c>
      <c r="AN11" s="324">
        <v>1.31</v>
      </c>
      <c r="AO11" s="573">
        <v>2.0499999999999998</v>
      </c>
      <c r="AP11" s="573">
        <v>2.6</v>
      </c>
      <c r="AQ11" s="324">
        <v>2.95</v>
      </c>
      <c r="AR11" s="324">
        <v>3.6</v>
      </c>
    </row>
    <row r="12" spans="1:45" ht="15" customHeight="1">
      <c r="A12" s="567">
        <v>1.8</v>
      </c>
      <c r="B12" s="577">
        <v>31</v>
      </c>
      <c r="C12" s="577">
        <v>29</v>
      </c>
      <c r="D12" s="567">
        <v>0.85</v>
      </c>
      <c r="E12" s="567">
        <v>0.31</v>
      </c>
      <c r="F12" s="569">
        <v>18</v>
      </c>
      <c r="G12" s="569">
        <v>30</v>
      </c>
      <c r="H12" s="141">
        <v>3.4000000000000002E-2</v>
      </c>
      <c r="J12"/>
      <c r="K12" s="557">
        <v>1.8</v>
      </c>
      <c r="L12" s="557">
        <f t="shared" si="0"/>
        <v>3100</v>
      </c>
      <c r="M12" s="558">
        <f t="shared" si="14"/>
        <v>106.89655172413794</v>
      </c>
      <c r="N12" s="557">
        <f t="shared" si="15"/>
        <v>18.5</v>
      </c>
      <c r="O12" s="557">
        <f t="shared" si="16"/>
        <v>18.5</v>
      </c>
      <c r="P12" s="557">
        <f t="shared" si="17"/>
        <v>33.300000000000004</v>
      </c>
      <c r="Q12" s="557">
        <f t="shared" si="18"/>
        <v>33.300000000000004</v>
      </c>
      <c r="R12" s="563" t="s">
        <v>176</v>
      </c>
      <c r="S12" s="21">
        <f t="shared" si="3"/>
        <v>3.4857192331867459</v>
      </c>
      <c r="T12" s="475">
        <f t="shared" si="4"/>
        <v>0.72919967620921555</v>
      </c>
      <c r="U12" s="475">
        <f t="shared" si="21"/>
        <v>68.376175160316208</v>
      </c>
      <c r="V12" s="476">
        <f t="shared" si="19"/>
        <v>2.4039989214661817</v>
      </c>
      <c r="W12" s="475">
        <f t="shared" si="5"/>
        <v>69.118643165937414</v>
      </c>
      <c r="X12" s="296">
        <f t="shared" si="22"/>
        <v>2.3287664438849696</v>
      </c>
      <c r="Y12" s="296">
        <f t="shared" si="20"/>
        <v>160.96117685169423</v>
      </c>
      <c r="Z12" s="552">
        <f t="shared" si="6"/>
        <v>49.18921208735344</v>
      </c>
      <c r="AA12" s="11">
        <f t="shared" si="7"/>
        <v>0.75</v>
      </c>
      <c r="AB12" s="296">
        <f t="shared" si="8"/>
        <v>1</v>
      </c>
      <c r="AC12" s="297">
        <f t="shared" si="9"/>
        <v>0.98623000000000005</v>
      </c>
      <c r="AD12" s="297">
        <f t="shared" si="10"/>
        <v>0.13077409800000001</v>
      </c>
      <c r="AE12" s="297">
        <f t="shared" si="11"/>
        <v>0.10682291124374353</v>
      </c>
      <c r="AF12" s="297">
        <f t="shared" si="12"/>
        <v>0.46783443328133156</v>
      </c>
      <c r="AG12" s="553">
        <f t="shared" si="23"/>
        <v>4.3795327035587786</v>
      </c>
      <c r="AH12" s="297">
        <f t="shared" si="13"/>
        <v>0.33251372618955294</v>
      </c>
      <c r="AI12" s="296">
        <f t="shared" si="24"/>
        <v>3.1127566391711476</v>
      </c>
      <c r="AL12" s="324">
        <v>1.25</v>
      </c>
      <c r="AM12" s="324">
        <v>-1.8</v>
      </c>
      <c r="AN12" s="324">
        <v>1.31</v>
      </c>
      <c r="AO12" s="573">
        <v>2.0499999999999998</v>
      </c>
      <c r="AP12" s="573">
        <v>2.6</v>
      </c>
      <c r="AQ12" s="324">
        <v>2.95</v>
      </c>
      <c r="AR12" s="324">
        <v>3.6</v>
      </c>
    </row>
    <row r="13" spans="1:45" ht="15" customHeight="1">
      <c r="A13" s="527" t="s">
        <v>184</v>
      </c>
      <c r="B13" s="577">
        <v>28</v>
      </c>
      <c r="C13" s="577">
        <v>38</v>
      </c>
      <c r="D13" s="567">
        <v>0.96</v>
      </c>
      <c r="E13" s="567">
        <v>0.33</v>
      </c>
      <c r="F13" s="569">
        <v>89</v>
      </c>
      <c r="G13" s="569">
        <v>41</v>
      </c>
      <c r="H13" s="141">
        <v>0.221</v>
      </c>
      <c r="J13"/>
      <c r="K13" s="557">
        <v>2</v>
      </c>
      <c r="L13" s="557">
        <f t="shared" si="0"/>
        <v>2800</v>
      </c>
      <c r="M13" s="558">
        <f t="shared" si="14"/>
        <v>73.684210526315795</v>
      </c>
      <c r="N13" s="557">
        <f t="shared" si="15"/>
        <v>18.5</v>
      </c>
      <c r="O13" s="557">
        <f t="shared" si="16"/>
        <v>18.5</v>
      </c>
      <c r="P13" s="557">
        <f t="shared" si="17"/>
        <v>37</v>
      </c>
      <c r="Q13" s="557">
        <f t="shared" si="18"/>
        <v>37</v>
      </c>
      <c r="R13" s="324">
        <v>7</v>
      </c>
      <c r="S13" s="21">
        <f t="shared" si="3"/>
        <v>2.6668190563270282</v>
      </c>
      <c r="T13" s="475">
        <f t="shared" si="4"/>
        <v>0.72156791401169962</v>
      </c>
      <c r="U13" s="475">
        <f t="shared" si="21"/>
        <v>56.617757786501592</v>
      </c>
      <c r="V13" s="476">
        <f t="shared" si="19"/>
        <v>2.3785597139183956</v>
      </c>
      <c r="W13" s="475">
        <f t="shared" si="5"/>
        <v>57.375939848789166</v>
      </c>
      <c r="X13" s="296">
        <f t="shared" si="22"/>
        <v>2.2269743138284177</v>
      </c>
      <c r="Y13" s="296">
        <f t="shared" si="20"/>
        <v>127.77474427501782</v>
      </c>
      <c r="Z13" s="552">
        <f t="shared" si="6"/>
        <v>44.761773174375605</v>
      </c>
      <c r="AA13" s="11">
        <f t="shared" si="7"/>
        <v>0.75</v>
      </c>
      <c r="AB13" s="296">
        <f t="shared" si="8"/>
        <v>1</v>
      </c>
      <c r="AC13" s="297">
        <f t="shared" si="9"/>
        <v>0.98470000000000002</v>
      </c>
      <c r="AD13" s="297">
        <f t="shared" si="10"/>
        <v>0.13057121999999999</v>
      </c>
      <c r="AE13" s="297">
        <f t="shared" si="11"/>
        <v>0.1066571902109186</v>
      </c>
      <c r="AF13" s="297">
        <f t="shared" si="12"/>
        <v>0.27400727241532191</v>
      </c>
      <c r="AG13" s="553">
        <f t="shared" si="23"/>
        <v>2.5690464175313661</v>
      </c>
      <c r="AH13" s="297">
        <f t="shared" si="13"/>
        <v>0.19738038262799995</v>
      </c>
      <c r="AI13" s="296">
        <f t="shared" si="24"/>
        <v>1.8506054982104143</v>
      </c>
      <c r="AL13" s="324">
        <v>1.25</v>
      </c>
      <c r="AM13" s="324">
        <v>-2</v>
      </c>
      <c r="AN13" s="324">
        <v>1.31</v>
      </c>
      <c r="AO13" s="573">
        <v>2.0499999999999998</v>
      </c>
      <c r="AP13" s="573">
        <v>2.6</v>
      </c>
      <c r="AQ13" s="324">
        <v>2.95</v>
      </c>
      <c r="AR13" s="324">
        <v>3.6</v>
      </c>
    </row>
    <row r="14" spans="1:45" ht="15" customHeight="1">
      <c r="A14" s="567">
        <v>2.2000000000000002</v>
      </c>
      <c r="B14" s="577">
        <v>35</v>
      </c>
      <c r="C14" s="577">
        <v>33</v>
      </c>
      <c r="D14" s="567">
        <v>0.87</v>
      </c>
      <c r="E14" s="567">
        <v>0.35</v>
      </c>
      <c r="F14" s="569">
        <v>22</v>
      </c>
      <c r="G14" s="569">
        <v>31</v>
      </c>
      <c r="H14" s="141">
        <v>4.1000000000000002E-2</v>
      </c>
      <c r="J14"/>
      <c r="K14" s="557">
        <v>2.2000000000000002</v>
      </c>
      <c r="L14" s="557">
        <f t="shared" si="0"/>
        <v>3500</v>
      </c>
      <c r="M14" s="558">
        <f t="shared" si="14"/>
        <v>106.06060606060606</v>
      </c>
      <c r="N14" s="557">
        <f t="shared" si="15"/>
        <v>18.5</v>
      </c>
      <c r="O14" s="557">
        <f t="shared" si="16"/>
        <v>18.5</v>
      </c>
      <c r="P14" s="557">
        <f t="shared" si="17"/>
        <v>40.700000000000003</v>
      </c>
      <c r="Q14" s="557">
        <f t="shared" si="18"/>
        <v>40.700000000000003</v>
      </c>
      <c r="R14" s="554" t="s">
        <v>610</v>
      </c>
      <c r="S14" s="21">
        <f t="shared" si="3"/>
        <v>3.0659557153356478</v>
      </c>
      <c r="T14" s="475">
        <f t="shared" si="4"/>
        <v>0.72011051829465966</v>
      </c>
      <c r="U14" s="475">
        <f t="shared" si="21"/>
        <v>66.088120220296517</v>
      </c>
      <c r="V14" s="476">
        <f t="shared" si="19"/>
        <v>2.3737017278046841</v>
      </c>
      <c r="W14" s="475">
        <f t="shared" si="5"/>
        <v>66.865672468718472</v>
      </c>
      <c r="X14" s="296">
        <f t="shared" si="22"/>
        <v>2.2082053137960393</v>
      </c>
      <c r="Y14" s="296">
        <f t="shared" si="20"/>
        <v>147.65313325596966</v>
      </c>
      <c r="Z14" s="552">
        <f t="shared" si="6"/>
        <v>49.791875422685933</v>
      </c>
      <c r="AA14" s="11">
        <f t="shared" si="7"/>
        <v>0.75</v>
      </c>
      <c r="AB14" s="296">
        <f t="shared" si="8"/>
        <v>1</v>
      </c>
      <c r="AC14" s="297">
        <f t="shared" si="9"/>
        <v>0.98316999999999999</v>
      </c>
      <c r="AD14" s="297">
        <f t="shared" si="10"/>
        <v>0.130368342</v>
      </c>
      <c r="AE14" s="297">
        <f t="shared" si="11"/>
        <v>0.10649146917809368</v>
      </c>
      <c r="AF14" s="297">
        <f t="shared" si="12"/>
        <v>0.37937184263326174</v>
      </c>
      <c r="AG14" s="553">
        <f t="shared" si="23"/>
        <v>3.562462285113277</v>
      </c>
      <c r="AH14" s="297">
        <f t="shared" si="13"/>
        <v>0.26107035714605092</v>
      </c>
      <c r="AI14" s="296">
        <f t="shared" si="24"/>
        <v>2.4515612298431471</v>
      </c>
      <c r="AL14" s="324">
        <v>1.25</v>
      </c>
      <c r="AM14" s="324">
        <v>-2.2000000000000002</v>
      </c>
      <c r="AN14" s="324">
        <v>1.31</v>
      </c>
      <c r="AO14" s="573">
        <v>2.0499999999999998</v>
      </c>
      <c r="AP14" s="573">
        <v>2.6</v>
      </c>
      <c r="AQ14" s="324">
        <v>2.95</v>
      </c>
      <c r="AR14" s="324">
        <v>3.6</v>
      </c>
    </row>
    <row r="15" spans="1:45" ht="15" customHeight="1">
      <c r="A15" s="567">
        <v>2.4</v>
      </c>
      <c r="B15" s="577">
        <v>32</v>
      </c>
      <c r="C15" s="577">
        <v>48</v>
      </c>
      <c r="D15" s="567">
        <v>0.82</v>
      </c>
      <c r="E15" s="567">
        <v>0.37</v>
      </c>
      <c r="F15" s="568" t="s">
        <v>178</v>
      </c>
      <c r="G15" s="569">
        <v>28</v>
      </c>
      <c r="H15" s="568" t="s">
        <v>178</v>
      </c>
      <c r="J15"/>
      <c r="K15" s="557">
        <v>2.4</v>
      </c>
      <c r="L15" s="557">
        <f t="shared" si="0"/>
        <v>3200</v>
      </c>
      <c r="M15" s="558">
        <f t="shared" si="14"/>
        <v>66.666666666666671</v>
      </c>
      <c r="N15" s="557">
        <f t="shared" si="15"/>
        <v>18.5</v>
      </c>
      <c r="O15" s="557">
        <f t="shared" si="16"/>
        <v>18.5</v>
      </c>
      <c r="P15" s="557">
        <f t="shared" si="17"/>
        <v>44.4</v>
      </c>
      <c r="Q15" s="557">
        <f t="shared" si="18"/>
        <v>44.4</v>
      </c>
      <c r="R15" s="555" t="s">
        <v>176</v>
      </c>
      <c r="S15" s="21">
        <f t="shared" si="3"/>
        <v>2.1126463007563276</v>
      </c>
      <c r="T15" s="475">
        <f t="shared" si="4"/>
        <v>0.70230169170931589</v>
      </c>
      <c r="U15" s="475">
        <f t="shared" si="21"/>
        <v>55.81172992563998</v>
      </c>
      <c r="V15" s="476">
        <f t="shared" si="19"/>
        <v>2.3143389724877061</v>
      </c>
      <c r="W15" s="475">
        <f t="shared" si="5"/>
        <v>56.597013487782974</v>
      </c>
      <c r="X15" s="296">
        <f t="shared" si="22"/>
        <v>1.9955982350387096</v>
      </c>
      <c r="Y15" s="296">
        <f t="shared" si="20"/>
        <v>112.94490022468175</v>
      </c>
      <c r="Z15" s="552">
        <f t="shared" si="6"/>
        <v>45.976260555331351</v>
      </c>
      <c r="AA15" s="11">
        <f t="shared" si="7"/>
        <v>0.75</v>
      </c>
      <c r="AB15" s="296">
        <f t="shared" si="8"/>
        <v>1</v>
      </c>
      <c r="AC15" s="297">
        <f t="shared" si="9"/>
        <v>0.98163999999999996</v>
      </c>
      <c r="AD15" s="297">
        <f t="shared" si="10"/>
        <v>0.13016546400000001</v>
      </c>
      <c r="AE15" s="297">
        <f t="shared" si="11"/>
        <v>0.10632574814526877</v>
      </c>
      <c r="AF15" s="297">
        <f t="shared" si="12"/>
        <v>0.21399322094028961</v>
      </c>
      <c r="AG15" s="553">
        <f t="shared" si="23"/>
        <v>2.0126190003188968</v>
      </c>
      <c r="AH15" s="297">
        <f t="shared" si="13"/>
        <v>0.16535587599544094</v>
      </c>
      <c r="AI15" s="296">
        <f t="shared" si="24"/>
        <v>1.5551818715587271</v>
      </c>
      <c r="AL15" s="324">
        <v>1.25</v>
      </c>
      <c r="AM15" s="324">
        <v>-2.4</v>
      </c>
      <c r="AN15" s="324">
        <v>1.31</v>
      </c>
      <c r="AO15" s="573">
        <v>2.0499999999999998</v>
      </c>
      <c r="AP15" s="573">
        <v>2.6</v>
      </c>
      <c r="AQ15" s="324">
        <v>2.95</v>
      </c>
      <c r="AR15" s="324">
        <v>3.6</v>
      </c>
    </row>
    <row r="16" spans="1:45" ht="15" customHeight="1">
      <c r="A16" s="567">
        <v>2.6</v>
      </c>
      <c r="B16" s="577">
        <v>64</v>
      </c>
      <c r="C16" s="577">
        <v>48</v>
      </c>
      <c r="D16" s="567">
        <v>0.8</v>
      </c>
      <c r="E16" s="567">
        <v>0.38</v>
      </c>
      <c r="F16" s="568" t="s">
        <v>178</v>
      </c>
      <c r="G16" s="568" t="s">
        <v>178</v>
      </c>
      <c r="H16" s="568" t="s">
        <v>178</v>
      </c>
      <c r="J16"/>
      <c r="K16" s="557">
        <v>2.6</v>
      </c>
      <c r="L16" s="557">
        <f t="shared" si="0"/>
        <v>6400</v>
      </c>
      <c r="M16" s="558">
        <f t="shared" si="14"/>
        <v>133.33333333333334</v>
      </c>
      <c r="N16" s="557">
        <f t="shared" si="15"/>
        <v>18.5</v>
      </c>
      <c r="O16" s="557">
        <f t="shared" si="16"/>
        <v>18.5</v>
      </c>
      <c r="P16" s="557">
        <f t="shared" si="17"/>
        <v>48.1</v>
      </c>
      <c r="Q16" s="557">
        <f t="shared" si="18"/>
        <v>48.1</v>
      </c>
      <c r="R16" s="180">
        <f>(10^2.24)/($R$13^2.56)</f>
        <v>1.192748880379199</v>
      </c>
      <c r="S16" s="21">
        <f t="shared" si="3"/>
        <v>2.0991094528146439</v>
      </c>
      <c r="T16" s="475">
        <f t="shared" si="4"/>
        <v>0.64546424102101663</v>
      </c>
      <c r="U16" s="475">
        <f t="shared" si="21"/>
        <v>101.87500410990809</v>
      </c>
      <c r="V16" s="476">
        <f t="shared" si="19"/>
        <v>2.1248808034311804</v>
      </c>
      <c r="W16" s="475">
        <f t="shared" si="5"/>
        <v>102.64645638366659</v>
      </c>
      <c r="X16" s="296">
        <f t="shared" si="22"/>
        <v>1.5016466238795978</v>
      </c>
      <c r="Y16" s="296">
        <f t="shared" si="20"/>
        <v>154.13870468173732</v>
      </c>
      <c r="Z16" s="552">
        <f t="shared" si="6"/>
        <v>64.697090762600084</v>
      </c>
      <c r="AA16" s="11">
        <f t="shared" si="7"/>
        <v>0.75</v>
      </c>
      <c r="AB16" s="296">
        <f t="shared" si="8"/>
        <v>1</v>
      </c>
      <c r="AC16" s="297">
        <f t="shared" si="9"/>
        <v>0.98011000000000004</v>
      </c>
      <c r="AD16" s="297">
        <f t="shared" si="10"/>
        <v>0.12996258599999999</v>
      </c>
      <c r="AE16" s="297">
        <f t="shared" si="11"/>
        <v>0.10616002711244382</v>
      </c>
      <c r="AF16" s="297">
        <f t="shared" si="12"/>
        <v>0.42057915501531501</v>
      </c>
      <c r="AG16" s="553">
        <f t="shared" si="23"/>
        <v>3.9617468689023698</v>
      </c>
      <c r="AH16" s="297">
        <f t="shared" si="13"/>
        <v>0.29160388960873623</v>
      </c>
      <c r="AI16" s="296">
        <f t="shared" si="24"/>
        <v>2.7468332247115179</v>
      </c>
      <c r="AL16" s="324">
        <v>1.25</v>
      </c>
      <c r="AM16" s="324">
        <v>-2.6</v>
      </c>
      <c r="AN16" s="324">
        <v>1.31</v>
      </c>
      <c r="AO16" s="573">
        <v>2.0499999999999998</v>
      </c>
      <c r="AP16" s="573">
        <v>2.6</v>
      </c>
      <c r="AQ16" s="324">
        <v>2.95</v>
      </c>
      <c r="AR16" s="324">
        <v>3.6</v>
      </c>
    </row>
    <row r="17" spans="1:44" ht="15" customHeight="1">
      <c r="A17" s="567">
        <v>2.8</v>
      </c>
      <c r="B17" s="577">
        <v>60</v>
      </c>
      <c r="C17" s="577">
        <v>45</v>
      </c>
      <c r="D17" s="567">
        <v>0.86</v>
      </c>
      <c r="E17" s="567">
        <v>0.4</v>
      </c>
      <c r="F17" s="568" t="s">
        <v>178</v>
      </c>
      <c r="G17" s="568" t="s">
        <v>178</v>
      </c>
      <c r="H17" s="568" t="s">
        <v>178</v>
      </c>
      <c r="J17"/>
      <c r="K17" s="557">
        <v>2.8</v>
      </c>
      <c r="L17" s="557">
        <f t="shared" si="0"/>
        <v>6000</v>
      </c>
      <c r="M17" s="558">
        <f t="shared" si="14"/>
        <v>133.33333333333334</v>
      </c>
      <c r="N17" s="557">
        <f t="shared" si="15"/>
        <v>18.5</v>
      </c>
      <c r="O17" s="557">
        <f t="shared" si="16"/>
        <v>18.5</v>
      </c>
      <c r="P17" s="557">
        <f t="shared" si="17"/>
        <v>51.8</v>
      </c>
      <c r="Q17" s="557">
        <f t="shared" si="18"/>
        <v>51.8</v>
      </c>
      <c r="R17" s="554" t="s">
        <v>611</v>
      </c>
      <c r="S17" s="21">
        <f t="shared" si="3"/>
        <v>2.2415744819160981</v>
      </c>
      <c r="T17" s="475">
        <f t="shared" si="4"/>
        <v>0.66094566372513863</v>
      </c>
      <c r="U17" s="475">
        <f t="shared" si="21"/>
        <v>91.875151703966253</v>
      </c>
      <c r="V17" s="476">
        <f t="shared" si="19"/>
        <v>2.1764855457611922</v>
      </c>
      <c r="W17" s="475">
        <f t="shared" si="5"/>
        <v>92.675248011801472</v>
      </c>
      <c r="X17" s="296">
        <f t="shared" si="22"/>
        <v>1.6110810047485522</v>
      </c>
      <c r="Y17" s="296">
        <f t="shared" si="20"/>
        <v>149.30733168217438</v>
      </c>
      <c r="Z17" s="552">
        <f t="shared" si="6"/>
        <v>61.785100453727807</v>
      </c>
      <c r="AA17" s="11">
        <f t="shared" si="7"/>
        <v>0.75</v>
      </c>
      <c r="AB17" s="296">
        <f t="shared" si="8"/>
        <v>1</v>
      </c>
      <c r="AC17" s="297">
        <f t="shared" si="9"/>
        <v>0.97858000000000001</v>
      </c>
      <c r="AD17" s="297">
        <f t="shared" si="10"/>
        <v>0.129759708</v>
      </c>
      <c r="AE17" s="297">
        <f t="shared" si="11"/>
        <v>0.10599430607961891</v>
      </c>
      <c r="AF17" s="297">
        <f t="shared" si="12"/>
        <v>0.38954682291403059</v>
      </c>
      <c r="AG17" s="553">
        <f t="shared" si="23"/>
        <v>3.675167443630583</v>
      </c>
      <c r="AH17" s="297">
        <f t="shared" si="13"/>
        <v>0.268229289931044</v>
      </c>
      <c r="AI17" s="296">
        <f t="shared" si="24"/>
        <v>2.5306009336912902</v>
      </c>
      <c r="AL17" s="324">
        <v>1.25</v>
      </c>
      <c r="AM17" s="324">
        <v>-2.8</v>
      </c>
      <c r="AN17" s="324">
        <v>1.31</v>
      </c>
      <c r="AO17" s="573">
        <v>2.0499999999999998</v>
      </c>
      <c r="AP17" s="573">
        <v>2.6</v>
      </c>
      <c r="AQ17" s="324">
        <v>2.95</v>
      </c>
      <c r="AR17" s="324">
        <v>3.6</v>
      </c>
    </row>
    <row r="18" spans="1:44" ht="15" customHeight="1">
      <c r="A18" s="527" t="s">
        <v>186</v>
      </c>
      <c r="B18" s="577">
        <v>80</v>
      </c>
      <c r="C18" s="577">
        <v>46</v>
      </c>
      <c r="D18" s="567">
        <v>0.89</v>
      </c>
      <c r="E18" s="567">
        <v>0.42</v>
      </c>
      <c r="F18" s="569">
        <v>58</v>
      </c>
      <c r="G18" s="569">
        <v>36</v>
      </c>
      <c r="H18" s="141">
        <v>0.126</v>
      </c>
      <c r="J18"/>
      <c r="K18" s="557">
        <v>3</v>
      </c>
      <c r="L18" s="557">
        <f t="shared" si="0"/>
        <v>8000</v>
      </c>
      <c r="M18" s="558">
        <f t="shared" si="14"/>
        <v>173.91304347826087</v>
      </c>
      <c r="N18" s="557">
        <f t="shared" si="15"/>
        <v>18.5</v>
      </c>
      <c r="O18" s="557">
        <f t="shared" si="16"/>
        <v>18.5</v>
      </c>
      <c r="P18" s="557">
        <f t="shared" si="17"/>
        <v>55.5</v>
      </c>
      <c r="Q18" s="557">
        <f t="shared" si="18"/>
        <v>55.5</v>
      </c>
      <c r="R18" s="555" t="s">
        <v>176</v>
      </c>
      <c r="S18" s="21">
        <f t="shared" si="3"/>
        <v>2.1890999242024152</v>
      </c>
      <c r="T18" s="475">
        <f t="shared" si="4"/>
        <v>0.6382372916623108</v>
      </c>
      <c r="U18" s="475">
        <f t="shared" si="21"/>
        <v>115.68267520444047</v>
      </c>
      <c r="V18" s="476">
        <f t="shared" si="19"/>
        <v>2.1007909722108038</v>
      </c>
      <c r="W18" s="475">
        <f t="shared" si="5"/>
        <v>116.4908303399237</v>
      </c>
      <c r="X18" s="296">
        <f t="shared" si="22"/>
        <v>1.4561916557046111</v>
      </c>
      <c r="Y18" s="296">
        <f t="shared" si="20"/>
        <v>169.63297510709845</v>
      </c>
      <c r="Z18" s="552">
        <f t="shared" si="6"/>
        <v>69.042270698419969</v>
      </c>
      <c r="AA18" s="11">
        <f t="shared" si="7"/>
        <v>0.75</v>
      </c>
      <c r="AB18" s="296">
        <f t="shared" si="8"/>
        <v>1</v>
      </c>
      <c r="AC18" s="297">
        <f t="shared" si="9"/>
        <v>0.97704999999999997</v>
      </c>
      <c r="AD18" s="297">
        <f t="shared" si="10"/>
        <v>0.12955682999999998</v>
      </c>
      <c r="AE18" s="297">
        <f t="shared" si="11"/>
        <v>0.10582858504679396</v>
      </c>
      <c r="AF18" s="297">
        <f t="shared" si="12"/>
        <v>0.53395602615395099</v>
      </c>
      <c r="AG18" s="553">
        <f t="shared" si="23"/>
        <v>5.0454801594281262</v>
      </c>
      <c r="AH18" s="297">
        <f t="shared" si="13"/>
        <v>0.40380853129973954</v>
      </c>
      <c r="AI18" s="296">
        <f t="shared" si="24"/>
        <v>3.8156848749436509</v>
      </c>
      <c r="AL18" s="324">
        <v>1.25</v>
      </c>
      <c r="AM18" s="324">
        <v>-3</v>
      </c>
      <c r="AN18" s="324">
        <v>1.31</v>
      </c>
      <c r="AO18" s="573">
        <v>2.0499999999999998</v>
      </c>
      <c r="AP18" s="573">
        <v>2.6</v>
      </c>
      <c r="AQ18" s="324">
        <v>2.95</v>
      </c>
      <c r="AR18" s="324">
        <v>3.6</v>
      </c>
    </row>
    <row r="19" spans="1:44" ht="15" customHeight="1">
      <c r="A19" s="567">
        <v>3.2</v>
      </c>
      <c r="B19" s="577">
        <v>80</v>
      </c>
      <c r="C19" s="577">
        <v>43</v>
      </c>
      <c r="D19" s="567">
        <v>0.9</v>
      </c>
      <c r="E19" s="567">
        <v>0.43</v>
      </c>
      <c r="F19" s="569">
        <v>59</v>
      </c>
      <c r="G19" s="569">
        <v>36</v>
      </c>
      <c r="H19" s="141">
        <v>0.128</v>
      </c>
      <c r="J19"/>
      <c r="K19" s="557">
        <v>3.2</v>
      </c>
      <c r="L19" s="557">
        <f t="shared" si="0"/>
        <v>8000</v>
      </c>
      <c r="M19" s="558">
        <f t="shared" si="14"/>
        <v>186.04651162790697</v>
      </c>
      <c r="N19" s="557">
        <f t="shared" si="15"/>
        <v>18.5</v>
      </c>
      <c r="O19" s="557">
        <f t="shared" si="16"/>
        <v>18.5</v>
      </c>
      <c r="P19" s="557">
        <f t="shared" si="17"/>
        <v>59.2</v>
      </c>
      <c r="Q19" s="557">
        <f t="shared" si="18"/>
        <v>59.2</v>
      </c>
      <c r="R19" s="125">
        <f>($R$13/7.5)^(-3.3)</f>
        <v>1.2556790172954069</v>
      </c>
      <c r="S19" s="21">
        <f t="shared" si="3"/>
        <v>2.3429189959186347</v>
      </c>
      <c r="T19" s="475">
        <f t="shared" si="4"/>
        <v>0.64800056690001451</v>
      </c>
      <c r="U19" s="475">
        <f t="shared" si="21"/>
        <v>111.53211065950713</v>
      </c>
      <c r="V19" s="476">
        <f t="shared" si="19"/>
        <v>2.1333352230010676</v>
      </c>
      <c r="W19" s="475">
        <f t="shared" si="5"/>
        <v>112.36360130919516</v>
      </c>
      <c r="X19" s="296">
        <f t="shared" si="22"/>
        <v>1.5184233938446319</v>
      </c>
      <c r="Y19" s="296">
        <f t="shared" si="20"/>
        <v>170.61552084451324</v>
      </c>
      <c r="Z19" s="552">
        <f t="shared" si="6"/>
        <v>68.117322819611928</v>
      </c>
      <c r="AA19" s="11">
        <f t="shared" si="7"/>
        <v>0.75</v>
      </c>
      <c r="AB19" s="296">
        <f t="shared" si="8"/>
        <v>1</v>
      </c>
      <c r="AC19" s="297">
        <f t="shared" si="9"/>
        <v>0.97551999999999994</v>
      </c>
      <c r="AD19" s="297">
        <f t="shared" si="10"/>
        <v>0.12935395199999999</v>
      </c>
      <c r="AE19" s="297">
        <f t="shared" si="11"/>
        <v>0.10566286401396904</v>
      </c>
      <c r="AF19" s="297">
        <f t="shared" si="12"/>
        <v>0.54188999741909483</v>
      </c>
      <c r="AG19" s="553">
        <f t="shared" si="23"/>
        <v>5.1284810654711652</v>
      </c>
      <c r="AH19" s="297">
        <f t="shared" si="13"/>
        <v>0.41371855205368058</v>
      </c>
      <c r="AI19" s="296">
        <f t="shared" si="24"/>
        <v>3.9154584339014828</v>
      </c>
      <c r="AL19" s="324">
        <v>1.25</v>
      </c>
      <c r="AM19" s="324">
        <v>-3.2</v>
      </c>
      <c r="AN19" s="324">
        <v>1.31</v>
      </c>
      <c r="AO19" s="573">
        <v>2.0499999999999998</v>
      </c>
      <c r="AP19" s="573">
        <v>2.6</v>
      </c>
      <c r="AQ19" s="324">
        <v>2.95</v>
      </c>
      <c r="AR19" s="324">
        <v>3.6</v>
      </c>
    </row>
    <row r="20" spans="1:44" ht="15" customHeight="1">
      <c r="A20" s="567">
        <v>3.4</v>
      </c>
      <c r="B20" s="577">
        <v>52</v>
      </c>
      <c r="C20" s="577">
        <v>43</v>
      </c>
      <c r="D20" s="567">
        <v>0.92</v>
      </c>
      <c r="E20" s="567">
        <v>0.45</v>
      </c>
      <c r="F20" s="569">
        <v>69</v>
      </c>
      <c r="G20" s="569">
        <v>38</v>
      </c>
      <c r="H20" s="141">
        <v>0.156</v>
      </c>
      <c r="J20"/>
      <c r="K20" s="557">
        <v>3.4</v>
      </c>
      <c r="L20" s="557">
        <f t="shared" si="0"/>
        <v>5200</v>
      </c>
      <c r="M20" s="558">
        <f t="shared" si="14"/>
        <v>120.93023255813954</v>
      </c>
      <c r="N20" s="557">
        <f t="shared" si="15"/>
        <v>18.5</v>
      </c>
      <c r="O20" s="557">
        <f t="shared" si="16"/>
        <v>18.5</v>
      </c>
      <c r="P20" s="557">
        <f t="shared" si="17"/>
        <v>62.9</v>
      </c>
      <c r="Q20" s="557">
        <f t="shared" si="18"/>
        <v>62.9</v>
      </c>
      <c r="R20" s="554" t="s">
        <v>612</v>
      </c>
      <c r="S20" s="21">
        <f t="shared" si="3"/>
        <v>2.3540564240162647</v>
      </c>
      <c r="T20" s="475">
        <f t="shared" si="4"/>
        <v>0.68945409649677059</v>
      </c>
      <c r="U20" s="475">
        <f t="shared" si="21"/>
        <v>70.719496049059913</v>
      </c>
      <c r="V20" s="476">
        <f t="shared" si="19"/>
        <v>2.2715136549897834</v>
      </c>
      <c r="W20" s="475">
        <f t="shared" si="5"/>
        <v>71.585404110317398</v>
      </c>
      <c r="X20" s="296">
        <f t="shared" si="22"/>
        <v>1.860587908119026</v>
      </c>
      <c r="Y20" s="296">
        <f t="shared" si="20"/>
        <v>133.19093728547057</v>
      </c>
      <c r="Z20" s="552">
        <f t="shared" si="6"/>
        <v>54.900749380202882</v>
      </c>
      <c r="AA20" s="11">
        <f t="shared" si="7"/>
        <v>0.75</v>
      </c>
      <c r="AB20" s="296">
        <f t="shared" si="8"/>
        <v>1</v>
      </c>
      <c r="AC20" s="297">
        <f t="shared" si="9"/>
        <v>0.97399000000000002</v>
      </c>
      <c r="AD20" s="297">
        <f t="shared" si="10"/>
        <v>0.129151074</v>
      </c>
      <c r="AE20" s="297">
        <f t="shared" si="11"/>
        <v>0.10549714298114413</v>
      </c>
      <c r="AF20" s="297">
        <f t="shared" si="12"/>
        <v>0.29973891406932651</v>
      </c>
      <c r="AG20" s="553">
        <f t="shared" si="23"/>
        <v>2.8412040895069537</v>
      </c>
      <c r="AH20" s="297">
        <f t="shared" si="13"/>
        <v>0.21160497661713601</v>
      </c>
      <c r="AI20" s="296">
        <f t="shared" si="24"/>
        <v>2.005788693774929</v>
      </c>
      <c r="AL20" s="324">
        <v>1.25</v>
      </c>
      <c r="AM20" s="324">
        <v>-3.4</v>
      </c>
      <c r="AN20" s="324">
        <v>1.31</v>
      </c>
      <c r="AO20" s="573">
        <v>2.0499999999999998</v>
      </c>
      <c r="AP20" s="573">
        <v>2.6</v>
      </c>
      <c r="AQ20" s="324">
        <v>2.95</v>
      </c>
      <c r="AR20" s="324">
        <v>3.6</v>
      </c>
    </row>
    <row r="21" spans="1:44" ht="15" customHeight="1">
      <c r="A21" s="567">
        <v>3.6</v>
      </c>
      <c r="B21" s="577">
        <v>44</v>
      </c>
      <c r="C21" s="577">
        <v>37</v>
      </c>
      <c r="D21" s="567">
        <v>0.89</v>
      </c>
      <c r="E21" s="567">
        <v>0.47</v>
      </c>
      <c r="F21" s="569">
        <v>55</v>
      </c>
      <c r="G21" s="569">
        <v>36</v>
      </c>
      <c r="H21" s="141">
        <v>0.11799999999999999</v>
      </c>
      <c r="J21"/>
      <c r="K21" s="557">
        <v>3.6</v>
      </c>
      <c r="L21" s="557">
        <f t="shared" si="0"/>
        <v>4400</v>
      </c>
      <c r="M21" s="558">
        <f t="shared" si="14"/>
        <v>118.91891891891892</v>
      </c>
      <c r="N21" s="557">
        <f t="shared" si="15"/>
        <v>18.5</v>
      </c>
      <c r="O21" s="557">
        <f t="shared" si="16"/>
        <v>18.5</v>
      </c>
      <c r="P21" s="557">
        <f t="shared" si="17"/>
        <v>66.600000000000009</v>
      </c>
      <c r="Q21" s="557">
        <f t="shared" si="18"/>
        <v>66.600000000000009</v>
      </c>
      <c r="R21" s="555" t="s">
        <v>176</v>
      </c>
      <c r="S21" s="21">
        <f t="shared" si="3"/>
        <v>2.7442405251977413</v>
      </c>
      <c r="T21" s="475">
        <f t="shared" si="4"/>
        <v>0.72172327555267879</v>
      </c>
      <c r="U21" s="475">
        <f t="shared" si="21"/>
        <v>58.107412449621265</v>
      </c>
      <c r="V21" s="476">
        <f t="shared" si="19"/>
        <v>2.3790775851757529</v>
      </c>
      <c r="W21" s="475">
        <f t="shared" si="5"/>
        <v>59.000464941693266</v>
      </c>
      <c r="X21" s="296">
        <f t="shared" si="22"/>
        <v>2.2289876742563202</v>
      </c>
      <c r="Y21" s="296">
        <f t="shared" si="20"/>
        <v>131.51130913042644</v>
      </c>
      <c r="Z21" s="552">
        <f t="shared" si="6"/>
        <v>49.29322708546843</v>
      </c>
      <c r="AA21" s="11">
        <f t="shared" si="7"/>
        <v>0.75</v>
      </c>
      <c r="AB21" s="296">
        <f t="shared" si="8"/>
        <v>1</v>
      </c>
      <c r="AC21" s="297">
        <f t="shared" si="9"/>
        <v>0.97245999999999999</v>
      </c>
      <c r="AD21" s="297">
        <f t="shared" si="10"/>
        <v>0.12894819599999999</v>
      </c>
      <c r="AE21" s="297">
        <f t="shared" si="11"/>
        <v>0.10533142194831918</v>
      </c>
      <c r="AF21" s="297">
        <f t="shared" si="12"/>
        <v>0.29153013739412476</v>
      </c>
      <c r="AG21" s="553">
        <f t="shared" si="23"/>
        <v>2.7677414013945798</v>
      </c>
      <c r="AH21" s="297">
        <f t="shared" si="13"/>
        <v>0.20700388890219384</v>
      </c>
      <c r="AI21" s="296">
        <f t="shared" si="24"/>
        <v>1.9652624551461977</v>
      </c>
      <c r="AL21" s="324">
        <v>1.25</v>
      </c>
      <c r="AM21" s="324">
        <v>-3.6</v>
      </c>
      <c r="AN21" s="324">
        <v>1.31</v>
      </c>
      <c r="AO21" s="573">
        <v>2.0499999999999998</v>
      </c>
      <c r="AP21" s="573">
        <v>2.6</v>
      </c>
      <c r="AQ21" s="324">
        <v>2.95</v>
      </c>
      <c r="AR21" s="324">
        <v>3.6</v>
      </c>
    </row>
    <row r="22" spans="1:44" ht="15" customHeight="1">
      <c r="A22" s="567">
        <v>3.8</v>
      </c>
      <c r="B22" s="577">
        <v>29</v>
      </c>
      <c r="C22" s="577">
        <v>29</v>
      </c>
      <c r="D22" s="567">
        <v>0.88</v>
      </c>
      <c r="E22" s="567">
        <v>0.49</v>
      </c>
      <c r="F22" s="569">
        <v>50</v>
      </c>
      <c r="G22" s="569">
        <v>35</v>
      </c>
      <c r="H22" s="141">
        <v>0.105</v>
      </c>
      <c r="J22"/>
      <c r="K22" s="557">
        <v>3.8</v>
      </c>
      <c r="L22" s="557">
        <f t="shared" si="0"/>
        <v>2900</v>
      </c>
      <c r="M22" s="558">
        <f t="shared" si="14"/>
        <v>100</v>
      </c>
      <c r="N22" s="557">
        <f t="shared" si="15"/>
        <v>18.5</v>
      </c>
      <c r="O22" s="557">
        <f t="shared" si="16"/>
        <v>18.5</v>
      </c>
      <c r="P22" s="557">
        <f t="shared" si="17"/>
        <v>70.3</v>
      </c>
      <c r="Q22" s="557">
        <f t="shared" si="18"/>
        <v>70.3</v>
      </c>
      <c r="R22" s="297">
        <f>(R16+R19)/2</f>
        <v>1.2242139488373029</v>
      </c>
      <c r="S22" s="21">
        <f t="shared" si="3"/>
        <v>3.5339435275824296</v>
      </c>
      <c r="T22" s="475">
        <f t="shared" si="4"/>
        <v>0.78620372839764108</v>
      </c>
      <c r="U22" s="475">
        <f t="shared" si="21"/>
        <v>37.330575816403751</v>
      </c>
      <c r="V22" s="476">
        <f t="shared" si="19"/>
        <v>2.5940124279921766</v>
      </c>
      <c r="W22" s="475">
        <f t="shared" si="5"/>
        <v>38.258002568318517</v>
      </c>
      <c r="X22" s="296">
        <f t="shared" si="22"/>
        <v>3.2902531968199717</v>
      </c>
      <c r="Y22" s="296">
        <f t="shared" si="20"/>
        <v>125.87851525435669</v>
      </c>
      <c r="Z22" s="552">
        <f t="shared" si="6"/>
        <v>36.568742135676928</v>
      </c>
      <c r="AA22" s="11">
        <f t="shared" si="7"/>
        <v>1</v>
      </c>
      <c r="AB22" s="296">
        <f t="shared" si="8"/>
        <v>1</v>
      </c>
      <c r="AC22" s="297">
        <f t="shared" si="9"/>
        <v>0.97092999999999996</v>
      </c>
      <c r="AD22" s="297">
        <f t="shared" si="10"/>
        <v>0.12874531799999997</v>
      </c>
      <c r="AE22" s="297">
        <f t="shared" si="11"/>
        <v>0.10516570091549424</v>
      </c>
      <c r="AF22" s="297">
        <f t="shared" si="12"/>
        <v>0.26549738163680087</v>
      </c>
      <c r="AG22" s="553">
        <f t="shared" si="23"/>
        <v>2.5245624697556188</v>
      </c>
      <c r="AH22" s="297">
        <f t="shared" si="13"/>
        <v>0.19278462773084346</v>
      </c>
      <c r="AI22" s="296">
        <f t="shared" si="24"/>
        <v>1.8331511705109567</v>
      </c>
      <c r="AL22" s="324">
        <v>1.25</v>
      </c>
      <c r="AM22" s="324">
        <v>-3.8</v>
      </c>
      <c r="AN22" s="324">
        <v>1.31</v>
      </c>
      <c r="AO22" s="573">
        <v>2.0499999999999998</v>
      </c>
      <c r="AP22" s="573">
        <v>2.6</v>
      </c>
      <c r="AQ22" s="324">
        <v>2.95</v>
      </c>
      <c r="AR22" s="324">
        <v>3.6</v>
      </c>
    </row>
    <row r="23" spans="1:44" ht="15" customHeight="1">
      <c r="A23" s="527" t="s">
        <v>188</v>
      </c>
      <c r="B23" s="577">
        <v>29</v>
      </c>
      <c r="C23" s="577">
        <v>48</v>
      </c>
      <c r="D23" s="567">
        <v>0.89</v>
      </c>
      <c r="E23" s="567">
        <v>0.51</v>
      </c>
      <c r="F23" s="569">
        <v>54</v>
      </c>
      <c r="G23" s="569">
        <v>36</v>
      </c>
      <c r="H23" s="141">
        <v>0.115</v>
      </c>
      <c r="J23"/>
      <c r="K23" s="557">
        <v>4</v>
      </c>
      <c r="L23" s="557">
        <f t="shared" si="0"/>
        <v>2900</v>
      </c>
      <c r="M23" s="558">
        <f t="shared" si="14"/>
        <v>60.416666666666664</v>
      </c>
      <c r="N23" s="557">
        <f t="shared" si="15"/>
        <v>18.5</v>
      </c>
      <c r="O23" s="557">
        <f t="shared" si="16"/>
        <v>18.5</v>
      </c>
      <c r="P23" s="557">
        <f t="shared" si="17"/>
        <v>74</v>
      </c>
      <c r="Q23" s="557">
        <f t="shared" si="18"/>
        <v>74</v>
      </c>
      <c r="R23" s="554" t="s">
        <v>612</v>
      </c>
      <c r="S23" s="21">
        <f t="shared" si="3"/>
        <v>2.1378862939372492</v>
      </c>
      <c r="T23" s="475">
        <f t="shared" si="4"/>
        <v>0.7484895751270374</v>
      </c>
      <c r="U23" s="475">
        <f t="shared" si="21"/>
        <v>35.403879347486665</v>
      </c>
      <c r="V23" s="476">
        <f t="shared" si="19"/>
        <v>2.4682985837568112</v>
      </c>
      <c r="W23" s="475">
        <f t="shared" si="5"/>
        <v>36.330944836415895</v>
      </c>
      <c r="X23" s="296">
        <f t="shared" si="22"/>
        <v>2.613237864984395</v>
      </c>
      <c r="Y23" s="296">
        <f t="shared" si="20"/>
        <v>94.94140071718131</v>
      </c>
      <c r="Z23" s="552">
        <f t="shared" si="6"/>
        <v>35.833621110208895</v>
      </c>
      <c r="AA23" s="11">
        <f t="shared" si="7"/>
        <v>1</v>
      </c>
      <c r="AB23" s="296">
        <f t="shared" si="8"/>
        <v>1</v>
      </c>
      <c r="AC23" s="297">
        <f t="shared" si="9"/>
        <v>0.96940000000000004</v>
      </c>
      <c r="AD23" s="297">
        <f t="shared" si="10"/>
        <v>0.12854244000000001</v>
      </c>
      <c r="AE23" s="297">
        <f t="shared" si="11"/>
        <v>0.10499997988266935</v>
      </c>
      <c r="AF23" s="297">
        <f t="shared" si="12"/>
        <v>0.15958841446701288</v>
      </c>
      <c r="AG23" s="553">
        <f t="shared" si="23"/>
        <v>1.519889952791825</v>
      </c>
      <c r="AH23" s="297">
        <f t="shared" si="13"/>
        <v>0.13444616567392056</v>
      </c>
      <c r="AI23" s="296">
        <f t="shared" si="24"/>
        <v>1.2804399184090836</v>
      </c>
      <c r="AL23" s="324">
        <v>1.25</v>
      </c>
      <c r="AM23" s="324">
        <v>-4</v>
      </c>
      <c r="AN23" s="324">
        <v>1.31</v>
      </c>
      <c r="AO23" s="573">
        <v>2.0499999999999998</v>
      </c>
      <c r="AP23" s="573">
        <v>2.6</v>
      </c>
      <c r="AQ23" s="324">
        <v>2.95</v>
      </c>
      <c r="AR23" s="324">
        <v>3.6</v>
      </c>
    </row>
    <row r="24" spans="1:44" ht="15" customHeight="1">
      <c r="A24" s="567">
        <v>4.2</v>
      </c>
      <c r="B24" s="577">
        <v>35</v>
      </c>
      <c r="C24" s="577">
        <v>44</v>
      </c>
      <c r="D24" s="567">
        <v>0.86</v>
      </c>
      <c r="E24" s="567">
        <v>0.52</v>
      </c>
      <c r="F24" s="569">
        <v>36</v>
      </c>
      <c r="G24" s="569">
        <v>33</v>
      </c>
      <c r="H24" s="141">
        <v>7.0000000000000007E-2</v>
      </c>
      <c r="J24"/>
      <c r="K24" s="557">
        <v>4.2</v>
      </c>
      <c r="L24" s="557">
        <f t="shared" si="0"/>
        <v>3500</v>
      </c>
      <c r="M24" s="558">
        <f t="shared" si="14"/>
        <v>79.545454545454547</v>
      </c>
      <c r="N24" s="557">
        <f t="shared" si="15"/>
        <v>18.5</v>
      </c>
      <c r="O24" s="557">
        <f t="shared" si="16"/>
        <v>18.5</v>
      </c>
      <c r="P24" s="557">
        <f t="shared" si="17"/>
        <v>77.7</v>
      </c>
      <c r="Q24" s="557">
        <f t="shared" si="18"/>
        <v>77.7</v>
      </c>
      <c r="R24" s="555" t="s">
        <v>176</v>
      </c>
      <c r="S24" s="21">
        <f t="shared" si="3"/>
        <v>2.3243273396678998</v>
      </c>
      <c r="T24" s="475">
        <f t="shared" si="4"/>
        <v>0.74013529891910945</v>
      </c>
      <c r="U24" s="475">
        <f t="shared" si="21"/>
        <v>41.24975270628881</v>
      </c>
      <c r="V24" s="476">
        <f t="shared" si="19"/>
        <v>2.4404509963970349</v>
      </c>
      <c r="W24" s="475">
        <f t="shared" si="5"/>
        <v>42.186288306697492</v>
      </c>
      <c r="X24" s="296">
        <f t="shared" si="22"/>
        <v>2.4851484836232878</v>
      </c>
      <c r="Y24" s="296">
        <f t="shared" si="20"/>
        <v>104.8391904150841</v>
      </c>
      <c r="Z24" s="552">
        <f t="shared" si="6"/>
        <v>40.524597306688008</v>
      </c>
      <c r="AA24" s="11">
        <f t="shared" si="7"/>
        <v>0.75</v>
      </c>
      <c r="AB24" s="296">
        <f t="shared" si="8"/>
        <v>1</v>
      </c>
      <c r="AC24" s="297">
        <f t="shared" si="9"/>
        <v>0.96787000000000001</v>
      </c>
      <c r="AD24" s="297">
        <f t="shared" si="10"/>
        <v>0.12833956199999999</v>
      </c>
      <c r="AE24" s="297">
        <f t="shared" si="11"/>
        <v>0.1048342588498444</v>
      </c>
      <c r="AF24" s="297">
        <f t="shared" si="12"/>
        <v>0.18716523591087222</v>
      </c>
      <c r="AG24" s="553">
        <f t="shared" si="23"/>
        <v>1.7853441991606165</v>
      </c>
      <c r="AH24" s="297">
        <f t="shared" si="13"/>
        <v>0.1506641245204981</v>
      </c>
      <c r="AI24" s="296">
        <f t="shared" si="24"/>
        <v>1.4371649704348697</v>
      </c>
      <c r="AL24" s="324">
        <v>1.25</v>
      </c>
      <c r="AM24" s="324">
        <v>-4.2</v>
      </c>
      <c r="AN24" s="324">
        <v>1.31</v>
      </c>
      <c r="AO24" s="573">
        <v>2.0499999999999998</v>
      </c>
      <c r="AP24" s="573">
        <v>2.6</v>
      </c>
      <c r="AQ24" s="324">
        <v>2.95</v>
      </c>
      <c r="AR24" s="324">
        <v>3.6</v>
      </c>
    </row>
    <row r="25" spans="1:44" ht="15" customHeight="1">
      <c r="A25" s="567">
        <v>4.4000000000000004</v>
      </c>
      <c r="B25" s="577">
        <v>31</v>
      </c>
      <c r="C25" s="577">
        <v>58</v>
      </c>
      <c r="D25" s="567">
        <v>0.87</v>
      </c>
      <c r="E25" s="567">
        <v>0.54</v>
      </c>
      <c r="F25" s="569">
        <v>41</v>
      </c>
      <c r="G25" s="569">
        <v>34</v>
      </c>
      <c r="H25" s="141">
        <v>8.1000000000000003E-2</v>
      </c>
      <c r="J25"/>
      <c r="K25" s="557">
        <v>4.4000000000000004</v>
      </c>
      <c r="L25" s="557">
        <f t="shared" si="0"/>
        <v>3100</v>
      </c>
      <c r="M25" s="558">
        <f t="shared" si="14"/>
        <v>53.448275862068968</v>
      </c>
      <c r="N25" s="557">
        <f t="shared" si="15"/>
        <v>18.5</v>
      </c>
      <c r="O25" s="557">
        <f t="shared" si="16"/>
        <v>18.5</v>
      </c>
      <c r="P25" s="557">
        <f t="shared" si="17"/>
        <v>81.400000000000006</v>
      </c>
      <c r="Q25" s="557">
        <f t="shared" si="18"/>
        <v>81.400000000000006</v>
      </c>
      <c r="R25" s="297">
        <f>6.9*EXP(-R13/4)-0.058</f>
        <v>1.1410402098080714</v>
      </c>
      <c r="S25" s="21">
        <f t="shared" si="3"/>
        <v>1.770631281457264</v>
      </c>
      <c r="T25" s="475">
        <f t="shared" si="4"/>
        <v>0.7341855314210306</v>
      </c>
      <c r="U25" s="475">
        <f t="shared" si="21"/>
        <v>35.109434667072996</v>
      </c>
      <c r="V25" s="476">
        <f t="shared" si="19"/>
        <v>2.420618438070103</v>
      </c>
      <c r="W25" s="475">
        <f t="shared" si="5"/>
        <v>36.056200711563733</v>
      </c>
      <c r="X25" s="296">
        <f t="shared" si="22"/>
        <v>2.3985044643318609</v>
      </c>
      <c r="Y25" s="296">
        <f t="shared" si="20"/>
        <v>86.480958373531237</v>
      </c>
      <c r="Z25" s="552">
        <f t="shared" si="6"/>
        <v>36.379266431718349</v>
      </c>
      <c r="AA25" s="11">
        <f t="shared" si="7"/>
        <v>1</v>
      </c>
      <c r="AB25" s="296">
        <f t="shared" si="8"/>
        <v>1</v>
      </c>
      <c r="AC25" s="297">
        <f t="shared" si="9"/>
        <v>0.96633999999999998</v>
      </c>
      <c r="AD25" s="297">
        <f t="shared" si="10"/>
        <v>0.128136684</v>
      </c>
      <c r="AE25" s="297">
        <f t="shared" si="11"/>
        <v>0.10466853781701949</v>
      </c>
      <c r="AF25" s="297">
        <f t="shared" si="12"/>
        <v>0.14015121857027651</v>
      </c>
      <c r="AG25" s="553">
        <f t="shared" si="23"/>
        <v>1.3390004436222038</v>
      </c>
      <c r="AH25" s="297">
        <f t="shared" si="13"/>
        <v>0.12174034431793519</v>
      </c>
      <c r="AI25" s="296">
        <f t="shared" si="24"/>
        <v>1.1631035156979117</v>
      </c>
      <c r="AL25" s="324">
        <v>1.25</v>
      </c>
      <c r="AM25" s="324">
        <v>-4.4000000000000004</v>
      </c>
      <c r="AN25" s="324">
        <v>1.31</v>
      </c>
      <c r="AO25" s="573">
        <v>2.0499999999999998</v>
      </c>
      <c r="AP25" s="573">
        <v>2.6</v>
      </c>
      <c r="AQ25" s="324">
        <v>2.95</v>
      </c>
      <c r="AR25" s="324">
        <v>3.6</v>
      </c>
    </row>
    <row r="26" spans="1:44" ht="15" customHeight="1">
      <c r="A26" s="567">
        <v>4.5999999999999996</v>
      </c>
      <c r="B26" s="577">
        <v>28</v>
      </c>
      <c r="C26" s="577">
        <v>42</v>
      </c>
      <c r="D26" s="567">
        <v>0.87</v>
      </c>
      <c r="E26" s="567">
        <v>0.56000000000000005</v>
      </c>
      <c r="F26" s="569">
        <v>41</v>
      </c>
      <c r="G26" s="569">
        <v>34</v>
      </c>
      <c r="H26" s="141">
        <v>8.3000000000000004E-2</v>
      </c>
      <c r="J26"/>
      <c r="K26" s="557">
        <v>4.5999999999999996</v>
      </c>
      <c r="L26" s="557">
        <f t="shared" si="0"/>
        <v>2800</v>
      </c>
      <c r="M26" s="558">
        <f t="shared" si="14"/>
        <v>66.666666666666671</v>
      </c>
      <c r="N26" s="557">
        <f t="shared" si="15"/>
        <v>18.5</v>
      </c>
      <c r="O26" s="557">
        <f t="shared" si="16"/>
        <v>18.5</v>
      </c>
      <c r="P26" s="557">
        <f t="shared" si="17"/>
        <v>85.1</v>
      </c>
      <c r="Q26" s="557">
        <f t="shared" si="18"/>
        <v>85.1</v>
      </c>
      <c r="R26" s="573"/>
      <c r="S26" s="21">
        <f t="shared" si="3"/>
        <v>2.4555846133068133</v>
      </c>
      <c r="T26" s="475">
        <f t="shared" si="4"/>
        <v>0.77408426436220101</v>
      </c>
      <c r="U26" s="475">
        <f t="shared" si="21"/>
        <v>30.760561761035177</v>
      </c>
      <c r="V26" s="476">
        <f t="shared" si="19"/>
        <v>2.5536142145406702</v>
      </c>
      <c r="W26" s="475">
        <f t="shared" si="5"/>
        <v>31.724768105970199</v>
      </c>
      <c r="X26" s="296">
        <f t="shared" si="22"/>
        <v>3.0544630576603247</v>
      </c>
      <c r="Y26" s="296">
        <f t="shared" si="20"/>
        <v>96.90213219252648</v>
      </c>
      <c r="Z26" s="552">
        <f t="shared" si="6"/>
        <v>32.824754585795063</v>
      </c>
      <c r="AA26" s="11">
        <f t="shared" si="7"/>
        <v>1</v>
      </c>
      <c r="AB26" s="296">
        <f t="shared" si="8"/>
        <v>1</v>
      </c>
      <c r="AC26" s="297">
        <f t="shared" si="9"/>
        <v>0.96480999999999995</v>
      </c>
      <c r="AD26" s="297">
        <f t="shared" si="10"/>
        <v>0.12793380600000001</v>
      </c>
      <c r="AE26" s="297">
        <f t="shared" si="11"/>
        <v>0.10450281678419457</v>
      </c>
      <c r="AF26" s="297">
        <f t="shared" si="12"/>
        <v>0.16462193426720803</v>
      </c>
      <c r="AG26" s="553">
        <f t="shared" si="23"/>
        <v>1.5752870528568004</v>
      </c>
      <c r="AH26" s="297">
        <f t="shared" si="13"/>
        <v>0.1375333715083468</v>
      </c>
      <c r="AI26" s="296">
        <f t="shared" si="24"/>
        <v>1.3160733436722818</v>
      </c>
      <c r="AL26" s="324">
        <v>1.25</v>
      </c>
      <c r="AM26" s="324">
        <v>-4.5999999999999996</v>
      </c>
      <c r="AN26" s="324">
        <v>1.31</v>
      </c>
      <c r="AO26" s="573">
        <v>2.0499999999999998</v>
      </c>
      <c r="AP26" s="573">
        <v>2.6</v>
      </c>
      <c r="AQ26" s="324">
        <v>2.95</v>
      </c>
      <c r="AR26" s="324">
        <v>3.6</v>
      </c>
    </row>
    <row r="27" spans="1:44" ht="15" customHeight="1">
      <c r="A27" s="567">
        <v>4.8</v>
      </c>
      <c r="B27" s="577">
        <v>31</v>
      </c>
      <c r="C27" s="577">
        <v>77</v>
      </c>
      <c r="D27" s="567">
        <v>0.87</v>
      </c>
      <c r="E27" s="567">
        <v>0.57999999999999996</v>
      </c>
      <c r="F27" s="569">
        <v>42</v>
      </c>
      <c r="G27" s="569">
        <v>34</v>
      </c>
      <c r="H27" s="141">
        <v>8.4000000000000005E-2</v>
      </c>
      <c r="J27"/>
      <c r="K27" s="557">
        <v>4.8</v>
      </c>
      <c r="L27" s="557">
        <f t="shared" si="0"/>
        <v>3100</v>
      </c>
      <c r="M27" s="558">
        <f t="shared" si="14"/>
        <v>40.259740259740262</v>
      </c>
      <c r="N27" s="557">
        <f t="shared" si="15"/>
        <v>18.5</v>
      </c>
      <c r="O27" s="557">
        <f t="shared" si="16"/>
        <v>18.5</v>
      </c>
      <c r="P27" s="557">
        <f t="shared" si="17"/>
        <v>88.8</v>
      </c>
      <c r="Q27" s="557">
        <f t="shared" si="18"/>
        <v>88.8</v>
      </c>
      <c r="R27" s="573"/>
      <c r="S27" s="21">
        <f t="shared" si="3"/>
        <v>1.3369998757883987</v>
      </c>
      <c r="T27" s="475">
        <f t="shared" si="4"/>
        <v>0.71987109692018181</v>
      </c>
      <c r="U27" s="475">
        <f t="shared" si="21"/>
        <v>32.800133901747785</v>
      </c>
      <c r="V27" s="476">
        <f t="shared" si="19"/>
        <v>2.3729036564006063</v>
      </c>
      <c r="W27" s="475">
        <f t="shared" si="5"/>
        <v>33.767406713409315</v>
      </c>
      <c r="X27" s="296">
        <f t="shared" si="22"/>
        <v>2.205142231006068</v>
      </c>
      <c r="Y27" s="296">
        <f t="shared" si="20"/>
        <v>74.461934575296695</v>
      </c>
      <c r="Z27" s="552">
        <f t="shared" si="6"/>
        <v>35.132243922368161</v>
      </c>
      <c r="AA27" s="11">
        <f t="shared" si="7"/>
        <v>1</v>
      </c>
      <c r="AB27" s="296">
        <f t="shared" si="8"/>
        <v>1</v>
      </c>
      <c r="AC27" s="297">
        <f t="shared" si="9"/>
        <v>0.96328000000000003</v>
      </c>
      <c r="AD27" s="297">
        <f t="shared" si="10"/>
        <v>0.12773092799999999</v>
      </c>
      <c r="AE27" s="297">
        <f t="shared" si="11"/>
        <v>0.10433709575136962</v>
      </c>
      <c r="AF27" s="297">
        <f t="shared" si="12"/>
        <v>0.11839599217562755</v>
      </c>
      <c r="AG27" s="553">
        <f t="shared" si="23"/>
        <v>1.1347449468764168</v>
      </c>
      <c r="AH27" s="297">
        <f t="shared" si="13"/>
        <v>0.10526151311192335</v>
      </c>
      <c r="AI27" s="296">
        <f t="shared" si="24"/>
        <v>1.0088599107910436</v>
      </c>
      <c r="AL27" s="324">
        <v>1.25</v>
      </c>
      <c r="AM27" s="324">
        <v>-4.8</v>
      </c>
      <c r="AN27" s="324">
        <v>1.31</v>
      </c>
      <c r="AO27" s="573">
        <v>2.0499999999999998</v>
      </c>
      <c r="AP27" s="573">
        <v>2.6</v>
      </c>
      <c r="AQ27" s="324">
        <v>2.95</v>
      </c>
      <c r="AR27" s="324">
        <v>3.6</v>
      </c>
    </row>
    <row r="28" spans="1:44" ht="15" customHeight="1">
      <c r="A28" s="527" t="s">
        <v>190</v>
      </c>
      <c r="B28" s="577">
        <v>48</v>
      </c>
      <c r="C28" s="577">
        <v>55</v>
      </c>
      <c r="D28" s="567">
        <v>0.95</v>
      </c>
      <c r="E28" s="567">
        <v>0.59</v>
      </c>
      <c r="F28" s="569">
        <v>38</v>
      </c>
      <c r="G28" s="569">
        <v>33</v>
      </c>
      <c r="H28" s="141">
        <v>7.5999999999999998E-2</v>
      </c>
      <c r="J28"/>
      <c r="K28" s="557">
        <v>5</v>
      </c>
      <c r="L28" s="557">
        <f t="shared" si="0"/>
        <v>4800</v>
      </c>
      <c r="M28" s="558">
        <f t="shared" si="14"/>
        <v>87.272727272727266</v>
      </c>
      <c r="N28" s="557">
        <f t="shared" si="15"/>
        <v>18.5</v>
      </c>
      <c r="O28" s="557">
        <f t="shared" si="16"/>
        <v>18.5</v>
      </c>
      <c r="P28" s="557">
        <f t="shared" si="17"/>
        <v>92.5</v>
      </c>
      <c r="Q28" s="557">
        <f t="shared" si="18"/>
        <v>92.5</v>
      </c>
      <c r="R28" s="573"/>
      <c r="S28" s="21">
        <f t="shared" si="3"/>
        <v>1.8539081736107756</v>
      </c>
      <c r="T28" s="475">
        <f t="shared" si="4"/>
        <v>0.70251382820249064</v>
      </c>
      <c r="U28" s="475">
        <f t="shared" si="21"/>
        <v>49.725164627497008</v>
      </c>
      <c r="V28" s="476">
        <f t="shared" si="19"/>
        <v>2.3150460940083022</v>
      </c>
      <c r="W28" s="475">
        <f t="shared" si="5"/>
        <v>50.702239025381971</v>
      </c>
      <c r="X28" s="296">
        <f t="shared" si="22"/>
        <v>1.9979533676836958</v>
      </c>
      <c r="Y28" s="296">
        <f t="shared" si="20"/>
        <v>101.30070920986562</v>
      </c>
      <c r="Z28" s="552">
        <f t="shared" si="6"/>
        <v>47.079244486400682</v>
      </c>
      <c r="AA28" s="11">
        <f t="shared" si="7"/>
        <v>0.75</v>
      </c>
      <c r="AB28" s="296">
        <f t="shared" si="8"/>
        <v>1</v>
      </c>
      <c r="AC28" s="297">
        <f t="shared" si="9"/>
        <v>0.96174999999999999</v>
      </c>
      <c r="AD28" s="297">
        <f t="shared" si="10"/>
        <v>0.12752805</v>
      </c>
      <c r="AE28" s="297">
        <f t="shared" si="11"/>
        <v>0.10417137471854471</v>
      </c>
      <c r="AF28" s="297">
        <f t="shared" si="12"/>
        <v>0.17667638581122383</v>
      </c>
      <c r="AG28" s="553">
        <f t="shared" si="23"/>
        <v>1.6960166484178278</v>
      </c>
      <c r="AH28" s="297">
        <f t="shared" si="13"/>
        <v>0.14467677522084629</v>
      </c>
      <c r="AI28" s="296">
        <f t="shared" si="24"/>
        <v>1.3888342705636847</v>
      </c>
      <c r="AL28" s="324">
        <v>1.25</v>
      </c>
      <c r="AM28" s="324">
        <v>-5</v>
      </c>
      <c r="AN28" s="324">
        <v>1.31</v>
      </c>
      <c r="AO28" s="573">
        <v>2.0499999999999998</v>
      </c>
      <c r="AP28" s="573">
        <v>2.6</v>
      </c>
      <c r="AQ28" s="324">
        <v>2.95</v>
      </c>
      <c r="AR28" s="324">
        <v>3.6</v>
      </c>
    </row>
    <row r="29" spans="1:44" ht="15" customHeight="1">
      <c r="A29" s="567">
        <v>5.2</v>
      </c>
      <c r="B29" s="577">
        <v>43</v>
      </c>
      <c r="C29" s="577">
        <v>64</v>
      </c>
      <c r="D29" s="567">
        <v>0.9</v>
      </c>
      <c r="E29" s="567">
        <v>0.61</v>
      </c>
      <c r="F29" s="569">
        <v>51</v>
      </c>
      <c r="G29" s="569">
        <v>35</v>
      </c>
      <c r="H29" s="141">
        <v>0.106</v>
      </c>
      <c r="J29"/>
      <c r="K29" s="557">
        <v>5.2</v>
      </c>
      <c r="L29" s="557">
        <f t="shared" si="0"/>
        <v>4300</v>
      </c>
      <c r="M29" s="558">
        <f t="shared" si="14"/>
        <v>67.1875</v>
      </c>
      <c r="N29" s="557">
        <f t="shared" si="15"/>
        <v>18.5</v>
      </c>
      <c r="O29" s="557">
        <f t="shared" si="16"/>
        <v>18.5</v>
      </c>
      <c r="P29" s="557">
        <f t="shared" si="17"/>
        <v>96.2</v>
      </c>
      <c r="Q29" s="557">
        <f t="shared" si="18"/>
        <v>96.2</v>
      </c>
      <c r="R29" s="573"/>
      <c r="S29" s="21">
        <f t="shared" si="3"/>
        <v>1.598256339502355</v>
      </c>
      <c r="T29" s="475">
        <f t="shared" si="4"/>
        <v>0.70463132362565961</v>
      </c>
      <c r="U29" s="475">
        <f t="shared" si="21"/>
        <v>43.201359828781548</v>
      </c>
      <c r="V29" s="476">
        <f t="shared" si="19"/>
        <v>2.3221044120855319</v>
      </c>
      <c r="W29" s="475">
        <f t="shared" si="5"/>
        <v>44.189982221742383</v>
      </c>
      <c r="X29" s="296">
        <f t="shared" si="22"/>
        <v>2.0216910363024887</v>
      </c>
      <c r="Y29" s="296">
        <f t="shared" si="20"/>
        <v>89.338490952062912</v>
      </c>
      <c r="Z29" s="552">
        <f t="shared" si="6"/>
        <v>43.364140691004877</v>
      </c>
      <c r="AA29" s="11">
        <f t="shared" si="7"/>
        <v>0.75</v>
      </c>
      <c r="AB29" s="296">
        <f t="shared" si="8"/>
        <v>1</v>
      </c>
      <c r="AC29" s="297">
        <f t="shared" si="9"/>
        <v>0.96021999999999996</v>
      </c>
      <c r="AD29" s="297">
        <f t="shared" si="10"/>
        <v>0.12732517199999999</v>
      </c>
      <c r="AE29" s="297">
        <f t="shared" si="11"/>
        <v>0.10400565368571976</v>
      </c>
      <c r="AF29" s="297">
        <f t="shared" si="12"/>
        <v>0.14631301677249792</v>
      </c>
      <c r="AG29" s="553">
        <f t="shared" si="23"/>
        <v>1.4067794546498491</v>
      </c>
      <c r="AH29" s="297">
        <f t="shared" si="13"/>
        <v>0.12592489863047573</v>
      </c>
      <c r="AI29" s="296">
        <f t="shared" si="24"/>
        <v>1.2107505137267893</v>
      </c>
      <c r="AL29" s="324">
        <v>1.25</v>
      </c>
      <c r="AM29" s="324">
        <v>-5.2</v>
      </c>
      <c r="AN29" s="324">
        <v>1.31</v>
      </c>
      <c r="AO29" s="573">
        <v>2.0499999999999998</v>
      </c>
      <c r="AP29" s="573">
        <v>2.6</v>
      </c>
      <c r="AQ29" s="324">
        <v>2.95</v>
      </c>
      <c r="AR29" s="324">
        <v>3.6</v>
      </c>
    </row>
    <row r="30" spans="1:44" ht="15" customHeight="1">
      <c r="A30" s="567">
        <v>5.4</v>
      </c>
      <c r="B30" s="577">
        <v>48</v>
      </c>
      <c r="C30" s="577">
        <v>60</v>
      </c>
      <c r="D30" s="567">
        <v>0.91</v>
      </c>
      <c r="E30" s="567">
        <v>0.63</v>
      </c>
      <c r="F30" s="569">
        <v>58</v>
      </c>
      <c r="G30" s="569">
        <v>36</v>
      </c>
      <c r="H30" s="141">
        <v>0.125</v>
      </c>
      <c r="J30"/>
      <c r="K30" s="557">
        <v>5.4</v>
      </c>
      <c r="L30" s="557">
        <f t="shared" si="0"/>
        <v>4800</v>
      </c>
      <c r="M30" s="558">
        <f t="shared" si="14"/>
        <v>80</v>
      </c>
      <c r="N30" s="557">
        <f t="shared" si="15"/>
        <v>18.5</v>
      </c>
      <c r="O30" s="557">
        <f t="shared" si="16"/>
        <v>18.5</v>
      </c>
      <c r="P30" s="557">
        <f t="shared" si="17"/>
        <v>99.9</v>
      </c>
      <c r="Q30" s="557">
        <f t="shared" si="18"/>
        <v>99.9</v>
      </c>
      <c r="R30" s="573"/>
      <c r="S30" s="21">
        <f t="shared" si="3"/>
        <v>1.702091444862875</v>
      </c>
      <c r="T30" s="475">
        <f t="shared" si="4"/>
        <v>0.7010373375924952</v>
      </c>
      <c r="U30" s="475">
        <f t="shared" si="21"/>
        <v>47.03397750528633</v>
      </c>
      <c r="V30" s="476">
        <f t="shared" si="19"/>
        <v>2.3101244586416505</v>
      </c>
      <c r="W30" s="475">
        <f t="shared" si="5"/>
        <v>48.033678437772465</v>
      </c>
      <c r="X30" s="296">
        <f t="shared" si="22"/>
        <v>1.9816477271350728</v>
      </c>
      <c r="Y30" s="296">
        <f t="shared" si="20"/>
        <v>95.185829702148752</v>
      </c>
      <c r="Z30" s="552">
        <f t="shared" si="6"/>
        <v>45.976260555331351</v>
      </c>
      <c r="AA30" s="11">
        <f t="shared" si="7"/>
        <v>0.75</v>
      </c>
      <c r="AB30" s="296">
        <f t="shared" si="8"/>
        <v>1</v>
      </c>
      <c r="AC30" s="297">
        <f t="shared" si="9"/>
        <v>0.95869000000000004</v>
      </c>
      <c r="AD30" s="297">
        <f t="shared" si="10"/>
        <v>0.127122294</v>
      </c>
      <c r="AE30" s="297">
        <f t="shared" si="11"/>
        <v>0.10383993265289485</v>
      </c>
      <c r="AF30" s="297">
        <f t="shared" si="12"/>
        <v>0.16020470542970305</v>
      </c>
      <c r="AG30" s="553">
        <f t="shared" si="23"/>
        <v>1.5428044042094906</v>
      </c>
      <c r="AH30" s="297">
        <f t="shared" si="13"/>
        <v>0.13482792497231672</v>
      </c>
      <c r="AI30" s="296">
        <f t="shared" si="24"/>
        <v>1.2984207667295515</v>
      </c>
      <c r="AL30" s="324">
        <v>1.25</v>
      </c>
      <c r="AM30" s="324">
        <v>-5.4</v>
      </c>
      <c r="AN30" s="324">
        <v>1.31</v>
      </c>
      <c r="AO30" s="573">
        <v>2.0499999999999998</v>
      </c>
      <c r="AP30" s="573">
        <v>2.6</v>
      </c>
      <c r="AQ30" s="324">
        <v>2.95</v>
      </c>
      <c r="AR30" s="324">
        <v>3.6</v>
      </c>
    </row>
    <row r="31" spans="1:44" ht="15" customHeight="1">
      <c r="A31" s="567">
        <v>5.6</v>
      </c>
      <c r="B31" s="577">
        <v>52</v>
      </c>
      <c r="C31" s="577">
        <v>49</v>
      </c>
      <c r="D31" s="567">
        <v>0.9</v>
      </c>
      <c r="E31" s="567">
        <v>0.65</v>
      </c>
      <c r="F31" s="569">
        <v>53</v>
      </c>
      <c r="G31" s="569">
        <v>35</v>
      </c>
      <c r="H31" s="141">
        <v>0.111</v>
      </c>
      <c r="J31"/>
      <c r="K31" s="557">
        <v>5.6</v>
      </c>
      <c r="L31" s="557">
        <f t="shared" si="0"/>
        <v>5200</v>
      </c>
      <c r="M31" s="558">
        <f t="shared" si="14"/>
        <v>106.12244897959184</v>
      </c>
      <c r="N31" s="557">
        <f t="shared" si="15"/>
        <v>18.5</v>
      </c>
      <c r="O31" s="557">
        <f t="shared" si="16"/>
        <v>18.5</v>
      </c>
      <c r="P31" s="557">
        <f t="shared" si="17"/>
        <v>103.6</v>
      </c>
      <c r="Q31" s="557">
        <f t="shared" si="18"/>
        <v>103.6</v>
      </c>
      <c r="R31" s="573"/>
      <c r="S31" s="21">
        <f t="shared" si="3"/>
        <v>2.0823021933049182</v>
      </c>
      <c r="T31" s="475">
        <f t="shared" si="4"/>
        <v>0.71239675072205455</v>
      </c>
      <c r="U31" s="475">
        <f t="shared" si="21"/>
        <v>49.695980906842806</v>
      </c>
      <c r="V31" s="476">
        <f t="shared" si="19"/>
        <v>2.3479891690735153</v>
      </c>
      <c r="W31" s="475">
        <f t="shared" si="5"/>
        <v>50.706204519971472</v>
      </c>
      <c r="X31" s="296">
        <f t="shared" si="22"/>
        <v>2.1123633791067</v>
      </c>
      <c r="Y31" s="296">
        <f t="shared" si="20"/>
        <v>107.10992952148237</v>
      </c>
      <c r="Z31" s="552">
        <f t="shared" si="6"/>
        <v>47.74934875139266</v>
      </c>
      <c r="AA31" s="11">
        <f t="shared" si="7"/>
        <v>0.75</v>
      </c>
      <c r="AB31" s="296">
        <f t="shared" si="8"/>
        <v>0.99119718768004195</v>
      </c>
      <c r="AC31" s="297">
        <f t="shared" si="9"/>
        <v>0.95716000000000001</v>
      </c>
      <c r="AD31" s="297">
        <f t="shared" si="10"/>
        <v>0.12691941599999998</v>
      </c>
      <c r="AE31" s="297">
        <f t="shared" si="11"/>
        <v>0.10459494125757739</v>
      </c>
      <c r="AF31" s="297">
        <f t="shared" si="12"/>
        <v>0.19428050456462961</v>
      </c>
      <c r="AG31" s="553">
        <f t="shared" si="23"/>
        <v>1.8574560320865896</v>
      </c>
      <c r="AH31" s="297">
        <f t="shared" si="13"/>
        <v>0.15463283475017406</v>
      </c>
      <c r="AI31" s="296">
        <f t="shared" si="24"/>
        <v>1.4783968793421132</v>
      </c>
      <c r="AL31" s="324">
        <v>1.25</v>
      </c>
      <c r="AM31" s="324">
        <v>-5.6</v>
      </c>
      <c r="AN31" s="324">
        <v>1.31</v>
      </c>
      <c r="AO31" s="573">
        <v>2.0499999999999998</v>
      </c>
      <c r="AP31" s="573">
        <v>2.6</v>
      </c>
      <c r="AQ31" s="324">
        <v>2.95</v>
      </c>
      <c r="AR31" s="324">
        <v>3.6</v>
      </c>
    </row>
    <row r="32" spans="1:44" ht="15" customHeight="1">
      <c r="A32" s="567">
        <v>5.8</v>
      </c>
      <c r="B32" s="577">
        <v>38</v>
      </c>
      <c r="C32" s="577">
        <v>71</v>
      </c>
      <c r="D32" s="567">
        <v>0.88</v>
      </c>
      <c r="E32" s="567">
        <v>0.67</v>
      </c>
      <c r="F32" s="569">
        <v>41</v>
      </c>
      <c r="G32" s="569">
        <v>34</v>
      </c>
      <c r="H32" s="141">
        <v>8.1000000000000003E-2</v>
      </c>
      <c r="J32"/>
      <c r="K32" s="557">
        <v>5.8</v>
      </c>
      <c r="L32" s="557">
        <f t="shared" si="0"/>
        <v>3800</v>
      </c>
      <c r="M32" s="558">
        <f t="shared" si="14"/>
        <v>53.521126760563384</v>
      </c>
      <c r="N32" s="557">
        <f t="shared" si="15"/>
        <v>18.5</v>
      </c>
      <c r="O32" s="557">
        <f t="shared" si="16"/>
        <v>18.5</v>
      </c>
      <c r="P32" s="557">
        <f t="shared" si="17"/>
        <v>107.3</v>
      </c>
      <c r="Q32" s="557">
        <f t="shared" si="18"/>
        <v>107.3</v>
      </c>
      <c r="R32" s="573"/>
      <c r="S32" s="21">
        <f t="shared" si="3"/>
        <v>1.4493765201766562</v>
      </c>
      <c r="T32" s="475">
        <f t="shared" si="4"/>
        <v>0.7186853570742171</v>
      </c>
      <c r="U32" s="475">
        <f t="shared" si="21"/>
        <v>35.103664428330909</v>
      </c>
      <c r="V32" s="476">
        <f t="shared" si="19"/>
        <v>2.3689511902473903</v>
      </c>
      <c r="W32" s="475">
        <f t="shared" si="5"/>
        <v>36.123683166154159</v>
      </c>
      <c r="X32" s="296">
        <f t="shared" si="22"/>
        <v>2.1900563457796913</v>
      </c>
      <c r="Y32" s="296">
        <f t="shared" si="20"/>
        <v>79.112901550970932</v>
      </c>
      <c r="Z32" s="552">
        <f t="shared" si="6"/>
        <v>38.255926551833085</v>
      </c>
      <c r="AA32" s="11">
        <f t="shared" si="7"/>
        <v>1</v>
      </c>
      <c r="AB32" s="296">
        <f t="shared" si="8"/>
        <v>1</v>
      </c>
      <c r="AC32" s="297">
        <f t="shared" si="9"/>
        <v>0.95562999999999998</v>
      </c>
      <c r="AD32" s="297">
        <f t="shared" si="10"/>
        <v>0.12671653799999999</v>
      </c>
      <c r="AE32" s="297">
        <f t="shared" si="11"/>
        <v>0.10350849058724498</v>
      </c>
      <c r="AF32" s="297">
        <f t="shared" si="12"/>
        <v>0.1260494966688919</v>
      </c>
      <c r="AG32" s="553">
        <f t="shared" si="23"/>
        <v>1.2177696337156767</v>
      </c>
      <c r="AH32" s="297">
        <f t="shared" si="13"/>
        <v>0.11142595039494052</v>
      </c>
      <c r="AI32" s="296">
        <f t="shared" si="24"/>
        <v>1.0764909213029445</v>
      </c>
      <c r="AL32" s="324">
        <v>1.25</v>
      </c>
      <c r="AM32" s="324">
        <v>-5.8</v>
      </c>
      <c r="AN32" s="324">
        <v>1.31</v>
      </c>
      <c r="AO32" s="573">
        <v>2.0499999999999998</v>
      </c>
      <c r="AP32" s="573">
        <v>2.6</v>
      </c>
      <c r="AQ32" s="324">
        <v>2.95</v>
      </c>
      <c r="AR32" s="324">
        <v>3.6</v>
      </c>
    </row>
    <row r="33" spans="1:44" ht="15" customHeight="1">
      <c r="A33" s="527" t="s">
        <v>192</v>
      </c>
      <c r="B33" s="577">
        <v>49</v>
      </c>
      <c r="C33" s="577">
        <v>82</v>
      </c>
      <c r="D33" s="567">
        <v>0.88</v>
      </c>
      <c r="E33" s="567">
        <v>0.68</v>
      </c>
      <c r="F33" s="569">
        <v>42</v>
      </c>
      <c r="G33" s="569">
        <v>34</v>
      </c>
      <c r="H33" s="141">
        <v>8.5000000000000006E-2</v>
      </c>
      <c r="J33"/>
      <c r="K33" s="557">
        <v>6</v>
      </c>
      <c r="L33" s="557">
        <f t="shared" si="0"/>
        <v>4900</v>
      </c>
      <c r="M33" s="558">
        <f t="shared" si="14"/>
        <v>59.756097560975611</v>
      </c>
      <c r="N33" s="557">
        <f t="shared" si="15"/>
        <v>18.5</v>
      </c>
      <c r="O33" s="557">
        <f t="shared" si="16"/>
        <v>18.5</v>
      </c>
      <c r="P33" s="557">
        <f t="shared" si="17"/>
        <v>111</v>
      </c>
      <c r="Q33" s="557">
        <f t="shared" si="18"/>
        <v>111</v>
      </c>
      <c r="R33" s="573"/>
      <c r="S33" s="21">
        <f t="shared" si="3"/>
        <v>1.2477781908744123</v>
      </c>
      <c r="T33" s="475">
        <f t="shared" si="4"/>
        <v>0.68196821202617475</v>
      </c>
      <c r="U33" s="475">
        <f t="shared" si="21"/>
        <v>44.600117845433438</v>
      </c>
      <c r="V33" s="476">
        <f t="shared" si="19"/>
        <v>2.2465607067539159</v>
      </c>
      <c r="W33" s="475">
        <f t="shared" si="5"/>
        <v>45.633864573527639</v>
      </c>
      <c r="X33" s="296">
        <f t="shared" si="22"/>
        <v>1.7886180326330781</v>
      </c>
      <c r="Y33" s="296">
        <f t="shared" si="20"/>
        <v>81.621553074947329</v>
      </c>
      <c r="Z33" s="552">
        <f t="shared" si="6"/>
        <v>45.057282981922214</v>
      </c>
      <c r="AA33" s="11">
        <f t="shared" si="7"/>
        <v>0.75</v>
      </c>
      <c r="AB33" s="296">
        <f t="shared" si="8"/>
        <v>0.97424739966422236</v>
      </c>
      <c r="AC33" s="297">
        <f t="shared" si="9"/>
        <v>0.95409999999999995</v>
      </c>
      <c r="AD33" s="297">
        <f t="shared" si="10"/>
        <v>0.12651365999999997</v>
      </c>
      <c r="AE33" s="297">
        <f t="shared" si="11"/>
        <v>0.10607446280076034</v>
      </c>
      <c r="AF33" s="297">
        <f t="shared" si="12"/>
        <v>0.13057053067624089</v>
      </c>
      <c r="AG33" s="553">
        <f t="shared" si="23"/>
        <v>1.2309327544886228</v>
      </c>
      <c r="AH33" s="297">
        <f t="shared" si="13"/>
        <v>0.11486199733858719</v>
      </c>
      <c r="AI33" s="296">
        <f t="shared" si="24"/>
        <v>1.0828430736843087</v>
      </c>
      <c r="AL33" s="324">
        <v>1.25</v>
      </c>
      <c r="AM33" s="324">
        <v>-6</v>
      </c>
      <c r="AN33" s="324">
        <v>1.31</v>
      </c>
      <c r="AO33" s="573">
        <v>2.0499999999999998</v>
      </c>
      <c r="AP33" s="573">
        <v>2.6</v>
      </c>
      <c r="AQ33" s="324">
        <v>2.95</v>
      </c>
      <c r="AR33" s="324">
        <v>3.6</v>
      </c>
    </row>
    <row r="34" spans="1:44" ht="15" customHeight="1">
      <c r="A34" s="567">
        <v>6.2</v>
      </c>
      <c r="B34" s="577">
        <v>55</v>
      </c>
      <c r="C34" s="577">
        <v>46</v>
      </c>
      <c r="D34" s="567">
        <v>0.89</v>
      </c>
      <c r="E34" s="567">
        <v>0.7</v>
      </c>
      <c r="F34" s="569">
        <v>46</v>
      </c>
      <c r="G34" s="569">
        <v>35</v>
      </c>
      <c r="H34" s="141">
        <v>9.5000000000000001E-2</v>
      </c>
      <c r="J34"/>
      <c r="K34" s="557">
        <v>6.2</v>
      </c>
      <c r="L34" s="557">
        <f t="shared" si="0"/>
        <v>5500</v>
      </c>
      <c r="M34" s="558">
        <f t="shared" si="14"/>
        <v>119.56521739130434</v>
      </c>
      <c r="N34" s="557">
        <f t="shared" si="15"/>
        <v>18.5</v>
      </c>
      <c r="O34" s="557">
        <f t="shared" si="16"/>
        <v>18.5</v>
      </c>
      <c r="P34" s="557">
        <f t="shared" si="17"/>
        <v>114.7</v>
      </c>
      <c r="Q34" s="557">
        <f t="shared" si="18"/>
        <v>114.7</v>
      </c>
      <c r="R34" s="573"/>
      <c r="S34" s="21">
        <f t="shared" si="3"/>
        <v>2.2202146099809545</v>
      </c>
      <c r="T34" s="475">
        <f t="shared" si="4"/>
        <v>0.71969567732009065</v>
      </c>
      <c r="U34" s="475">
        <f t="shared" si="21"/>
        <v>48.791297483358768</v>
      </c>
      <c r="V34" s="476">
        <f t="shared" si="19"/>
        <v>2.372318924400302</v>
      </c>
      <c r="W34" s="475">
        <f t="shared" si="5"/>
        <v>49.830489695740852</v>
      </c>
      <c r="X34" s="296">
        <f t="shared" si="22"/>
        <v>2.2029015938826539</v>
      </c>
      <c r="Y34" s="296">
        <f t="shared" si="20"/>
        <v>109.77166517470069</v>
      </c>
      <c r="Z34" s="552">
        <f t="shared" si="6"/>
        <v>47.898344715878267</v>
      </c>
      <c r="AA34" s="11">
        <f t="shared" si="7"/>
        <v>0.75</v>
      </c>
      <c r="AB34" s="296">
        <f t="shared" si="8"/>
        <v>0.96629369437200952</v>
      </c>
      <c r="AC34" s="297">
        <f t="shared" si="9"/>
        <v>0.95257000000000003</v>
      </c>
      <c r="AD34" s="297">
        <f t="shared" si="10"/>
        <v>0.12631078200000001</v>
      </c>
      <c r="AE34" s="297">
        <f t="shared" si="11"/>
        <v>0.10677607555811436</v>
      </c>
      <c r="AF34" s="297">
        <f t="shared" si="12"/>
        <v>0.20301376343430017</v>
      </c>
      <c r="AG34" s="553">
        <f t="shared" si="23"/>
        <v>1.9013038489488885</v>
      </c>
      <c r="AH34" s="297">
        <f t="shared" si="13"/>
        <v>0.15942447338905355</v>
      </c>
      <c r="AI34" s="296">
        <f t="shared" si="24"/>
        <v>1.493072980588096</v>
      </c>
      <c r="AL34" s="324">
        <v>1.25</v>
      </c>
      <c r="AM34" s="324">
        <v>-6.2</v>
      </c>
      <c r="AN34" s="324">
        <v>1.31</v>
      </c>
      <c r="AO34" s="573">
        <v>2.0499999999999998</v>
      </c>
      <c r="AP34" s="573">
        <v>2.6</v>
      </c>
      <c r="AQ34" s="324">
        <v>2.95</v>
      </c>
      <c r="AR34" s="324">
        <v>3.6</v>
      </c>
    </row>
    <row r="35" spans="1:44" ht="15" customHeight="1">
      <c r="A35" s="567">
        <v>6.4</v>
      </c>
      <c r="B35" s="577">
        <v>50</v>
      </c>
      <c r="C35" s="577">
        <v>37</v>
      </c>
      <c r="D35" s="567">
        <v>0.9</v>
      </c>
      <c r="E35" s="567">
        <v>0.72</v>
      </c>
      <c r="F35" s="569">
        <v>49</v>
      </c>
      <c r="G35" s="569">
        <v>35</v>
      </c>
      <c r="H35" s="141">
        <v>0.10199999999999999</v>
      </c>
      <c r="J35"/>
      <c r="K35" s="557">
        <v>6.4</v>
      </c>
      <c r="L35" s="557">
        <f t="shared" si="0"/>
        <v>5000</v>
      </c>
      <c r="M35" s="558">
        <f t="shared" si="14"/>
        <v>135.13513513513513</v>
      </c>
      <c r="N35" s="557">
        <f t="shared" si="15"/>
        <v>18.5</v>
      </c>
      <c r="O35" s="557">
        <f t="shared" si="16"/>
        <v>18.5</v>
      </c>
      <c r="P35" s="557">
        <f t="shared" si="17"/>
        <v>118.4</v>
      </c>
      <c r="Q35" s="557">
        <f t="shared" si="18"/>
        <v>118.4</v>
      </c>
      <c r="R35" s="573"/>
      <c r="S35" s="21">
        <f t="shared" si="3"/>
        <v>2.7682549806443606</v>
      </c>
      <c r="T35" s="475">
        <f t="shared" si="4"/>
        <v>0.75111544418985288</v>
      </c>
      <c r="U35" s="475">
        <f t="shared" si="21"/>
        <v>42.999815661253585</v>
      </c>
      <c r="V35" s="476">
        <f t="shared" si="19"/>
        <v>2.4770514806328428</v>
      </c>
      <c r="W35" s="475">
        <f t="shared" si="5"/>
        <v>44.042747932290219</v>
      </c>
      <c r="X35" s="296">
        <f t="shared" si="22"/>
        <v>2.6550789282741043</v>
      </c>
      <c r="Y35" s="296">
        <f t="shared" si="20"/>
        <v>116.93697197831163</v>
      </c>
      <c r="Z35" s="552">
        <f t="shared" si="6"/>
        <v>44.711414107409496</v>
      </c>
      <c r="AA35" s="11">
        <f t="shared" si="7"/>
        <v>0.75</v>
      </c>
      <c r="AB35" s="296">
        <f t="shared" si="8"/>
        <v>0.95865440989819661</v>
      </c>
      <c r="AC35" s="297">
        <f t="shared" si="9"/>
        <v>0.95104</v>
      </c>
      <c r="AD35" s="297">
        <f t="shared" si="10"/>
        <v>0.12610790399999999</v>
      </c>
      <c r="AE35" s="297">
        <f t="shared" si="11"/>
        <v>0.10745407982810969</v>
      </c>
      <c r="AF35" s="297">
        <f t="shared" si="12"/>
        <v>0.22870942007776002</v>
      </c>
      <c r="AG35" s="553">
        <f t="shared" si="23"/>
        <v>2.1284386823061348</v>
      </c>
      <c r="AH35" s="297">
        <f t="shared" si="13"/>
        <v>0.17320571605673951</v>
      </c>
      <c r="AI35" s="296">
        <f t="shared" si="24"/>
        <v>1.6119045115253909</v>
      </c>
      <c r="AL35" s="324">
        <v>1.25</v>
      </c>
      <c r="AM35" s="324">
        <v>-6.4</v>
      </c>
      <c r="AN35" s="324">
        <v>1.31</v>
      </c>
      <c r="AO35" s="573">
        <v>2.0499999999999998</v>
      </c>
      <c r="AP35" s="573">
        <v>2.6</v>
      </c>
      <c r="AQ35" s="324">
        <v>2.95</v>
      </c>
      <c r="AR35" s="324">
        <v>3.6</v>
      </c>
    </row>
    <row r="36" spans="1:44" ht="15" customHeight="1">
      <c r="A36" s="567">
        <v>6.6</v>
      </c>
      <c r="B36" s="577">
        <v>50</v>
      </c>
      <c r="C36" s="577">
        <v>62</v>
      </c>
      <c r="D36" s="567">
        <v>0.88</v>
      </c>
      <c r="E36" s="567">
        <v>0.74</v>
      </c>
      <c r="F36" s="569">
        <v>41</v>
      </c>
      <c r="G36" s="569">
        <v>34</v>
      </c>
      <c r="H36" s="141">
        <v>8.3000000000000004E-2</v>
      </c>
      <c r="J36"/>
      <c r="K36" s="557">
        <v>6.6</v>
      </c>
      <c r="L36" s="557">
        <f t="shared" si="0"/>
        <v>5000</v>
      </c>
      <c r="M36" s="558">
        <f t="shared" si="14"/>
        <v>80.645161290322577</v>
      </c>
      <c r="N36" s="557">
        <f t="shared" si="15"/>
        <v>18.5</v>
      </c>
      <c r="O36" s="557">
        <f t="shared" si="16"/>
        <v>18.5</v>
      </c>
      <c r="P36" s="557">
        <f t="shared" si="17"/>
        <v>122.1</v>
      </c>
      <c r="Q36" s="557">
        <f t="shared" si="18"/>
        <v>122.1</v>
      </c>
      <c r="R36" s="573"/>
      <c r="S36" s="21">
        <f t="shared" si="3"/>
        <v>1.65327623137667</v>
      </c>
      <c r="T36" s="475">
        <f t="shared" si="4"/>
        <v>0.70941876611091637</v>
      </c>
      <c r="U36" s="475">
        <f t="shared" si="21"/>
        <v>42.336521624343838</v>
      </c>
      <c r="V36" s="476">
        <f t="shared" si="19"/>
        <v>2.3380625537030544</v>
      </c>
      <c r="W36" s="475">
        <f t="shared" si="5"/>
        <v>43.396258250829092</v>
      </c>
      <c r="X36" s="296">
        <f t="shared" si="22"/>
        <v>2.0769120783941837</v>
      </c>
      <c r="Y36" s="296">
        <f t="shared" si="20"/>
        <v>90.130212918260199</v>
      </c>
      <c r="Z36" s="552">
        <f t="shared" si="6"/>
        <v>44.270403375996125</v>
      </c>
      <c r="AA36" s="11">
        <f t="shared" si="7"/>
        <v>0.75</v>
      </c>
      <c r="AB36" s="296">
        <f t="shared" si="8"/>
        <v>0.95130785775864091</v>
      </c>
      <c r="AC36" s="297">
        <f t="shared" si="9"/>
        <v>0.94950999999999997</v>
      </c>
      <c r="AD36" s="297">
        <f t="shared" si="10"/>
        <v>0.125905026</v>
      </c>
      <c r="AE36" s="297">
        <f t="shared" si="11"/>
        <v>0.10810969931254215</v>
      </c>
      <c r="AF36" s="297">
        <f t="shared" si="12"/>
        <v>0.1480916941294993</v>
      </c>
      <c r="AG36" s="553">
        <f t="shared" si="23"/>
        <v>1.3698280086911565</v>
      </c>
      <c r="AH36" s="297">
        <f t="shared" si="13"/>
        <v>0.12710311794503998</v>
      </c>
      <c r="AI36" s="296">
        <f t="shared" si="24"/>
        <v>1.1756865364835434</v>
      </c>
      <c r="AL36" s="324">
        <v>1.25</v>
      </c>
      <c r="AM36" s="324">
        <v>-6.6</v>
      </c>
      <c r="AN36" s="324">
        <v>1.31</v>
      </c>
      <c r="AO36" s="573">
        <v>2.0499999999999998</v>
      </c>
      <c r="AP36" s="573">
        <v>2.6</v>
      </c>
      <c r="AQ36" s="324">
        <v>2.95</v>
      </c>
      <c r="AR36" s="324">
        <v>3.6</v>
      </c>
    </row>
    <row r="37" spans="1:44" ht="15" customHeight="1">
      <c r="A37" s="567">
        <v>6.8</v>
      </c>
      <c r="B37" s="577">
        <v>60</v>
      </c>
      <c r="C37" s="577">
        <v>60</v>
      </c>
      <c r="D37" s="567">
        <v>0.87</v>
      </c>
      <c r="E37" s="567">
        <v>0.75</v>
      </c>
      <c r="F37" s="569">
        <v>33</v>
      </c>
      <c r="G37" s="569">
        <v>33</v>
      </c>
      <c r="H37" s="141">
        <v>6.3E-2</v>
      </c>
      <c r="J37"/>
      <c r="K37" s="557">
        <v>6.8</v>
      </c>
      <c r="L37" s="557">
        <f t="shared" si="0"/>
        <v>6000</v>
      </c>
      <c r="M37" s="558">
        <f t="shared" si="14"/>
        <v>100</v>
      </c>
      <c r="N37" s="557">
        <f t="shared" si="15"/>
        <v>18.5</v>
      </c>
      <c r="O37" s="557">
        <f t="shared" si="16"/>
        <v>18.5</v>
      </c>
      <c r="P37" s="557">
        <f t="shared" si="17"/>
        <v>125.8</v>
      </c>
      <c r="Q37" s="557">
        <f t="shared" si="18"/>
        <v>125.8</v>
      </c>
      <c r="R37" s="573"/>
      <c r="S37" s="21">
        <f t="shared" si="3"/>
        <v>1.7023594702257328</v>
      </c>
      <c r="T37" s="475">
        <f t="shared" si="4"/>
        <v>0.69469924873818312</v>
      </c>
      <c r="U37" s="475">
        <f t="shared" si="21"/>
        <v>50.08419092602513</v>
      </c>
      <c r="V37" s="476">
        <f t="shared" si="19"/>
        <v>2.2889974957939421</v>
      </c>
      <c r="W37" s="475">
        <f t="shared" si="5"/>
        <v>51.156778038907561</v>
      </c>
      <c r="X37" s="296">
        <f t="shared" si="22"/>
        <v>1.9139170707384743</v>
      </c>
      <c r="Y37" s="296">
        <f t="shared" si="20"/>
        <v>97.90983077264427</v>
      </c>
      <c r="Z37" s="552">
        <f t="shared" si="6"/>
        <v>49.068521368715238</v>
      </c>
      <c r="AA37" s="11">
        <f t="shared" si="7"/>
        <v>0.75</v>
      </c>
      <c r="AB37" s="296">
        <f t="shared" si="8"/>
        <v>0.94423444627214537</v>
      </c>
      <c r="AC37" s="297">
        <f t="shared" si="9"/>
        <v>0.94798000000000004</v>
      </c>
      <c r="AD37" s="297">
        <f t="shared" si="10"/>
        <v>0.12570214800000001</v>
      </c>
      <c r="AE37" s="297">
        <f t="shared" si="11"/>
        <v>0.10874405803400035</v>
      </c>
      <c r="AF37" s="297">
        <f t="shared" si="12"/>
        <v>0.16728946834825814</v>
      </c>
      <c r="AG37" s="553">
        <f t="shared" si="23"/>
        <v>1.5383780169023373</v>
      </c>
      <c r="AH37" s="297">
        <f t="shared" si="13"/>
        <v>0.13914259723711997</v>
      </c>
      <c r="AI37" s="296">
        <f t="shared" si="24"/>
        <v>1.2795420711043826</v>
      </c>
      <c r="AL37" s="324">
        <v>1.25</v>
      </c>
      <c r="AM37" s="324">
        <v>-6.8</v>
      </c>
      <c r="AN37" s="324">
        <v>1.31</v>
      </c>
      <c r="AO37" s="573">
        <v>2.0499999999999998</v>
      </c>
      <c r="AP37" s="573">
        <v>2.6</v>
      </c>
      <c r="AQ37" s="324">
        <v>2.95</v>
      </c>
      <c r="AR37" s="324">
        <v>3.6</v>
      </c>
    </row>
    <row r="38" spans="1:44" ht="15" customHeight="1">
      <c r="A38" s="527" t="s">
        <v>194</v>
      </c>
      <c r="B38" s="577">
        <v>41</v>
      </c>
      <c r="C38" s="577">
        <v>88</v>
      </c>
      <c r="D38" s="567">
        <v>0.93</v>
      </c>
      <c r="E38" s="567">
        <v>0.77</v>
      </c>
      <c r="F38" s="569">
        <v>23</v>
      </c>
      <c r="G38" s="569">
        <v>31</v>
      </c>
      <c r="H38" s="141">
        <v>4.3999999999999997E-2</v>
      </c>
      <c r="J38"/>
      <c r="K38" s="557">
        <v>7</v>
      </c>
      <c r="L38" s="557">
        <f t="shared" si="0"/>
        <v>4100</v>
      </c>
      <c r="M38" s="558">
        <f t="shared" si="14"/>
        <v>46.590909090909093</v>
      </c>
      <c r="N38" s="557">
        <f t="shared" si="15"/>
        <v>18.5</v>
      </c>
      <c r="O38" s="557">
        <f t="shared" si="16"/>
        <v>18.5</v>
      </c>
      <c r="P38" s="557">
        <f t="shared" si="17"/>
        <v>129.5</v>
      </c>
      <c r="Q38" s="557">
        <f t="shared" si="18"/>
        <v>129.5</v>
      </c>
      <c r="R38" s="573"/>
      <c r="S38" s="21">
        <f t="shared" si="3"/>
        <v>1.1734267495506636</v>
      </c>
      <c r="T38" s="475">
        <f t="shared" si="4"/>
        <v>0.70953659069538777</v>
      </c>
      <c r="U38" s="475">
        <f t="shared" si="21"/>
        <v>33.05108276063541</v>
      </c>
      <c r="V38" s="476">
        <f t="shared" si="19"/>
        <v>2.3384553023179491</v>
      </c>
      <c r="W38" s="475">
        <f t="shared" si="5"/>
        <v>34.129061659389293</v>
      </c>
      <c r="X38" s="296">
        <f t="shared" si="22"/>
        <v>2.0782985528181506</v>
      </c>
      <c r="Y38" s="296">
        <f t="shared" si="20"/>
        <v>70.930379455750199</v>
      </c>
      <c r="Z38" s="552">
        <f t="shared" si="6"/>
        <v>37.738832185732605</v>
      </c>
      <c r="AA38" s="11">
        <f t="shared" si="7"/>
        <v>1</v>
      </c>
      <c r="AB38" s="296">
        <f t="shared" si="8"/>
        <v>1</v>
      </c>
      <c r="AC38" s="297">
        <f t="shared" si="9"/>
        <v>0.94645000000000001</v>
      </c>
      <c r="AD38" s="297">
        <f t="shared" si="10"/>
        <v>0.12549927</v>
      </c>
      <c r="AE38" s="297">
        <f t="shared" si="11"/>
        <v>0.10251416439029543</v>
      </c>
      <c r="AF38" s="297">
        <f t="shared" si="12"/>
        <v>0.11318790193460559</v>
      </c>
      <c r="AG38" s="553">
        <f t="shared" si="23"/>
        <v>1.1041196366159973</v>
      </c>
      <c r="AH38" s="297">
        <f t="shared" si="13"/>
        <v>0.10076102274255944</v>
      </c>
      <c r="AI38" s="296">
        <f t="shared" si="24"/>
        <v>0.98289854228278772</v>
      </c>
      <c r="AL38" s="324">
        <v>1.25</v>
      </c>
      <c r="AM38" s="324">
        <v>-7</v>
      </c>
      <c r="AN38" s="324">
        <v>1.31</v>
      </c>
      <c r="AO38" s="573">
        <v>2.0499999999999998</v>
      </c>
      <c r="AP38" s="573">
        <v>2.6</v>
      </c>
      <c r="AQ38" s="324">
        <v>2.95</v>
      </c>
      <c r="AR38" s="324">
        <v>3.6</v>
      </c>
    </row>
    <row r="39" spans="1:44" ht="15" customHeight="1">
      <c r="A39" s="567">
        <v>7.2</v>
      </c>
      <c r="B39" s="577">
        <v>53</v>
      </c>
      <c r="C39" s="577">
        <v>50</v>
      </c>
      <c r="D39" s="567">
        <v>0.9</v>
      </c>
      <c r="E39" s="567">
        <v>0.79</v>
      </c>
      <c r="F39" s="568" t="s">
        <v>178</v>
      </c>
      <c r="G39" s="568" t="s">
        <v>178</v>
      </c>
      <c r="H39" s="568" t="s">
        <v>178</v>
      </c>
      <c r="J39"/>
      <c r="K39" s="557">
        <v>7.2</v>
      </c>
      <c r="L39" s="557">
        <f t="shared" si="0"/>
        <v>5300</v>
      </c>
      <c r="M39" s="558">
        <f t="shared" si="14"/>
        <v>106</v>
      </c>
      <c r="N39" s="557">
        <f t="shared" si="15"/>
        <v>18.5</v>
      </c>
      <c r="O39" s="557">
        <f t="shared" si="16"/>
        <v>18.5</v>
      </c>
      <c r="P39" s="557">
        <f t="shared" si="17"/>
        <v>133.20000000000002</v>
      </c>
      <c r="Q39" s="557">
        <f t="shared" si="18"/>
        <v>133.20000000000002</v>
      </c>
      <c r="R39" s="573"/>
      <c r="S39" s="21">
        <f t="shared" si="3"/>
        <v>2.0515599597429746</v>
      </c>
      <c r="T39" s="475">
        <f t="shared" si="4"/>
        <v>0.72801500508924022</v>
      </c>
      <c r="U39" s="475">
        <f t="shared" si="21"/>
        <v>41.935391999676966</v>
      </c>
      <c r="V39" s="476">
        <f t="shared" si="19"/>
        <v>2.4000500169641219</v>
      </c>
      <c r="W39" s="475">
        <f t="shared" si="5"/>
        <v>43.016485561331564</v>
      </c>
      <c r="X39" s="296">
        <f t="shared" si="22"/>
        <v>2.3125753504091016</v>
      </c>
      <c r="Y39" s="296">
        <f t="shared" si="20"/>
        <v>99.478864170364403</v>
      </c>
      <c r="Z39" s="552">
        <f t="shared" si="6"/>
        <v>44.693567974120754</v>
      </c>
      <c r="AA39" s="11">
        <f t="shared" si="7"/>
        <v>0.75</v>
      </c>
      <c r="AB39" s="296">
        <f t="shared" si="8"/>
        <v>0.93083765583302835</v>
      </c>
      <c r="AC39" s="297">
        <f t="shared" si="9"/>
        <v>0.94491999999999998</v>
      </c>
      <c r="AD39" s="297">
        <f t="shared" si="10"/>
        <v>0.12529639200000001</v>
      </c>
      <c r="AE39" s="297">
        <f t="shared" si="11"/>
        <v>0.10995305434423633</v>
      </c>
      <c r="AF39" s="297">
        <f t="shared" si="12"/>
        <v>0.17155359502612333</v>
      </c>
      <c r="AG39" s="553">
        <f t="shared" si="23"/>
        <v>1.5602440154962014</v>
      </c>
      <c r="AH39" s="297">
        <f t="shared" si="13"/>
        <v>0.14167998413283139</v>
      </c>
      <c r="AI39" s="296">
        <f t="shared" si="24"/>
        <v>1.2885497813390954</v>
      </c>
      <c r="AL39" s="324">
        <v>1.25</v>
      </c>
      <c r="AM39" s="324">
        <v>-7.2</v>
      </c>
      <c r="AN39" s="324">
        <v>1.31</v>
      </c>
      <c r="AO39" s="573">
        <v>2.0499999999999998</v>
      </c>
      <c r="AP39" s="573">
        <v>2.6</v>
      </c>
      <c r="AQ39" s="324">
        <v>2.95</v>
      </c>
      <c r="AR39" s="324">
        <v>3.6</v>
      </c>
    </row>
    <row r="40" spans="1:44" ht="15" customHeight="1">
      <c r="A40" s="567">
        <v>7.4</v>
      </c>
      <c r="B40" s="577">
        <v>32</v>
      </c>
      <c r="C40" s="577">
        <v>32</v>
      </c>
      <c r="D40" s="567">
        <v>0.9</v>
      </c>
      <c r="E40" s="567">
        <v>0.81</v>
      </c>
      <c r="F40" s="569">
        <v>46</v>
      </c>
      <c r="G40" s="569">
        <v>34</v>
      </c>
      <c r="H40" s="141">
        <v>9.2999999999999999E-2</v>
      </c>
      <c r="J40"/>
      <c r="K40" s="557">
        <v>7.4</v>
      </c>
      <c r="L40" s="557">
        <f t="shared" si="0"/>
        <v>3200</v>
      </c>
      <c r="M40" s="558">
        <f t="shared" si="14"/>
        <v>100</v>
      </c>
      <c r="N40" s="557">
        <f t="shared" si="15"/>
        <v>18.5</v>
      </c>
      <c r="O40" s="557">
        <f t="shared" si="16"/>
        <v>18.5</v>
      </c>
      <c r="P40" s="557">
        <f t="shared" si="17"/>
        <v>136.9</v>
      </c>
      <c r="Q40" s="557">
        <f t="shared" si="18"/>
        <v>136.9</v>
      </c>
      <c r="R40" s="573"/>
      <c r="S40" s="21">
        <f t="shared" si="3"/>
        <v>3.2646665143155627</v>
      </c>
      <c r="T40" s="475">
        <f t="shared" si="4"/>
        <v>0.82411384109516117</v>
      </c>
      <c r="U40" s="475">
        <f t="shared" si="21"/>
        <v>23.645538320425604</v>
      </c>
      <c r="V40" s="476">
        <f t="shared" si="19"/>
        <v>2.720379470317186</v>
      </c>
      <c r="W40" s="475">
        <f t="shared" si="5"/>
        <v>24.702335093650856</v>
      </c>
      <c r="X40" s="296">
        <f t="shared" si="22"/>
        <v>4.14680204141494</v>
      </c>
      <c r="Y40" s="296">
        <f t="shared" si="20"/>
        <v>102.43569359406729</v>
      </c>
      <c r="Z40" s="552">
        <f t="shared" si="6"/>
        <v>29.83858478069213</v>
      </c>
      <c r="AA40" s="11">
        <f t="shared" si="7"/>
        <v>1</v>
      </c>
      <c r="AB40" s="296">
        <f t="shared" si="8"/>
        <v>1</v>
      </c>
      <c r="AC40" s="297">
        <f t="shared" si="9"/>
        <v>0.94338999999999995</v>
      </c>
      <c r="AD40" s="297">
        <f t="shared" si="10"/>
        <v>0.12509351399999999</v>
      </c>
      <c r="AE40" s="297">
        <f t="shared" si="11"/>
        <v>0.10218272232464558</v>
      </c>
      <c r="AF40" s="297">
        <f t="shared" si="12"/>
        <v>0.1799624486094312</v>
      </c>
      <c r="AG40" s="553">
        <f t="shared" si="23"/>
        <v>1.7611827568820393</v>
      </c>
      <c r="AH40" s="297">
        <f t="shared" si="13"/>
        <v>0.14657248193890748</v>
      </c>
      <c r="AI40" s="296">
        <f t="shared" si="24"/>
        <v>1.4344155117851609</v>
      </c>
      <c r="AL40" s="324">
        <v>1.25</v>
      </c>
      <c r="AM40" s="324">
        <v>-7.4</v>
      </c>
      <c r="AN40" s="324">
        <v>1.31</v>
      </c>
      <c r="AO40" s="573">
        <v>2.0499999999999998</v>
      </c>
      <c r="AP40" s="573">
        <v>2.6</v>
      </c>
      <c r="AQ40" s="324">
        <v>2.95</v>
      </c>
      <c r="AR40" s="324">
        <v>3.6</v>
      </c>
    </row>
    <row r="41" spans="1:44" ht="15" customHeight="1">
      <c r="A41" s="567">
        <v>7.6</v>
      </c>
      <c r="B41" s="577">
        <v>43</v>
      </c>
      <c r="C41" s="577">
        <v>40</v>
      </c>
      <c r="D41" s="567">
        <v>0.89</v>
      </c>
      <c r="E41" s="567">
        <v>0.83</v>
      </c>
      <c r="F41" s="569">
        <v>41</v>
      </c>
      <c r="G41" s="569">
        <v>34</v>
      </c>
      <c r="H41" s="141">
        <v>8.1000000000000003E-2</v>
      </c>
      <c r="J41"/>
      <c r="K41" s="557">
        <v>7.6</v>
      </c>
      <c r="L41" s="557">
        <f t="shared" si="0"/>
        <v>4300</v>
      </c>
      <c r="M41" s="558">
        <f t="shared" si="14"/>
        <v>107.5</v>
      </c>
      <c r="N41" s="557">
        <f t="shared" si="15"/>
        <v>18.5</v>
      </c>
      <c r="O41" s="557">
        <f t="shared" si="16"/>
        <v>18.5</v>
      </c>
      <c r="P41" s="557">
        <f t="shared" si="17"/>
        <v>140.6</v>
      </c>
      <c r="Q41" s="557">
        <f t="shared" si="18"/>
        <v>140.6</v>
      </c>
      <c r="R41" s="573"/>
      <c r="S41" s="21">
        <f t="shared" si="3"/>
        <v>2.5845073808722416</v>
      </c>
      <c r="T41" s="475">
        <f t="shared" si="4"/>
        <v>0.77450926620179072</v>
      </c>
      <c r="U41" s="475">
        <f t="shared" si="21"/>
        <v>31.945867449980099</v>
      </c>
      <c r="V41" s="476">
        <f t="shared" si="19"/>
        <v>2.5550308873392562</v>
      </c>
      <c r="W41" s="475">
        <f t="shared" si="5"/>
        <v>33.025732085135942</v>
      </c>
      <c r="X41" s="296">
        <f t="shared" si="22"/>
        <v>3.0624324693762013</v>
      </c>
      <c r="Y41" s="296">
        <f t="shared" si="20"/>
        <v>101.13907426243971</v>
      </c>
      <c r="Z41" s="552">
        <f t="shared" si="6"/>
        <v>37.925402485687158</v>
      </c>
      <c r="AA41" s="11">
        <f t="shared" si="7"/>
        <v>1</v>
      </c>
      <c r="AB41" s="296">
        <f t="shared" si="8"/>
        <v>1</v>
      </c>
      <c r="AC41" s="297">
        <f t="shared" si="9"/>
        <v>0.94186000000000003</v>
      </c>
      <c r="AD41" s="297">
        <f t="shared" si="10"/>
        <v>0.124890636</v>
      </c>
      <c r="AE41" s="297">
        <f t="shared" si="11"/>
        <v>0.10201700129182066</v>
      </c>
      <c r="AF41" s="297">
        <f t="shared" si="12"/>
        <v>0.17621435461630192</v>
      </c>
      <c r="AG41" s="553">
        <f t="shared" si="23"/>
        <v>1.727303806080704</v>
      </c>
      <c r="AH41" s="297">
        <f t="shared" si="13"/>
        <v>0.14440863089246747</v>
      </c>
      <c r="AI41" s="296">
        <f t="shared" si="24"/>
        <v>1.4155349506832211</v>
      </c>
      <c r="AL41" s="324">
        <v>1.25</v>
      </c>
      <c r="AM41" s="324">
        <v>-7.6</v>
      </c>
      <c r="AN41" s="324">
        <v>1.31</v>
      </c>
      <c r="AO41" s="573">
        <v>2.0499999999999998</v>
      </c>
      <c r="AP41" s="573">
        <v>2.6</v>
      </c>
      <c r="AQ41" s="324">
        <v>2.95</v>
      </c>
      <c r="AR41" s="324">
        <v>3.6</v>
      </c>
    </row>
    <row r="42" spans="1:44" ht="15" customHeight="1">
      <c r="A42" s="567">
        <v>7.8</v>
      </c>
      <c r="B42" s="577">
        <v>39</v>
      </c>
      <c r="C42" s="577">
        <v>53</v>
      </c>
      <c r="D42" s="567">
        <v>0.91</v>
      </c>
      <c r="E42" s="567">
        <v>0.85</v>
      </c>
      <c r="F42" s="569">
        <v>48</v>
      </c>
      <c r="G42" s="569">
        <v>35</v>
      </c>
      <c r="H42" s="141">
        <v>9.9000000000000005E-2</v>
      </c>
      <c r="J42"/>
      <c r="K42" s="557">
        <v>7.8</v>
      </c>
      <c r="L42" s="557">
        <f t="shared" si="0"/>
        <v>3900</v>
      </c>
      <c r="M42" s="558">
        <f t="shared" si="14"/>
        <v>73.584905660377359</v>
      </c>
      <c r="N42" s="557">
        <f t="shared" si="15"/>
        <v>18.5</v>
      </c>
      <c r="O42" s="557">
        <f t="shared" si="16"/>
        <v>18.5</v>
      </c>
      <c r="P42" s="557">
        <f t="shared" si="17"/>
        <v>144.29999999999998</v>
      </c>
      <c r="Q42" s="557">
        <f t="shared" si="18"/>
        <v>144.29999999999998</v>
      </c>
      <c r="R42" s="573"/>
      <c r="S42" s="21">
        <f t="shared" si="3"/>
        <v>1.9592860361684203</v>
      </c>
      <c r="T42" s="475">
        <f t="shared" si="4"/>
        <v>0.76426501909501088</v>
      </c>
      <c r="U42" s="475">
        <f t="shared" si="21"/>
        <v>28.377178274773541</v>
      </c>
      <c r="V42" s="476">
        <f t="shared" si="19"/>
        <v>2.5208833969832369</v>
      </c>
      <c r="W42" s="475">
        <f t="shared" si="5"/>
        <v>29.467474844001604</v>
      </c>
      <c r="X42" s="296">
        <f t="shared" si="22"/>
        <v>2.8762739599365794</v>
      </c>
      <c r="Y42" s="296">
        <f t="shared" si="20"/>
        <v>84.756530558888031</v>
      </c>
      <c r="Z42" s="552">
        <f t="shared" si="6"/>
        <v>34.754475137663661</v>
      </c>
      <c r="AA42" s="11">
        <f t="shared" si="7"/>
        <v>1</v>
      </c>
      <c r="AB42" s="296">
        <f t="shared" si="8"/>
        <v>1</v>
      </c>
      <c r="AC42" s="297">
        <f t="shared" si="9"/>
        <v>0.94033</v>
      </c>
      <c r="AD42" s="297">
        <f t="shared" si="10"/>
        <v>0.124687758</v>
      </c>
      <c r="AE42" s="297">
        <f t="shared" si="11"/>
        <v>0.10185128025899573</v>
      </c>
      <c r="AF42" s="297">
        <f t="shared" si="12"/>
        <v>0.13662424980794535</v>
      </c>
      <c r="AG42" s="553">
        <f t="shared" si="23"/>
        <v>1.3414092533793005</v>
      </c>
      <c r="AH42" s="297">
        <f t="shared" si="13"/>
        <v>0.11926559783428027</v>
      </c>
      <c r="AI42" s="296">
        <f t="shared" si="24"/>
        <v>1.170977895722096</v>
      </c>
      <c r="AL42" s="324">
        <v>1.25</v>
      </c>
      <c r="AM42" s="324">
        <v>-7.8</v>
      </c>
      <c r="AN42" s="324">
        <v>1.31</v>
      </c>
      <c r="AO42" s="573">
        <v>2.0499999999999998</v>
      </c>
      <c r="AP42" s="573">
        <v>2.6</v>
      </c>
      <c r="AQ42" s="324">
        <v>2.95</v>
      </c>
      <c r="AR42" s="324">
        <v>3.6</v>
      </c>
    </row>
    <row r="43" spans="1:44" ht="15" customHeight="1">
      <c r="A43" s="527" t="s">
        <v>196</v>
      </c>
      <c r="B43" s="577">
        <v>47</v>
      </c>
      <c r="C43" s="577">
        <v>59</v>
      </c>
      <c r="D43" s="567">
        <v>0.89</v>
      </c>
      <c r="E43" s="567">
        <v>0.86</v>
      </c>
      <c r="F43" s="569">
        <v>41</v>
      </c>
      <c r="G43" s="569">
        <v>34</v>
      </c>
      <c r="H43" s="141">
        <v>8.3000000000000004E-2</v>
      </c>
      <c r="J43"/>
      <c r="K43" s="557">
        <v>8</v>
      </c>
      <c r="L43" s="557">
        <f t="shared" si="0"/>
        <v>4700</v>
      </c>
      <c r="M43" s="558">
        <f t="shared" si="14"/>
        <v>79.66101694915254</v>
      </c>
      <c r="N43" s="557">
        <f t="shared" si="15"/>
        <v>18.5</v>
      </c>
      <c r="O43" s="557">
        <f t="shared" si="16"/>
        <v>18.5</v>
      </c>
      <c r="P43" s="557">
        <f t="shared" si="17"/>
        <v>148</v>
      </c>
      <c r="Q43" s="557">
        <f t="shared" si="18"/>
        <v>148</v>
      </c>
      <c r="R43" s="573"/>
      <c r="S43" s="21">
        <f t="shared" si="3"/>
        <v>1.7500223407107325</v>
      </c>
      <c r="T43" s="475">
        <f t="shared" si="4"/>
        <v>0.73626944077289969</v>
      </c>
      <c r="U43" s="475">
        <f t="shared" si="21"/>
        <v>34.107018393115474</v>
      </c>
      <c r="V43" s="476">
        <f t="shared" si="19"/>
        <v>2.427564802576069</v>
      </c>
      <c r="W43" s="475">
        <f t="shared" si="5"/>
        <v>35.215946056160526</v>
      </c>
      <c r="X43" s="296">
        <f t="shared" si="22"/>
        <v>2.4284241477190669</v>
      </c>
      <c r="Y43" s="296">
        <f t="shared" si="20"/>
        <v>85.519253787552259</v>
      </c>
      <c r="Z43" s="552">
        <f t="shared" si="6"/>
        <v>39.739822015723746</v>
      </c>
      <c r="AA43" s="11">
        <f t="shared" si="7"/>
        <v>1</v>
      </c>
      <c r="AB43" s="296">
        <f t="shared" si="8"/>
        <v>1</v>
      </c>
      <c r="AC43" s="297">
        <f t="shared" si="9"/>
        <v>0.93879999999999997</v>
      </c>
      <c r="AD43" s="297">
        <f t="shared" si="10"/>
        <v>0.12448487999999999</v>
      </c>
      <c r="AE43" s="297">
        <f t="shared" si="11"/>
        <v>0.1016855592261708</v>
      </c>
      <c r="AF43" s="297">
        <f t="shared" si="12"/>
        <v>0.1381667309688524</v>
      </c>
      <c r="AG43" s="553">
        <f t="shared" si="23"/>
        <v>1.3587645288112105</v>
      </c>
      <c r="AH43" s="297">
        <f t="shared" si="13"/>
        <v>0.120355557271598</v>
      </c>
      <c r="AI43" s="296">
        <f t="shared" si="24"/>
        <v>1.1836052059653923</v>
      </c>
      <c r="AL43" s="324">
        <v>1.25</v>
      </c>
      <c r="AM43" s="324">
        <v>-8</v>
      </c>
      <c r="AN43" s="324">
        <v>1.31</v>
      </c>
      <c r="AO43" s="573">
        <v>2.0499999999999998</v>
      </c>
      <c r="AP43" s="573">
        <v>2.6</v>
      </c>
      <c r="AQ43" s="324">
        <v>2.95</v>
      </c>
      <c r="AR43" s="324">
        <v>3.6</v>
      </c>
    </row>
    <row r="44" spans="1:44" ht="15" customHeight="1">
      <c r="A44" s="567">
        <v>8.1999999999999993</v>
      </c>
      <c r="B44" s="577">
        <v>48</v>
      </c>
      <c r="C44" s="577">
        <v>72</v>
      </c>
      <c r="D44" s="567">
        <v>0.92</v>
      </c>
      <c r="E44" s="567">
        <v>0.88</v>
      </c>
      <c r="F44" s="569">
        <v>51</v>
      </c>
      <c r="G44" s="569">
        <v>35</v>
      </c>
      <c r="H44" s="141">
        <v>0.105</v>
      </c>
      <c r="J44"/>
      <c r="K44" s="557">
        <v>8.1999999999999993</v>
      </c>
      <c r="L44" s="557">
        <f t="shared" si="0"/>
        <v>4800</v>
      </c>
      <c r="M44" s="558">
        <f t="shared" si="14"/>
        <v>66.666666666666671</v>
      </c>
      <c r="N44" s="557">
        <f t="shared" si="15"/>
        <v>18.5</v>
      </c>
      <c r="O44" s="557">
        <f t="shared" si="16"/>
        <v>18.5</v>
      </c>
      <c r="P44" s="557">
        <f t="shared" si="17"/>
        <v>151.69999999999999</v>
      </c>
      <c r="Q44" s="557">
        <f t="shared" si="18"/>
        <v>151.69999999999999</v>
      </c>
      <c r="R44" s="573"/>
      <c r="S44" s="21">
        <f t="shared" si="3"/>
        <v>1.4342160933387833</v>
      </c>
      <c r="T44" s="475">
        <f t="shared" si="4"/>
        <v>0.71992761567325025</v>
      </c>
      <c r="U44" s="475">
        <f t="shared" si="21"/>
        <v>34.434805310256166</v>
      </c>
      <c r="V44" s="476">
        <f t="shared" si="19"/>
        <v>2.373092052243587</v>
      </c>
      <c r="W44" s="475">
        <f t="shared" si="5"/>
        <v>35.558605401809174</v>
      </c>
      <c r="X44" s="296">
        <f t="shared" si="22"/>
        <v>2.2058647989585403</v>
      </c>
      <c r="Y44" s="296">
        <f t="shared" si="20"/>
        <v>78.437475955907857</v>
      </c>
      <c r="Z44" s="552">
        <f t="shared" si="6"/>
        <v>39.989397500826641</v>
      </c>
      <c r="AA44" s="11">
        <f t="shared" si="7"/>
        <v>1</v>
      </c>
      <c r="AB44" s="296">
        <f t="shared" si="8"/>
        <v>1</v>
      </c>
      <c r="AC44" s="297">
        <f t="shared" si="9"/>
        <v>0.93727000000000005</v>
      </c>
      <c r="AD44" s="297">
        <f t="shared" si="10"/>
        <v>0.12428200200000002</v>
      </c>
      <c r="AE44" s="297">
        <f t="shared" si="11"/>
        <v>0.10151983819334588</v>
      </c>
      <c r="AF44" s="297">
        <f t="shared" si="12"/>
        <v>0.12488009614823375</v>
      </c>
      <c r="AG44" s="553">
        <f t="shared" si="23"/>
        <v>1.2301053505463431</v>
      </c>
      <c r="AH44" s="297">
        <f t="shared" si="13"/>
        <v>0.11051411615280435</v>
      </c>
      <c r="AI44" s="296">
        <f t="shared" si="24"/>
        <v>1.0885962598002643</v>
      </c>
      <c r="AL44" s="324">
        <v>1.25</v>
      </c>
      <c r="AM44" s="324">
        <v>-8.1999999999999993</v>
      </c>
      <c r="AN44" s="324">
        <v>1.31</v>
      </c>
      <c r="AO44" s="573">
        <v>2.0499999999999998</v>
      </c>
      <c r="AP44" s="573">
        <v>2.6</v>
      </c>
      <c r="AQ44" s="324">
        <v>2.95</v>
      </c>
      <c r="AR44" s="324">
        <v>3.6</v>
      </c>
    </row>
    <row r="45" spans="1:44" ht="15" customHeight="1">
      <c r="A45" s="567">
        <v>8.4</v>
      </c>
      <c r="B45" s="577">
        <v>40</v>
      </c>
      <c r="C45" s="577">
        <v>35</v>
      </c>
      <c r="D45" s="567">
        <v>0.93</v>
      </c>
      <c r="E45" s="567">
        <v>0.9</v>
      </c>
      <c r="F45" s="569">
        <v>55</v>
      </c>
      <c r="G45" s="569">
        <v>36</v>
      </c>
      <c r="H45" s="141">
        <v>0.11600000000000001</v>
      </c>
      <c r="J45"/>
      <c r="K45" s="557">
        <v>8.4</v>
      </c>
      <c r="L45" s="557">
        <f t="shared" si="0"/>
        <v>4000</v>
      </c>
      <c r="M45" s="558">
        <f t="shared" si="14"/>
        <v>114.28571428571429</v>
      </c>
      <c r="N45" s="557">
        <f t="shared" si="15"/>
        <v>18.5</v>
      </c>
      <c r="O45" s="557">
        <f t="shared" si="16"/>
        <v>18.5</v>
      </c>
      <c r="P45" s="557">
        <f t="shared" si="17"/>
        <v>155.4</v>
      </c>
      <c r="Q45" s="557">
        <f t="shared" si="18"/>
        <v>155.4</v>
      </c>
      <c r="R45" s="573"/>
      <c r="S45" s="21">
        <f t="shared" si="3"/>
        <v>2.9726295137521275</v>
      </c>
      <c r="T45" s="475">
        <f t="shared" si="4"/>
        <v>0.80307542554664879</v>
      </c>
      <c r="U45" s="475">
        <f t="shared" si="21"/>
        <v>26.983703535046118</v>
      </c>
      <c r="V45" s="476">
        <f t="shared" si="19"/>
        <v>2.6502514184884247</v>
      </c>
      <c r="W45" s="475">
        <f t="shared" si="5"/>
        <v>28.074393731515496</v>
      </c>
      <c r="X45" s="296">
        <f t="shared" si="22"/>
        <v>3.6486754604660767</v>
      </c>
      <c r="Y45" s="296">
        <f t="shared" si="20"/>
        <v>102.43435147564324</v>
      </c>
      <c r="Z45" s="552">
        <f t="shared" si="6"/>
        <v>34.418075950303972</v>
      </c>
      <c r="AA45" s="11">
        <f t="shared" si="7"/>
        <v>1</v>
      </c>
      <c r="AB45" s="296">
        <f t="shared" si="8"/>
        <v>1</v>
      </c>
      <c r="AC45" s="297">
        <f t="shared" si="9"/>
        <v>0.93574000000000002</v>
      </c>
      <c r="AD45" s="297">
        <f t="shared" si="10"/>
        <v>0.12407912400000001</v>
      </c>
      <c r="AE45" s="297">
        <f t="shared" si="11"/>
        <v>0.10135411716052097</v>
      </c>
      <c r="AF45" s="297">
        <f t="shared" si="12"/>
        <v>0.17995851951943823</v>
      </c>
      <c r="AG45" s="553">
        <f t="shared" si="23"/>
        <v>1.7755422725889514</v>
      </c>
      <c r="AH45" s="297">
        <f t="shared" si="13"/>
        <v>0.14657022682278636</v>
      </c>
      <c r="AI45" s="296">
        <f t="shared" si="24"/>
        <v>1.4461201076879173</v>
      </c>
      <c r="AL45" s="324">
        <v>1.25</v>
      </c>
      <c r="AM45" s="324">
        <v>-8.4</v>
      </c>
      <c r="AN45" s="324">
        <v>1.31</v>
      </c>
      <c r="AO45" s="573">
        <v>2.0499999999999998</v>
      </c>
      <c r="AP45" s="573">
        <v>2.6</v>
      </c>
      <c r="AQ45" s="324">
        <v>2.95</v>
      </c>
      <c r="AR45" s="324">
        <v>3.6</v>
      </c>
    </row>
    <row r="46" spans="1:44" ht="15" customHeight="1">
      <c r="A46" s="567">
        <v>8.6</v>
      </c>
      <c r="B46" s="577">
        <v>33</v>
      </c>
      <c r="C46" s="577">
        <v>41</v>
      </c>
      <c r="D46" s="567">
        <v>0.93</v>
      </c>
      <c r="E46" s="567">
        <v>0.92</v>
      </c>
      <c r="F46" s="569">
        <v>54</v>
      </c>
      <c r="G46" s="569">
        <v>35</v>
      </c>
      <c r="H46" s="141">
        <v>0.113</v>
      </c>
      <c r="J46"/>
      <c r="K46" s="557">
        <v>8.6</v>
      </c>
      <c r="L46" s="557">
        <f t="shared" si="0"/>
        <v>3300</v>
      </c>
      <c r="M46" s="558">
        <f t="shared" si="14"/>
        <v>80.487804878048777</v>
      </c>
      <c r="N46" s="557">
        <f t="shared" si="15"/>
        <v>18.5</v>
      </c>
      <c r="O46" s="557">
        <f t="shared" si="16"/>
        <v>18.5</v>
      </c>
      <c r="P46" s="557">
        <f t="shared" si="17"/>
        <v>159.1</v>
      </c>
      <c r="Q46" s="557">
        <f t="shared" si="18"/>
        <v>159.1</v>
      </c>
      <c r="R46" s="573"/>
      <c r="S46" s="21">
        <f t="shared" si="3"/>
        <v>2.5625713928507361</v>
      </c>
      <c r="T46" s="475">
        <f t="shared" si="4"/>
        <v>0.81409543656559924</v>
      </c>
      <c r="U46" s="475">
        <f t="shared" si="21"/>
        <v>21.521638715574433</v>
      </c>
      <c r="V46" s="476">
        <f t="shared" si="19"/>
        <v>2.6869847885511784</v>
      </c>
      <c r="W46" s="475">
        <f t="shared" si="5"/>
        <v>22.61180163691796</v>
      </c>
      <c r="X46" s="296">
        <f t="shared" si="22"/>
        <v>3.9023638620797207</v>
      </c>
      <c r="Y46" s="296">
        <f t="shared" si="20"/>
        <v>88.239477564423723</v>
      </c>
      <c r="Z46" s="552">
        <f t="shared" si="6"/>
        <v>28.566804103603388</v>
      </c>
      <c r="AA46" s="11">
        <f t="shared" si="7"/>
        <v>1</v>
      </c>
      <c r="AB46" s="296">
        <f t="shared" si="8"/>
        <v>1</v>
      </c>
      <c r="AC46" s="297">
        <f t="shared" si="9"/>
        <v>0.93420999999999998</v>
      </c>
      <c r="AD46" s="297">
        <f t="shared" si="10"/>
        <v>0.12387624599999998</v>
      </c>
      <c r="AE46" s="297">
        <f t="shared" si="11"/>
        <v>0.10118839612769601</v>
      </c>
      <c r="AF46" s="297">
        <f t="shared" si="12"/>
        <v>0.1438957148005057</v>
      </c>
      <c r="AG46" s="553">
        <f t="shared" si="23"/>
        <v>1.4220574720733259</v>
      </c>
      <c r="AH46" s="297">
        <f t="shared" si="13"/>
        <v>0.12430301292581736</v>
      </c>
      <c r="AI46" s="296">
        <f t="shared" si="24"/>
        <v>1.228431496917409</v>
      </c>
      <c r="AL46" s="324">
        <v>1.25</v>
      </c>
      <c r="AM46" s="324">
        <v>-8.6</v>
      </c>
      <c r="AN46" s="324">
        <v>1.31</v>
      </c>
      <c r="AO46" s="573">
        <v>2.0499999999999998</v>
      </c>
      <c r="AP46" s="573">
        <v>2.6</v>
      </c>
      <c r="AQ46" s="324">
        <v>2.95</v>
      </c>
      <c r="AR46" s="324">
        <v>3.6</v>
      </c>
    </row>
    <row r="47" spans="1:44" ht="15" customHeight="1">
      <c r="A47" s="567">
        <v>8.8000000000000007</v>
      </c>
      <c r="B47" s="577">
        <v>46</v>
      </c>
      <c r="C47" s="577">
        <v>69</v>
      </c>
      <c r="D47" s="567">
        <v>0.94</v>
      </c>
      <c r="E47" s="567">
        <v>0.94</v>
      </c>
      <c r="F47" s="569">
        <v>59</v>
      </c>
      <c r="G47" s="569">
        <v>36</v>
      </c>
      <c r="H47" s="141">
        <v>0.128</v>
      </c>
      <c r="J47"/>
      <c r="K47" s="557">
        <v>8.8000000000000007</v>
      </c>
      <c r="L47" s="557">
        <f t="shared" si="0"/>
        <v>4600</v>
      </c>
      <c r="M47" s="558">
        <f t="shared" si="14"/>
        <v>66.666666666666671</v>
      </c>
      <c r="N47" s="557">
        <f t="shared" si="15"/>
        <v>18.5</v>
      </c>
      <c r="O47" s="557">
        <f t="shared" si="16"/>
        <v>18.5</v>
      </c>
      <c r="P47" s="557">
        <f t="shared" si="17"/>
        <v>162.80000000000001</v>
      </c>
      <c r="Q47" s="557">
        <f t="shared" si="18"/>
        <v>162.80000000000001</v>
      </c>
      <c r="R47" s="573"/>
      <c r="S47" s="21">
        <f t="shared" si="3"/>
        <v>1.5024489918567265</v>
      </c>
      <c r="T47" s="475">
        <f t="shared" si="4"/>
        <v>0.73452961615654233</v>
      </c>
      <c r="U47" s="475">
        <f t="shared" si="21"/>
        <v>31.020056086977888</v>
      </c>
      <c r="V47" s="476">
        <f t="shared" si="19"/>
        <v>2.4217653871861824</v>
      </c>
      <c r="W47" s="475">
        <f t="shared" si="5"/>
        <v>32.158175876701137</v>
      </c>
      <c r="X47" s="296">
        <f t="shared" si="22"/>
        <v>2.4034130983335835</v>
      </c>
      <c r="Y47" s="296">
        <f t="shared" si="20"/>
        <v>77.289381120578582</v>
      </c>
      <c r="Z47" s="552">
        <f t="shared" si="6"/>
        <v>37.757421672728867</v>
      </c>
      <c r="AA47" s="11">
        <f t="shared" si="7"/>
        <v>1</v>
      </c>
      <c r="AB47" s="296">
        <f t="shared" si="8"/>
        <v>1</v>
      </c>
      <c r="AC47" s="297">
        <f t="shared" si="9"/>
        <v>0.93267999999999995</v>
      </c>
      <c r="AD47" s="297">
        <f t="shared" si="10"/>
        <v>0.12367336799999998</v>
      </c>
      <c r="AE47" s="297">
        <f t="shared" si="11"/>
        <v>0.10102267509487108</v>
      </c>
      <c r="AF47" s="297">
        <f t="shared" si="12"/>
        <v>0.12293806191612165</v>
      </c>
      <c r="AG47" s="553">
        <f t="shared" si="23"/>
        <v>1.216935324675076</v>
      </c>
      <c r="AH47" s="297">
        <f t="shared" si="13"/>
        <v>0.10897710542233086</v>
      </c>
      <c r="AI47" s="296">
        <f t="shared" si="24"/>
        <v>1.0787390585330443</v>
      </c>
      <c r="AL47" s="324">
        <v>1.25</v>
      </c>
      <c r="AM47" s="324">
        <v>-8.8000000000000007</v>
      </c>
      <c r="AN47" s="324">
        <v>1.31</v>
      </c>
      <c r="AO47" s="573">
        <v>2.0499999999999998</v>
      </c>
      <c r="AP47" s="573">
        <v>2.6</v>
      </c>
      <c r="AQ47" s="324">
        <v>2.95</v>
      </c>
      <c r="AR47" s="324">
        <v>3.6</v>
      </c>
    </row>
    <row r="48" spans="1:44" ht="15" customHeight="1">
      <c r="A48" s="527" t="s">
        <v>197</v>
      </c>
      <c r="B48" s="577">
        <v>56</v>
      </c>
      <c r="C48" s="577">
        <v>60</v>
      </c>
      <c r="D48" s="567">
        <v>0.92</v>
      </c>
      <c r="E48" s="567">
        <v>0.96</v>
      </c>
      <c r="F48" s="569">
        <v>49</v>
      </c>
      <c r="G48" s="569">
        <v>35</v>
      </c>
      <c r="H48" s="141">
        <v>0.10199999999999999</v>
      </c>
      <c r="J48"/>
      <c r="K48" s="557">
        <v>9</v>
      </c>
      <c r="L48" s="557">
        <f t="shared" si="0"/>
        <v>5600</v>
      </c>
      <c r="M48" s="558">
        <f t="shared" si="14"/>
        <v>93.333333333333329</v>
      </c>
      <c r="N48" s="557">
        <f t="shared" si="15"/>
        <v>18.5</v>
      </c>
      <c r="O48" s="557">
        <f t="shared" si="16"/>
        <v>18.5</v>
      </c>
      <c r="P48" s="557">
        <f t="shared" si="17"/>
        <v>166.5</v>
      </c>
      <c r="Q48" s="557">
        <f t="shared" si="18"/>
        <v>166.5</v>
      </c>
      <c r="R48" s="573"/>
      <c r="S48" s="21">
        <f t="shared" si="3"/>
        <v>1.7177387196711758</v>
      </c>
      <c r="T48" s="475">
        <f t="shared" si="4"/>
        <v>0.72483530476356306</v>
      </c>
      <c r="U48" s="475">
        <f t="shared" si="21"/>
        <v>37.548346318847237</v>
      </c>
      <c r="V48" s="476">
        <f t="shared" si="19"/>
        <v>2.3894510158758071</v>
      </c>
      <c r="W48" s="475">
        <f t="shared" si="5"/>
        <v>38.69894899890393</v>
      </c>
      <c r="X48" s="296">
        <f t="shared" si="22"/>
        <v>2.269829378438164</v>
      </c>
      <c r="Y48" s="296">
        <f t="shared" si="20"/>
        <v>87.840011352392324</v>
      </c>
      <c r="Z48" s="552">
        <f t="shared" si="6"/>
        <v>43.073739933612046</v>
      </c>
      <c r="AA48" s="11">
        <f t="shared" si="7"/>
        <v>0.75</v>
      </c>
      <c r="AB48" s="296">
        <f t="shared" si="8"/>
        <v>0.88033190234827263</v>
      </c>
      <c r="AC48" s="297">
        <f t="shared" si="9"/>
        <v>0.93115000000000003</v>
      </c>
      <c r="AD48" s="297">
        <f t="shared" si="10"/>
        <v>0.12347049</v>
      </c>
      <c r="AE48" s="297">
        <f t="shared" si="11"/>
        <v>0.11456696479249667</v>
      </c>
      <c r="AF48" s="297">
        <f t="shared" si="12"/>
        <v>0.14303185642887095</v>
      </c>
      <c r="AG48" s="553">
        <f t="shared" si="23"/>
        <v>1.2484563651304703</v>
      </c>
      <c r="AH48" s="297">
        <f t="shared" si="13"/>
        <v>0.12371738496942963</v>
      </c>
      <c r="AI48" s="296">
        <f t="shared" si="24"/>
        <v>1.07986962204599</v>
      </c>
      <c r="AL48" s="324">
        <v>1.25</v>
      </c>
      <c r="AM48" s="324">
        <v>-9</v>
      </c>
      <c r="AN48" s="324">
        <v>1.31</v>
      </c>
      <c r="AO48" s="573">
        <v>2.0499999999999998</v>
      </c>
      <c r="AP48" s="573">
        <v>2.6</v>
      </c>
      <c r="AQ48" s="324">
        <v>2.95</v>
      </c>
      <c r="AR48" s="324">
        <v>3.6</v>
      </c>
    </row>
    <row r="49" spans="1:49" ht="15" customHeight="1">
      <c r="A49" s="567">
        <v>9.1999999999999993</v>
      </c>
      <c r="B49" s="577">
        <v>56</v>
      </c>
      <c r="C49" s="577">
        <v>52</v>
      </c>
      <c r="D49" s="567">
        <v>0.94</v>
      </c>
      <c r="E49" s="567">
        <v>0.97</v>
      </c>
      <c r="F49" s="569">
        <v>57</v>
      </c>
      <c r="G49" s="569">
        <v>36</v>
      </c>
      <c r="H49" s="141">
        <v>0.123</v>
      </c>
      <c r="J49"/>
      <c r="K49" s="557">
        <v>9.1999999999999993</v>
      </c>
      <c r="L49" s="557">
        <f t="shared" si="0"/>
        <v>5600</v>
      </c>
      <c r="M49" s="558">
        <f t="shared" si="14"/>
        <v>107.69230769230769</v>
      </c>
      <c r="N49" s="557">
        <f t="shared" si="15"/>
        <v>18.5</v>
      </c>
      <c r="O49" s="557">
        <f t="shared" si="16"/>
        <v>18.5</v>
      </c>
      <c r="P49" s="557">
        <f t="shared" si="17"/>
        <v>170.2</v>
      </c>
      <c r="Q49" s="557">
        <f t="shared" si="18"/>
        <v>170.2</v>
      </c>
      <c r="R49" s="573"/>
      <c r="S49" s="21">
        <f t="shared" si="3"/>
        <v>1.9833568030555027</v>
      </c>
      <c r="T49" s="475">
        <f t="shared" si="4"/>
        <v>0.73884362468984621</v>
      </c>
      <c r="U49" s="475">
        <f t="shared" si="21"/>
        <v>36.655642637864716</v>
      </c>
      <c r="V49" s="476">
        <f t="shared" si="19"/>
        <v>2.4361454156294733</v>
      </c>
      <c r="W49" s="475">
        <f t="shared" si="5"/>
        <v>37.804633462013776</v>
      </c>
      <c r="X49" s="296">
        <f t="shared" si="22"/>
        <v>2.4660181792327585</v>
      </c>
      <c r="Y49" s="296">
        <f t="shared" si="20"/>
        <v>93.226913376557022</v>
      </c>
      <c r="Z49" s="552">
        <f t="shared" si="6"/>
        <v>42.758744442706472</v>
      </c>
      <c r="AA49" s="11">
        <f t="shared" si="7"/>
        <v>0.75</v>
      </c>
      <c r="AB49" s="296">
        <f t="shared" si="8"/>
        <v>0.87550798434989729</v>
      </c>
      <c r="AC49" s="297">
        <f t="shared" si="9"/>
        <v>0.92835999999999996</v>
      </c>
      <c r="AD49" s="297">
        <f t="shared" si="10"/>
        <v>0.123100536</v>
      </c>
      <c r="AE49" s="297">
        <f t="shared" si="11"/>
        <v>0.11485304381228249</v>
      </c>
      <c r="AF49" s="297">
        <f t="shared" si="12"/>
        <v>0.15535409617780457</v>
      </c>
      <c r="AG49" s="553">
        <f t="shared" si="23"/>
        <v>1.3526336875469978</v>
      </c>
      <c r="AH49" s="297">
        <f t="shared" si="13"/>
        <v>0.13179253947032421</v>
      </c>
      <c r="AI49" s="296">
        <f t="shared" si="24"/>
        <v>1.1474884347490857</v>
      </c>
      <c r="AL49" s="324">
        <v>1.25</v>
      </c>
      <c r="AM49" s="324">
        <v>-9.1999999999999993</v>
      </c>
      <c r="AN49" s="324">
        <v>1.31</v>
      </c>
      <c r="AO49" s="573">
        <v>2.0499999999999998</v>
      </c>
      <c r="AP49" s="573">
        <v>2.6</v>
      </c>
      <c r="AQ49" s="324">
        <v>2.95</v>
      </c>
      <c r="AR49" s="324">
        <v>3.6</v>
      </c>
    </row>
    <row r="50" spans="1:49" ht="15" customHeight="1">
      <c r="A50" s="567">
        <v>9.4</v>
      </c>
      <c r="B50" s="577">
        <v>58</v>
      </c>
      <c r="C50" s="577">
        <v>43</v>
      </c>
      <c r="D50" s="567">
        <v>0.95</v>
      </c>
      <c r="E50" s="567">
        <v>0.99</v>
      </c>
      <c r="F50" s="569">
        <v>59</v>
      </c>
      <c r="G50" s="569">
        <v>36</v>
      </c>
      <c r="H50" s="141">
        <v>0.127</v>
      </c>
      <c r="J50"/>
      <c r="K50" s="557">
        <v>9.4</v>
      </c>
      <c r="L50" s="557">
        <f t="shared" si="0"/>
        <v>5800</v>
      </c>
      <c r="M50" s="558">
        <f t="shared" si="14"/>
        <v>134.88372093023256</v>
      </c>
      <c r="N50" s="557">
        <f t="shared" si="15"/>
        <v>18.5</v>
      </c>
      <c r="O50" s="557">
        <f t="shared" si="16"/>
        <v>18.5</v>
      </c>
      <c r="P50" s="557">
        <f t="shared" si="17"/>
        <v>173.9</v>
      </c>
      <c r="Q50" s="557">
        <f t="shared" si="18"/>
        <v>173.9</v>
      </c>
      <c r="R50" s="573"/>
      <c r="S50" s="21">
        <f t="shared" si="3"/>
        <v>2.3974639791371031</v>
      </c>
      <c r="T50" s="475">
        <f t="shared" si="4"/>
        <v>0.75332390980782193</v>
      </c>
      <c r="U50" s="475">
        <f t="shared" si="21"/>
        <v>37.083782611619299</v>
      </c>
      <c r="V50" s="476">
        <f t="shared" si="19"/>
        <v>2.4844130326890448</v>
      </c>
      <c r="W50" s="475">
        <f t="shared" si="5"/>
        <v>38.23002419924849</v>
      </c>
      <c r="X50" s="296">
        <f t="shared" si="22"/>
        <v>2.6908627066584181</v>
      </c>
      <c r="Y50" s="296">
        <f t="shared" si="20"/>
        <v>102.87174639240662</v>
      </c>
      <c r="Z50" s="552">
        <f t="shared" si="6"/>
        <v>43.456361369064325</v>
      </c>
      <c r="AA50" s="11">
        <f t="shared" si="7"/>
        <v>0.75</v>
      </c>
      <c r="AB50" s="296">
        <f t="shared" si="8"/>
        <v>0.87081340239323546</v>
      </c>
      <c r="AC50" s="297">
        <f t="shared" si="9"/>
        <v>0.92301999999999995</v>
      </c>
      <c r="AD50" s="297">
        <f t="shared" si="10"/>
        <v>0.122392452</v>
      </c>
      <c r="AE50" s="297">
        <f t="shared" si="11"/>
        <v>0.11480801479501823</v>
      </c>
      <c r="AF50" s="297">
        <f t="shared" si="12"/>
        <v>0.18124446423446214</v>
      </c>
      <c r="AG50" s="553">
        <f t="shared" si="23"/>
        <v>1.5786743160576515</v>
      </c>
      <c r="AH50" s="297">
        <f t="shared" si="13"/>
        <v>0.14730688104962519</v>
      </c>
      <c r="AI50" s="296">
        <f t="shared" si="24"/>
        <v>1.2830714067535394</v>
      </c>
      <c r="AL50" s="324">
        <v>1.25</v>
      </c>
      <c r="AM50" s="324">
        <v>-9.4</v>
      </c>
      <c r="AN50" s="324">
        <v>1.31</v>
      </c>
      <c r="AO50" s="573">
        <v>2.0499999999999998</v>
      </c>
      <c r="AP50" s="573">
        <v>2.6</v>
      </c>
      <c r="AQ50" s="324">
        <v>2.95</v>
      </c>
      <c r="AR50" s="324">
        <v>3.6</v>
      </c>
    </row>
    <row r="51" spans="1:49" ht="15.75" customHeight="1">
      <c r="A51" s="567">
        <v>9.6</v>
      </c>
      <c r="B51" s="577">
        <v>64</v>
      </c>
      <c r="C51" s="577">
        <v>44</v>
      </c>
      <c r="D51" s="567">
        <v>0.95</v>
      </c>
      <c r="E51" s="567">
        <v>1.01</v>
      </c>
      <c r="F51" s="569">
        <v>60</v>
      </c>
      <c r="G51" s="569">
        <v>36</v>
      </c>
      <c r="H51" s="141">
        <v>0.13200000000000001</v>
      </c>
      <c r="J51"/>
      <c r="K51" s="557">
        <v>9.6</v>
      </c>
      <c r="L51" s="557">
        <f t="shared" si="0"/>
        <v>6400</v>
      </c>
      <c r="M51" s="558">
        <f t="shared" si="14"/>
        <v>145.45454545454547</v>
      </c>
      <c r="N51" s="557">
        <f t="shared" si="15"/>
        <v>18.5</v>
      </c>
      <c r="O51" s="557">
        <f t="shared" si="16"/>
        <v>18.5</v>
      </c>
      <c r="P51" s="557">
        <f t="shared" si="17"/>
        <v>177.6</v>
      </c>
      <c r="Q51" s="557">
        <f t="shared" si="18"/>
        <v>177.6</v>
      </c>
      <c r="R51" s="573"/>
      <c r="S51" s="21">
        <f t="shared" si="3"/>
        <v>2.3375955492180749</v>
      </c>
      <c r="T51" s="475">
        <f t="shared" ref="T51:T53" si="25">((AJ106-1.64)*0.3)+0.5</f>
        <v>0.74211769227874858</v>
      </c>
      <c r="U51" s="475">
        <f t="shared" ref="U51:U53" si="26">(($L51-$P51)/$R$4)*(($R$4/$Q51)^T51)</f>
        <v>40.629538648021537</v>
      </c>
      <c r="V51" s="476">
        <f t="shared" ref="V51:V52" si="27">((3.47-LOG(U51))^2+(LOG($S51)+1.22)^2)^0.5</f>
        <v>2.4470589742573758</v>
      </c>
      <c r="W51" s="475">
        <f t="shared" ref="W51:W53" si="28">(L51/$R$4)*($R$4/Q51)^T51</f>
        <v>41.78918863257551</v>
      </c>
      <c r="X51" s="296">
        <f t="shared" ref="X51:X53" si="29">-(0.403*V51^4)+(5.581*V51^3)-(21.63*V51^2)+(33.75*V51)-17.88</f>
        <v>2.5148572121173167</v>
      </c>
      <c r="Y51" s="296">
        <f t="shared" ref="Y51:Y53" si="30">X51*W51</f>
        <v>105.09384242116352</v>
      </c>
      <c r="Z51" s="552">
        <f t="shared" ref="Z51:Z53" si="31">-98+66*LOG(10*B51/(SQRT(10*(Q51/100))))</f>
        <v>45.976260555331351</v>
      </c>
      <c r="AA51" s="11">
        <f t="shared" ref="AA51:AA53" si="32">IF(Z51&lt;40,1,0.75)</f>
        <v>0.75</v>
      </c>
      <c r="AB51" s="296">
        <f t="shared" ref="AB51:AB53" si="33">IF(P51/$R$4&lt;=1,1,(P51/$R$4)^(AA51-1))</f>
        <v>0.86624204555342388</v>
      </c>
      <c r="AC51" s="297">
        <f t="shared" ref="AC51:AC53" si="34">IF(K51&lt;9.15,1-0.00765*K51,1.174-0.0267*K51)</f>
        <v>0.91767999999999994</v>
      </c>
      <c r="AD51" s="297">
        <f t="shared" ref="AD51:AD53" si="35">0.65*AC51*($R$7)*(P51/Q51)</f>
        <v>0.121684368</v>
      </c>
      <c r="AE51" s="297">
        <f t="shared" ref="AE51:AE53" si="36">AD51/($R$22*AB51)</f>
        <v>0.11474617238566422</v>
      </c>
      <c r="AF51" s="297">
        <f t="shared" ref="AF51:AF53" si="37">93*(Y51/1000)^3+0.08</f>
        <v>0.18794804000178322</v>
      </c>
      <c r="AG51" s="553">
        <f t="shared" ref="AG51:AG53" si="38">AF51/AE51</f>
        <v>1.6379460516563991</v>
      </c>
      <c r="AH51" s="297">
        <f t="shared" ref="AH51:AH53" si="39">EXP((Y51/540)+(Y51/67)^2-(Y51/80)^3+(Y51/114)^4-3)</f>
        <v>0.15110405162394022</v>
      </c>
      <c r="AI51" s="296">
        <f t="shared" ref="AI51:AI53" si="40">AH51/AE51</f>
        <v>1.3168548325610063</v>
      </c>
      <c r="AL51" s="324">
        <v>1.25</v>
      </c>
      <c r="AM51" s="324">
        <v>-9.6</v>
      </c>
      <c r="AN51" s="324">
        <v>1.31</v>
      </c>
      <c r="AO51" s="573">
        <v>2.0499999999999998</v>
      </c>
      <c r="AP51" s="573">
        <v>2.6</v>
      </c>
      <c r="AQ51" s="324">
        <v>2.95</v>
      </c>
      <c r="AR51" s="324">
        <v>3.6</v>
      </c>
    </row>
    <row r="52" spans="1:49">
      <c r="A52" s="574">
        <v>9.8000000000000007</v>
      </c>
      <c r="B52" s="577">
        <v>68</v>
      </c>
      <c r="C52" s="577">
        <v>42</v>
      </c>
      <c r="K52" s="557">
        <v>9.8000000000000007</v>
      </c>
      <c r="L52" s="557">
        <f t="shared" si="0"/>
        <v>6800</v>
      </c>
      <c r="M52" s="558">
        <f t="shared" si="14"/>
        <v>161.9047619047619</v>
      </c>
      <c r="N52" s="557">
        <f t="shared" si="15"/>
        <v>18.5</v>
      </c>
      <c r="O52" s="557">
        <f t="shared" si="16"/>
        <v>18.5</v>
      </c>
      <c r="P52" s="557">
        <f t="shared" si="17"/>
        <v>181.3</v>
      </c>
      <c r="Q52" s="557">
        <f t="shared" si="18"/>
        <v>181.3</v>
      </c>
      <c r="S52" s="21">
        <f t="shared" si="3"/>
        <v>2.4461716334742758</v>
      </c>
      <c r="T52" s="475">
        <f t="shared" si="25"/>
        <v>0.74136040448428742</v>
      </c>
      <c r="U52" s="475">
        <f t="shared" si="26"/>
        <v>42.580111670922193</v>
      </c>
      <c r="V52" s="476">
        <f t="shared" si="27"/>
        <v>2.4445346816078501</v>
      </c>
      <c r="W52" s="475">
        <f t="shared" si="28"/>
        <v>43.746469754222268</v>
      </c>
      <c r="X52" s="296">
        <f t="shared" si="29"/>
        <v>2.5034583109878064</v>
      </c>
      <c r="Y52" s="296">
        <f t="shared" si="30"/>
        <v>109.51746328258443</v>
      </c>
      <c r="Z52" s="552">
        <f t="shared" si="31"/>
        <v>47.4184607034598</v>
      </c>
      <c r="AA52" s="11">
        <f t="shared" si="32"/>
        <v>0.75</v>
      </c>
      <c r="AB52" s="296">
        <f t="shared" si="33"/>
        <v>0.8617882113953822</v>
      </c>
      <c r="AC52" s="297">
        <f t="shared" si="34"/>
        <v>0.91233999999999993</v>
      </c>
      <c r="AD52" s="297">
        <f t="shared" si="35"/>
        <v>0.12097628399999999</v>
      </c>
      <c r="AE52" s="297">
        <f t="shared" si="36"/>
        <v>0.11466803430496998</v>
      </c>
      <c r="AF52" s="297">
        <f t="shared" si="37"/>
        <v>0.20216113975796457</v>
      </c>
      <c r="AG52" s="553">
        <f t="shared" si="38"/>
        <v>1.7630121679796027</v>
      </c>
      <c r="AH52" s="297">
        <f t="shared" si="39"/>
        <v>0.15895995488915962</v>
      </c>
      <c r="AI52" s="296">
        <f t="shared" si="40"/>
        <v>1.3862621423019363</v>
      </c>
      <c r="AM52" s="324">
        <v>-9.8000000000000007</v>
      </c>
      <c r="AR52" s="207"/>
      <c r="AS52" s="207"/>
      <c r="AT52" s="207"/>
      <c r="AU52" s="207"/>
      <c r="AV52" s="207"/>
      <c r="AW52" s="207"/>
    </row>
    <row r="53" spans="1:49" ht="19.5" thickBot="1">
      <c r="A53" s="574">
        <v>10</v>
      </c>
      <c r="B53" s="578">
        <v>60</v>
      </c>
      <c r="C53" s="169" t="s">
        <v>178</v>
      </c>
      <c r="K53" s="557">
        <v>10</v>
      </c>
      <c r="L53" s="557">
        <f t="shared" si="0"/>
        <v>6000</v>
      </c>
      <c r="M53" s="169" t="s">
        <v>178</v>
      </c>
      <c r="N53" s="557">
        <f t="shared" si="15"/>
        <v>18.5</v>
      </c>
      <c r="O53" s="557">
        <f t="shared" si="16"/>
        <v>18.5</v>
      </c>
      <c r="P53" s="557">
        <f t="shared" si="17"/>
        <v>185</v>
      </c>
      <c r="Q53" s="557">
        <f t="shared" si="18"/>
        <v>185</v>
      </c>
      <c r="S53" s="21" t="e">
        <f t="shared" si="3"/>
        <v>#VALUE!</v>
      </c>
      <c r="T53" s="475" t="e">
        <f t="shared" si="25"/>
        <v>#VALUE!</v>
      </c>
      <c r="U53" s="475" t="e">
        <f t="shared" si="26"/>
        <v>#VALUE!</v>
      </c>
      <c r="V53" s="476"/>
      <c r="W53" s="475" t="e">
        <f t="shared" si="28"/>
        <v>#VALUE!</v>
      </c>
      <c r="X53" s="296">
        <f t="shared" si="29"/>
        <v>-17.88</v>
      </c>
      <c r="Y53" s="296" t="e">
        <f t="shared" si="30"/>
        <v>#VALUE!</v>
      </c>
      <c r="Z53" s="552">
        <f t="shared" si="31"/>
        <v>43.541315488021013</v>
      </c>
      <c r="AA53" s="11">
        <f t="shared" si="32"/>
        <v>0.75</v>
      </c>
      <c r="AB53" s="296">
        <f t="shared" si="33"/>
        <v>0.85744657098492594</v>
      </c>
      <c r="AC53" s="297">
        <f t="shared" si="34"/>
        <v>0.90699999999999992</v>
      </c>
      <c r="AD53" s="297">
        <f t="shared" si="35"/>
        <v>0.12026819999999999</v>
      </c>
      <c r="AE53" s="297">
        <f t="shared" si="36"/>
        <v>0.11457409081032099</v>
      </c>
      <c r="AF53" s="297" t="e">
        <f t="shared" si="37"/>
        <v>#VALUE!</v>
      </c>
      <c r="AG53" s="553" t="e">
        <f t="shared" si="38"/>
        <v>#VALUE!</v>
      </c>
      <c r="AH53" s="297" t="e">
        <f t="shared" si="39"/>
        <v>#VALUE!</v>
      </c>
      <c r="AI53" s="296" t="e">
        <f t="shared" si="40"/>
        <v>#VALUE!</v>
      </c>
      <c r="AM53" s="324">
        <v>-10</v>
      </c>
    </row>
    <row r="56" spans="1:49">
      <c r="M56" s="695" t="s">
        <v>600</v>
      </c>
      <c r="N56" s="695"/>
      <c r="O56" s="695"/>
      <c r="P56" s="695" t="s">
        <v>601</v>
      </c>
      <c r="Q56" s="695"/>
      <c r="R56" s="695"/>
      <c r="S56" s="695" t="s">
        <v>602</v>
      </c>
      <c r="T56" s="695"/>
      <c r="U56" s="695"/>
      <c r="V56" s="695" t="s">
        <v>603</v>
      </c>
      <c r="W56" s="695"/>
      <c r="X56" s="695"/>
      <c r="Y56" s="697" t="s">
        <v>604</v>
      </c>
      <c r="Z56" s="698"/>
      <c r="AA56" s="699"/>
      <c r="AB56" s="695" t="s">
        <v>605</v>
      </c>
      <c r="AC56" s="695"/>
      <c r="AD56" s="695"/>
      <c r="AE56" s="695" t="s">
        <v>606</v>
      </c>
      <c r="AF56" s="695"/>
      <c r="AG56" s="695"/>
      <c r="AH56" s="695" t="s">
        <v>607</v>
      </c>
      <c r="AI56" s="695"/>
      <c r="AJ56" s="695"/>
    </row>
    <row r="57" spans="1:49">
      <c r="K57" s="543" t="s">
        <v>594</v>
      </c>
      <c r="L57" s="543" t="s">
        <v>598</v>
      </c>
      <c r="M57" s="543" t="s">
        <v>529</v>
      </c>
      <c r="N57" s="543" t="s">
        <v>599</v>
      </c>
      <c r="O57" s="543" t="s">
        <v>598</v>
      </c>
      <c r="P57" s="543" t="s">
        <v>529</v>
      </c>
      <c r="Q57" s="543" t="s">
        <v>599</v>
      </c>
      <c r="R57" s="543" t="s">
        <v>598</v>
      </c>
      <c r="S57" s="543" t="s">
        <v>529</v>
      </c>
      <c r="T57" s="543" t="s">
        <v>599</v>
      </c>
      <c r="U57" s="543" t="s">
        <v>598</v>
      </c>
      <c r="V57" s="543" t="s">
        <v>529</v>
      </c>
      <c r="W57" s="543" t="s">
        <v>599</v>
      </c>
      <c r="X57" s="543" t="s">
        <v>598</v>
      </c>
      <c r="Y57" s="543" t="s">
        <v>529</v>
      </c>
      <c r="Z57" s="543" t="s">
        <v>599</v>
      </c>
      <c r="AA57" s="543" t="s">
        <v>598</v>
      </c>
      <c r="AB57" s="543" t="s">
        <v>529</v>
      </c>
      <c r="AC57" s="543" t="s">
        <v>599</v>
      </c>
      <c r="AD57" s="543" t="s">
        <v>598</v>
      </c>
      <c r="AE57" s="543" t="s">
        <v>529</v>
      </c>
      <c r="AF57" s="543" t="s">
        <v>599</v>
      </c>
      <c r="AG57" s="543" t="s">
        <v>598</v>
      </c>
      <c r="AH57" s="543" t="s">
        <v>529</v>
      </c>
      <c r="AI57" s="543" t="s">
        <v>599</v>
      </c>
      <c r="AJ57" s="543" t="s">
        <v>598</v>
      </c>
    </row>
    <row r="58" spans="1:49">
      <c r="K58" s="540" t="s">
        <v>176</v>
      </c>
      <c r="L58" s="540" t="s">
        <v>176</v>
      </c>
      <c r="M58" s="540" t="s">
        <v>176</v>
      </c>
      <c r="N58" s="540" t="s">
        <v>176</v>
      </c>
      <c r="O58" s="540" t="s">
        <v>176</v>
      </c>
      <c r="P58" s="540" t="s">
        <v>176</v>
      </c>
      <c r="Q58" s="540" t="s">
        <v>176</v>
      </c>
      <c r="R58" s="540" t="s">
        <v>176</v>
      </c>
      <c r="S58" s="540" t="s">
        <v>176</v>
      </c>
      <c r="T58" s="540" t="s">
        <v>176</v>
      </c>
      <c r="U58" s="540" t="s">
        <v>176</v>
      </c>
      <c r="V58" s="540" t="s">
        <v>176</v>
      </c>
      <c r="W58" s="540" t="s">
        <v>176</v>
      </c>
      <c r="X58" s="540" t="s">
        <v>176</v>
      </c>
      <c r="Y58" s="540" t="s">
        <v>176</v>
      </c>
      <c r="Z58" s="540" t="s">
        <v>176</v>
      </c>
      <c r="AA58" s="540" t="s">
        <v>176</v>
      </c>
      <c r="AB58" s="540" t="s">
        <v>176</v>
      </c>
      <c r="AC58" s="540" t="s">
        <v>176</v>
      </c>
      <c r="AD58" s="540" t="s">
        <v>176</v>
      </c>
      <c r="AE58" s="540" t="s">
        <v>176</v>
      </c>
      <c r="AF58" s="540" t="s">
        <v>176</v>
      </c>
      <c r="AG58" s="540" t="s">
        <v>176</v>
      </c>
      <c r="AH58" s="540" t="s">
        <v>176</v>
      </c>
      <c r="AI58" s="540" t="s">
        <v>176</v>
      </c>
      <c r="AJ58" s="540" t="s">
        <v>176</v>
      </c>
    </row>
    <row r="59" spans="1:49">
      <c r="K59" s="278">
        <f t="shared" ref="K59:K106" si="41">((L4-P4)/$R$4)*(($R$4/Q4)^$R$10)</f>
        <v>188.18918918918914</v>
      </c>
      <c r="L59" s="11" t="e">
        <f t="shared" ref="L59:L106" si="42">((3.47-LOG(K59))^2+(LOG(S4)+1.22)^2)^0.5</f>
        <v>#VALUE!</v>
      </c>
      <c r="M59" s="11" t="e">
        <f>((L59-1.64)*0.3)+0.5</f>
        <v>#VALUE!</v>
      </c>
      <c r="N59" s="11" t="e">
        <f t="shared" ref="N59:N106" si="43">((L4-P4)/$R$4)*(($R$4/Q4)^M59)</f>
        <v>#VALUE!</v>
      </c>
      <c r="O59" s="296" t="e">
        <f t="shared" ref="O59:O106" si="44">((3.47-LOG(N59))^2+(LOG(S4)+1.22)^2)^0.5</f>
        <v>#VALUE!</v>
      </c>
      <c r="P59" s="11" t="e">
        <f>((O59-1.64)*0.3)+0.5</f>
        <v>#VALUE!</v>
      </c>
      <c r="Q59" s="296" t="e">
        <f t="shared" ref="Q59:Q106" si="45">(($L4-$P4)/$R$4)*(($R$4/$Q4)^P59)</f>
        <v>#VALUE!</v>
      </c>
      <c r="R59" s="296" t="e">
        <f t="shared" ref="R59:R106" si="46">((3.47-LOG(Q59))^2+(LOG($S4)+1.22)^2)^0.5</f>
        <v>#VALUE!</v>
      </c>
      <c r="S59" s="296" t="e">
        <f>((R59-1.64)*0.3)+0.5</f>
        <v>#VALUE!</v>
      </c>
      <c r="T59" s="296" t="e">
        <f t="shared" ref="T59:T106" si="47">(($L4-$P4)/$R$4)*(($R$4/$Q4)^S59)</f>
        <v>#VALUE!</v>
      </c>
      <c r="U59" s="296" t="e">
        <f t="shared" ref="U59:U106" si="48">((3.47-LOG(T59))^2+(LOG($S4)+1.22)^2)^0.5</f>
        <v>#VALUE!</v>
      </c>
      <c r="V59" s="296" t="e">
        <f t="shared" ref="V59:V106" si="49">((U59-1.64)*0.3)+0.5</f>
        <v>#VALUE!</v>
      </c>
      <c r="W59" s="296" t="e">
        <f t="shared" ref="W59:W106" si="50">(($L4-$P4)/$R$4)*(($R$4/$Q4)^V59)</f>
        <v>#VALUE!</v>
      </c>
      <c r="X59" s="296" t="e">
        <f t="shared" ref="X59:X106" si="51">((3.47-LOG(W59))^2+(LOG($S4)+1.22)^2)^0.5</f>
        <v>#VALUE!</v>
      </c>
      <c r="Y59" s="296" t="e">
        <f t="shared" ref="Y59:Y106" si="52">((X59-1.64)*0.3)+0.5</f>
        <v>#VALUE!</v>
      </c>
      <c r="Z59" s="296" t="e">
        <f t="shared" ref="Z59:Z106" si="53">(($L4-$P4)/$R$4)*(($R$4/$Q4)^Y59)</f>
        <v>#VALUE!</v>
      </c>
      <c r="AA59" s="296" t="e">
        <f t="shared" ref="AA59:AA106" si="54">((3.47-LOG(Z59))^2+(LOG($S4)+1.22)^2)^0.5</f>
        <v>#VALUE!</v>
      </c>
      <c r="AB59" s="296" t="e">
        <f t="shared" ref="AB59:AB106" si="55">((AA59-1.64)*0.3)+0.5</f>
        <v>#VALUE!</v>
      </c>
      <c r="AC59" s="296" t="e">
        <f t="shared" ref="AC59:AC106" si="56">(($L4-$P4)/$R$4)*(($R$4/$Q4)^AB59)</f>
        <v>#VALUE!</v>
      </c>
      <c r="AD59" s="296" t="e">
        <f t="shared" ref="AD59:AD106" si="57">((3.47-LOG(AC59))^2+(LOG($S4)+1.22)^2)^0.5</f>
        <v>#VALUE!</v>
      </c>
      <c r="AE59" s="296" t="e">
        <f t="shared" ref="AE59:AE106" si="58">((AD59-1.64)*0.3)+0.5</f>
        <v>#VALUE!</v>
      </c>
      <c r="AF59" s="296" t="e">
        <f t="shared" ref="AF59:AF106" si="59">(($L4-$P4)/$R$4)*(($R$4/$Q4)^AE59)</f>
        <v>#VALUE!</v>
      </c>
      <c r="AG59" s="296" t="e">
        <f t="shared" ref="AG59:AG106" si="60">((3.47-LOG(AF59))^2+(LOG($S4)+1.22)^2)^0.5</f>
        <v>#VALUE!</v>
      </c>
      <c r="AH59" s="475" t="e">
        <f t="shared" ref="AH59:AH106" si="61">((AG59-1.64)*0.3)+0.5</f>
        <v>#VALUE!</v>
      </c>
      <c r="AI59" s="475" t="e">
        <f t="shared" ref="AI59:AI106" si="62">(($L4-$P4)/$R$4)*(($R$4/$Q4)^AH59)</f>
        <v>#VALUE!</v>
      </c>
      <c r="AJ59" s="475" t="e">
        <f t="shared" ref="AJ59:AJ106" si="63">((3.47-LOG(AI59))^2+(LOG($S4)+1.22)^2)^0.5</f>
        <v>#VALUE!</v>
      </c>
    </row>
    <row r="60" spans="1:49">
      <c r="K60" s="278">
        <f t="shared" si="41"/>
        <v>188.18918918918914</v>
      </c>
      <c r="L60" s="296">
        <f t="shared" si="42"/>
        <v>2.0604518723207916</v>
      </c>
      <c r="M60" s="296">
        <f t="shared" ref="M60:M106" si="64">((L60-1.64)*0.3)+0.5</f>
        <v>0.62613556169623752</v>
      </c>
      <c r="N60" s="11">
        <f t="shared" si="43"/>
        <v>71.095256129234016</v>
      </c>
      <c r="O60" s="296">
        <f t="shared" si="44"/>
        <v>2.3312888681333748</v>
      </c>
      <c r="P60" s="11">
        <f t="shared" ref="P60:P106" si="65">((O60-1.64)*0.3)+0.5</f>
        <v>0.70738666044001242</v>
      </c>
      <c r="Q60" s="296">
        <f t="shared" si="45"/>
        <v>87.844947648019115</v>
      </c>
      <c r="R60" s="296">
        <f t="shared" si="46"/>
        <v>2.2684815317677125</v>
      </c>
      <c r="S60" s="296">
        <f>((R60-1.64)*0.3)+0.5</f>
        <v>0.68854445953031373</v>
      </c>
      <c r="T60" s="296">
        <f t="shared" si="47"/>
        <v>83.639345411732364</v>
      </c>
      <c r="U60" s="296">
        <f t="shared" si="48"/>
        <v>2.2828711945059168</v>
      </c>
      <c r="V60" s="296">
        <f t="shared" si="49"/>
        <v>0.69286135835177509</v>
      </c>
      <c r="W60" s="296">
        <f t="shared" si="50"/>
        <v>84.58474366033613</v>
      </c>
      <c r="X60" s="296">
        <f t="shared" si="51"/>
        <v>2.2795648434310065</v>
      </c>
      <c r="Y60" s="296">
        <f t="shared" si="52"/>
        <v>0.69186945302930192</v>
      </c>
      <c r="Z60" s="296">
        <f t="shared" si="53"/>
        <v>84.366575747235146</v>
      </c>
      <c r="AA60" s="296">
        <f t="shared" si="54"/>
        <v>2.2803240520687549</v>
      </c>
      <c r="AB60" s="296">
        <f t="shared" si="55"/>
        <v>0.69209721562062643</v>
      </c>
      <c r="AC60" s="296">
        <f t="shared" si="56"/>
        <v>84.416621923764694</v>
      </c>
      <c r="AD60" s="296">
        <f t="shared" si="57"/>
        <v>2.2801496951527387</v>
      </c>
      <c r="AE60" s="296">
        <f t="shared" si="58"/>
        <v>0.69204490854582157</v>
      </c>
      <c r="AF60" s="296">
        <f t="shared" si="59"/>
        <v>84.40512588722838</v>
      </c>
      <c r="AG60" s="296">
        <f t="shared" si="60"/>
        <v>2.280189735893086</v>
      </c>
      <c r="AH60" s="475">
        <f t="shared" si="61"/>
        <v>0.6920569207679258</v>
      </c>
      <c r="AI60" s="475">
        <f t="shared" si="62"/>
        <v>84.407765792074201</v>
      </c>
      <c r="AJ60" s="475">
        <f t="shared" si="63"/>
        <v>2.2801805405382787</v>
      </c>
    </row>
    <row r="61" spans="1:49">
      <c r="K61" s="278">
        <f t="shared" si="41"/>
        <v>215.21621621621622</v>
      </c>
      <c r="L61" s="296">
        <f t="shared" si="42"/>
        <v>1.9792175003710244</v>
      </c>
      <c r="M61" s="296">
        <f t="shared" si="64"/>
        <v>0.60176525011130733</v>
      </c>
      <c r="N61" s="11">
        <f t="shared" si="43"/>
        <v>89.67872537326673</v>
      </c>
      <c r="O61" s="296">
        <f t="shared" si="44"/>
        <v>2.2195675264444383</v>
      </c>
      <c r="P61" s="11">
        <f t="shared" si="65"/>
        <v>0.67387025793333155</v>
      </c>
      <c r="Q61" s="296">
        <f t="shared" si="45"/>
        <v>105.08153808938287</v>
      </c>
      <c r="R61" s="296">
        <f t="shared" si="46"/>
        <v>2.1730909641148144</v>
      </c>
      <c r="S61" s="296">
        <f t="shared" ref="S61:S106" si="66">((R61-1.64)*0.3)+0.5</f>
        <v>0.65992728923444433</v>
      </c>
      <c r="T61" s="296">
        <f t="shared" si="47"/>
        <v>101.90966856237831</v>
      </c>
      <c r="U61" s="296">
        <f t="shared" si="48"/>
        <v>2.1819859939284445</v>
      </c>
      <c r="V61" s="296">
        <f t="shared" si="49"/>
        <v>0.66259579817853331</v>
      </c>
      <c r="W61" s="296">
        <f t="shared" si="50"/>
        <v>102.50922575133144</v>
      </c>
      <c r="X61" s="296">
        <f t="shared" si="51"/>
        <v>2.1802801167707546</v>
      </c>
      <c r="Y61" s="296">
        <f t="shared" si="52"/>
        <v>0.66208403503122637</v>
      </c>
      <c r="Z61" s="296">
        <f t="shared" si="53"/>
        <v>102.39397072915824</v>
      </c>
      <c r="AA61" s="296">
        <f t="shared" si="54"/>
        <v>2.180607140418672</v>
      </c>
      <c r="AB61" s="296">
        <f t="shared" si="55"/>
        <v>0.66218214212560156</v>
      </c>
      <c r="AC61" s="296">
        <f t="shared" si="56"/>
        <v>102.41605554526883</v>
      </c>
      <c r="AD61" s="296">
        <f t="shared" si="57"/>
        <v>2.180544443962682</v>
      </c>
      <c r="AE61" s="296">
        <f t="shared" si="58"/>
        <v>0.6621633331888046</v>
      </c>
      <c r="AF61" s="296">
        <f t="shared" si="59"/>
        <v>102.41182111025262</v>
      </c>
      <c r="AG61" s="296">
        <f t="shared" si="60"/>
        <v>2.1805564638559245</v>
      </c>
      <c r="AH61" s="475">
        <f t="shared" si="61"/>
        <v>0.66216693915677738</v>
      </c>
      <c r="AI61" s="475">
        <f t="shared" si="62"/>
        <v>102.41263290424564</v>
      </c>
      <c r="AJ61" s="475">
        <f t="shared" si="63"/>
        <v>2.1805541594476807</v>
      </c>
    </row>
    <row r="62" spans="1:49">
      <c r="K62" s="278">
        <f t="shared" si="41"/>
        <v>336.83783783783781</v>
      </c>
      <c r="L62" s="296">
        <f t="shared" si="42"/>
        <v>1.7117822342236471</v>
      </c>
      <c r="M62" s="296">
        <f t="shared" si="64"/>
        <v>0.5215346702670941</v>
      </c>
      <c r="N62" s="11">
        <f t="shared" si="43"/>
        <v>135.02676691396329</v>
      </c>
      <c r="O62" s="296">
        <f t="shared" si="44"/>
        <v>1.9586265417916404</v>
      </c>
      <c r="P62" s="11">
        <f t="shared" si="65"/>
        <v>0.59558796253749213</v>
      </c>
      <c r="Q62" s="296">
        <f t="shared" si="45"/>
        <v>155.54810361417537</v>
      </c>
      <c r="R62" s="296">
        <f t="shared" si="46"/>
        <v>1.9171261813036637</v>
      </c>
      <c r="S62" s="296">
        <f t="shared" si="66"/>
        <v>0.58313785439109911</v>
      </c>
      <c r="T62" s="296">
        <f t="shared" si="47"/>
        <v>151.89182118704952</v>
      </c>
      <c r="U62" s="296">
        <f t="shared" si="48"/>
        <v>1.9240287504983882</v>
      </c>
      <c r="V62" s="296">
        <f t="shared" si="49"/>
        <v>0.58520862514951644</v>
      </c>
      <c r="W62" s="296">
        <f t="shared" si="50"/>
        <v>152.49394057700803</v>
      </c>
      <c r="X62" s="296">
        <f t="shared" si="51"/>
        <v>1.922878547244286</v>
      </c>
      <c r="Y62" s="296">
        <f t="shared" si="52"/>
        <v>0.58486356417328578</v>
      </c>
      <c r="Z62" s="296">
        <f t="shared" si="53"/>
        <v>152.39344149278611</v>
      </c>
      <c r="AA62" s="296">
        <f t="shared" si="54"/>
        <v>1.9230701514786028</v>
      </c>
      <c r="AB62" s="296">
        <f t="shared" si="55"/>
        <v>0.58492104544358092</v>
      </c>
      <c r="AC62" s="296">
        <f t="shared" si="56"/>
        <v>152.41017832642171</v>
      </c>
      <c r="AD62" s="296">
        <f t="shared" si="57"/>
        <v>1.9230382318490093</v>
      </c>
      <c r="AE62" s="296">
        <f t="shared" si="58"/>
        <v>0.58491146955470286</v>
      </c>
      <c r="AF62" s="296">
        <f t="shared" si="59"/>
        <v>152.40738998523312</v>
      </c>
      <c r="AG62" s="296">
        <f t="shared" si="60"/>
        <v>1.9230435493414459</v>
      </c>
      <c r="AH62" s="475">
        <f t="shared" si="61"/>
        <v>0.58491306480243377</v>
      </c>
      <c r="AI62" s="475">
        <f t="shared" si="62"/>
        <v>152.40785449156775</v>
      </c>
      <c r="AJ62" s="475">
        <f t="shared" si="63"/>
        <v>1.9230426634988991</v>
      </c>
    </row>
    <row r="63" spans="1:49">
      <c r="K63" s="278">
        <f t="shared" si="41"/>
        <v>215.2162162162162</v>
      </c>
      <c r="L63" s="296">
        <f t="shared" si="42"/>
        <v>2.0070241449074961</v>
      </c>
      <c r="M63" s="296">
        <f t="shared" si="64"/>
        <v>0.61010724347224887</v>
      </c>
      <c r="N63" s="11">
        <f t="shared" si="43"/>
        <v>111.46808928298964</v>
      </c>
      <c r="O63" s="296">
        <f t="shared" si="44"/>
        <v>2.1816491862133605</v>
      </c>
      <c r="P63" s="11">
        <f t="shared" si="65"/>
        <v>0.66249475586400819</v>
      </c>
      <c r="Q63" s="296">
        <f t="shared" si="45"/>
        <v>121.77036475643908</v>
      </c>
      <c r="R63" s="296">
        <f t="shared" si="46"/>
        <v>2.1568072875782134</v>
      </c>
      <c r="S63" s="296">
        <f t="shared" si="66"/>
        <v>0.655042186273464</v>
      </c>
      <c r="T63" s="296">
        <f t="shared" si="47"/>
        <v>120.24863446382557</v>
      </c>
      <c r="U63" s="296">
        <f t="shared" si="48"/>
        <v>2.1603170633106745</v>
      </c>
      <c r="V63" s="296">
        <f t="shared" si="49"/>
        <v>0.65609511899320239</v>
      </c>
      <c r="W63" s="296">
        <f t="shared" si="50"/>
        <v>120.46247229725275</v>
      </c>
      <c r="X63" s="296">
        <f t="shared" si="51"/>
        <v>2.1598206945664344</v>
      </c>
      <c r="Y63" s="296">
        <f t="shared" si="52"/>
        <v>0.65594620836993034</v>
      </c>
      <c r="Z63" s="296">
        <f t="shared" si="53"/>
        <v>120.43220728905294</v>
      </c>
      <c r="AA63" s="296">
        <f t="shared" si="54"/>
        <v>2.159890883523488</v>
      </c>
      <c r="AB63" s="296">
        <f t="shared" si="55"/>
        <v>0.65596726505704639</v>
      </c>
      <c r="AC63" s="296">
        <f t="shared" si="56"/>
        <v>120.43648644693035</v>
      </c>
      <c r="AD63" s="296">
        <f t="shared" si="57"/>
        <v>2.1598809582670064</v>
      </c>
      <c r="AE63" s="296">
        <f t="shared" si="58"/>
        <v>0.65596428748010194</v>
      </c>
      <c r="AF63" s="296">
        <f t="shared" si="59"/>
        <v>120.43588133197952</v>
      </c>
      <c r="AG63" s="296">
        <f t="shared" si="60"/>
        <v>2.1598823617704199</v>
      </c>
      <c r="AH63" s="475">
        <f t="shared" si="61"/>
        <v>0.65596470853112598</v>
      </c>
      <c r="AI63" s="475">
        <f t="shared" si="62"/>
        <v>120.43596689944759</v>
      </c>
      <c r="AJ63" s="475">
        <f t="shared" si="63"/>
        <v>2.1598821633047569</v>
      </c>
    </row>
    <row r="64" spans="1:49">
      <c r="K64" s="278">
        <f t="shared" si="41"/>
        <v>107.10810810810813</v>
      </c>
      <c r="L64" s="296">
        <f t="shared" si="42"/>
        <v>2.287226857173478</v>
      </c>
      <c r="M64" s="296">
        <f t="shared" si="64"/>
        <v>0.69416805715204344</v>
      </c>
      <c r="N64" s="11">
        <f t="shared" si="43"/>
        <v>67.595254652422184</v>
      </c>
      <c r="O64" s="296">
        <f t="shared" si="44"/>
        <v>2.4180921964938111</v>
      </c>
      <c r="P64" s="11">
        <f t="shared" si="65"/>
        <v>0.73342765894814332</v>
      </c>
      <c r="Q64" s="296">
        <f t="shared" si="45"/>
        <v>71.709737122647027</v>
      </c>
      <c r="R64" s="296">
        <f t="shared" si="46"/>
        <v>2.4007609211503698</v>
      </c>
      <c r="S64" s="296">
        <f t="shared" si="66"/>
        <v>0.72822827634511089</v>
      </c>
      <c r="T64" s="296">
        <f t="shared" si="47"/>
        <v>71.150764274489333</v>
      </c>
      <c r="U64" s="296">
        <f t="shared" si="48"/>
        <v>2.4030476426945113</v>
      </c>
      <c r="V64" s="296">
        <f t="shared" si="49"/>
        <v>0.7289142928083534</v>
      </c>
      <c r="W64" s="296">
        <f t="shared" si="50"/>
        <v>71.224265962187232</v>
      </c>
      <c r="X64" s="296">
        <f t="shared" si="51"/>
        <v>2.4027457776334669</v>
      </c>
      <c r="Y64" s="296">
        <f t="shared" si="52"/>
        <v>0.72882373329004002</v>
      </c>
      <c r="Z64" s="296">
        <f t="shared" si="53"/>
        <v>71.214558818298059</v>
      </c>
      <c r="AA64" s="296">
        <f t="shared" si="54"/>
        <v>2.4027856235519085</v>
      </c>
      <c r="AB64" s="296">
        <f t="shared" si="55"/>
        <v>0.72883568706557256</v>
      </c>
      <c r="AC64" s="296">
        <f t="shared" si="56"/>
        <v>71.21584007682668</v>
      </c>
      <c r="AD64" s="296">
        <f t="shared" si="57"/>
        <v>2.4027803638805763</v>
      </c>
      <c r="AE64" s="296">
        <f t="shared" si="58"/>
        <v>0.72883410916417291</v>
      </c>
      <c r="AF64" s="296">
        <f t="shared" si="59"/>
        <v>71.215670949055621</v>
      </c>
      <c r="AG64" s="296">
        <f t="shared" si="60"/>
        <v>2.4027810581577289</v>
      </c>
      <c r="AH64" s="475">
        <f t="shared" si="61"/>
        <v>0.72883431744731864</v>
      </c>
      <c r="AI64" s="475">
        <f t="shared" si="62"/>
        <v>71.215693273915647</v>
      </c>
      <c r="AJ64" s="475">
        <f t="shared" si="63"/>
        <v>2.4027809665130602</v>
      </c>
    </row>
    <row r="65" spans="11:36">
      <c r="K65" s="278">
        <f t="shared" si="41"/>
        <v>103.24710424710425</v>
      </c>
      <c r="L65" s="296">
        <f t="shared" si="42"/>
        <v>2.2633983566857032</v>
      </c>
      <c r="M65" s="296">
        <f t="shared" si="64"/>
        <v>0.68701950700571102</v>
      </c>
      <c r="N65" s="11">
        <f t="shared" si="43"/>
        <v>67.647562231094881</v>
      </c>
      <c r="O65" s="296">
        <f t="shared" si="44"/>
        <v>2.3856767386380135</v>
      </c>
      <c r="P65" s="11">
        <f t="shared" si="65"/>
        <v>0.72370302159140409</v>
      </c>
      <c r="Q65" s="296">
        <f t="shared" si="45"/>
        <v>71.084412352840872</v>
      </c>
      <c r="R65" s="296">
        <f t="shared" si="46"/>
        <v>2.3709353972142737</v>
      </c>
      <c r="S65" s="296">
        <f t="shared" si="66"/>
        <v>0.7192806191642821</v>
      </c>
      <c r="T65" s="296">
        <f t="shared" si="47"/>
        <v>70.660995712000386</v>
      </c>
      <c r="U65" s="296">
        <f t="shared" si="48"/>
        <v>2.3727070543340592</v>
      </c>
      <c r="V65" s="296">
        <f t="shared" si="49"/>
        <v>0.7198121163002178</v>
      </c>
      <c r="W65" s="296">
        <f t="shared" si="50"/>
        <v>70.71174951120679</v>
      </c>
      <c r="X65" s="296">
        <f t="shared" si="51"/>
        <v>2.3724940513741775</v>
      </c>
      <c r="Y65" s="296">
        <f t="shared" si="52"/>
        <v>0.7197482154122532</v>
      </c>
      <c r="Z65" s="296">
        <f t="shared" si="53"/>
        <v>70.705645551164977</v>
      </c>
      <c r="AA65" s="296">
        <f t="shared" si="54"/>
        <v>2.3725196591580051</v>
      </c>
      <c r="AB65" s="296">
        <f t="shared" si="55"/>
        <v>0.71975589774740156</v>
      </c>
      <c r="AC65" s="296">
        <f t="shared" si="56"/>
        <v>70.706379357651926</v>
      </c>
      <c r="AD65" s="296">
        <f t="shared" si="57"/>
        <v>2.3725165805052346</v>
      </c>
      <c r="AE65" s="296">
        <f t="shared" si="58"/>
        <v>0.71975497415157041</v>
      </c>
      <c r="AF65" s="296">
        <f t="shared" si="59"/>
        <v>70.706291136597628</v>
      </c>
      <c r="AG65" s="296">
        <f t="shared" si="60"/>
        <v>2.3725169506308479</v>
      </c>
      <c r="AH65" s="475">
        <f t="shared" si="61"/>
        <v>0.71975508518925435</v>
      </c>
      <c r="AI65" s="475">
        <f t="shared" si="62"/>
        <v>70.706301742812855</v>
      </c>
      <c r="AJ65" s="475">
        <f t="shared" si="63"/>
        <v>2.3725169061331437</v>
      </c>
    </row>
    <row r="66" spans="11:36">
      <c r="K66" s="278">
        <f t="shared" si="41"/>
        <v>103.72972972972973</v>
      </c>
      <c r="L66" s="296">
        <f t="shared" si="42"/>
        <v>2.212728740192119</v>
      </c>
      <c r="M66" s="296">
        <f t="shared" si="64"/>
        <v>0.67181862205763565</v>
      </c>
      <c r="N66" s="11">
        <f t="shared" si="43"/>
        <v>69.565038774986121</v>
      </c>
      <c r="O66" s="296">
        <f t="shared" si="44"/>
        <v>2.3304252965634626</v>
      </c>
      <c r="P66" s="11">
        <f t="shared" si="65"/>
        <v>0.70712758896903882</v>
      </c>
      <c r="Q66" s="296">
        <f t="shared" si="45"/>
        <v>72.620490011682193</v>
      </c>
      <c r="R66" s="296">
        <f t="shared" si="46"/>
        <v>2.3174256594201075</v>
      </c>
      <c r="S66" s="296">
        <f t="shared" si="66"/>
        <v>0.70322769782603223</v>
      </c>
      <c r="T66" s="296">
        <f t="shared" si="47"/>
        <v>72.276526065171581</v>
      </c>
      <c r="U66" s="296">
        <f t="shared" si="48"/>
        <v>2.3188576722006697</v>
      </c>
      <c r="V66" s="296">
        <f t="shared" si="49"/>
        <v>0.70365730166020091</v>
      </c>
      <c r="W66" s="296">
        <f t="shared" si="50"/>
        <v>72.314336424040533</v>
      </c>
      <c r="X66" s="296">
        <f t="shared" si="51"/>
        <v>2.3186998781549906</v>
      </c>
      <c r="Y66" s="296">
        <f t="shared" si="52"/>
        <v>0.70360996344649718</v>
      </c>
      <c r="Z66" s="296">
        <f t="shared" si="53"/>
        <v>72.310169116372364</v>
      </c>
      <c r="AA66" s="296">
        <f t="shared" si="54"/>
        <v>2.3187172649779715</v>
      </c>
      <c r="AB66" s="296">
        <f t="shared" si="55"/>
        <v>0.70361517949339147</v>
      </c>
      <c r="AC66" s="296">
        <f t="shared" si="56"/>
        <v>72.31062828694931</v>
      </c>
      <c r="AD66" s="296">
        <f t="shared" si="57"/>
        <v>2.3187153491725092</v>
      </c>
      <c r="AE66" s="296">
        <f t="shared" si="58"/>
        <v>0.70361460475175275</v>
      </c>
      <c r="AF66" s="296">
        <f t="shared" si="59"/>
        <v>72.310577692082973</v>
      </c>
      <c r="AG66" s="296">
        <f t="shared" si="60"/>
        <v>2.3187155602696787</v>
      </c>
      <c r="AH66" s="475">
        <f t="shared" si="61"/>
        <v>0.70361466808090367</v>
      </c>
      <c r="AI66" s="475">
        <f t="shared" si="62"/>
        <v>72.310583266986058</v>
      </c>
      <c r="AJ66" s="475">
        <f t="shared" si="63"/>
        <v>2.3187155370094792</v>
      </c>
    </row>
    <row r="67" spans="11:36">
      <c r="K67" s="278">
        <f t="shared" si="41"/>
        <v>92.093093093093088</v>
      </c>
      <c r="L67" s="296">
        <f t="shared" si="42"/>
        <v>2.3179790034741079</v>
      </c>
      <c r="M67" s="296">
        <f t="shared" si="64"/>
        <v>0.70339370104223242</v>
      </c>
      <c r="N67" s="11">
        <f t="shared" si="43"/>
        <v>66.463163859071173</v>
      </c>
      <c r="O67" s="296">
        <f t="shared" si="44"/>
        <v>2.4123979433938181</v>
      </c>
      <c r="P67" s="11">
        <f t="shared" si="65"/>
        <v>0.73171938301814543</v>
      </c>
      <c r="Q67" s="296">
        <f t="shared" si="45"/>
        <v>68.565887851357942</v>
      </c>
      <c r="R67" s="296">
        <f t="shared" si="46"/>
        <v>2.4031806508362621</v>
      </c>
      <c r="S67" s="296">
        <f t="shared" si="66"/>
        <v>0.72895419525087868</v>
      </c>
      <c r="T67" s="296">
        <f t="shared" si="47"/>
        <v>68.357720596634607</v>
      </c>
      <c r="U67" s="296">
        <f t="shared" si="48"/>
        <v>2.4040786583104921</v>
      </c>
      <c r="V67" s="296">
        <f t="shared" si="49"/>
        <v>0.72922359749314758</v>
      </c>
      <c r="W67" s="296">
        <f t="shared" si="50"/>
        <v>68.377973761121552</v>
      </c>
      <c r="X67" s="296">
        <f t="shared" si="51"/>
        <v>2.4039911515463412</v>
      </c>
      <c r="Y67" s="296">
        <f t="shared" si="52"/>
        <v>0.72919734546390236</v>
      </c>
      <c r="Z67" s="296">
        <f t="shared" si="53"/>
        <v>68.375999918054831</v>
      </c>
      <c r="AA67" s="296">
        <f t="shared" si="54"/>
        <v>2.4039996785217652</v>
      </c>
      <c r="AB67" s="296">
        <f t="shared" si="55"/>
        <v>0.72919990355652953</v>
      </c>
      <c r="AC67" s="296">
        <f t="shared" si="56"/>
        <v>68.376192253952823</v>
      </c>
      <c r="AD67" s="296">
        <f t="shared" si="57"/>
        <v>2.4039988476209109</v>
      </c>
      <c r="AE67" s="296">
        <f t="shared" si="58"/>
        <v>0.72919965428627331</v>
      </c>
      <c r="AF67" s="296">
        <f t="shared" si="59"/>
        <v>68.376173511989023</v>
      </c>
      <c r="AG67" s="296">
        <f t="shared" si="60"/>
        <v>2.4039989285870296</v>
      </c>
      <c r="AH67" s="475">
        <f t="shared" si="61"/>
        <v>0.7291996785761089</v>
      </c>
      <c r="AI67" s="475">
        <f t="shared" si="62"/>
        <v>68.376175338276553</v>
      </c>
      <c r="AJ67" s="475">
        <f t="shared" si="63"/>
        <v>2.4039989206973851</v>
      </c>
    </row>
    <row r="68" spans="11:36">
      <c r="K68" s="278">
        <f t="shared" si="41"/>
        <v>74.675675675675677</v>
      </c>
      <c r="L68" s="296">
        <f t="shared" si="42"/>
        <v>2.2932796511454403</v>
      </c>
      <c r="M68" s="296">
        <f t="shared" si="64"/>
        <v>0.69598389534363214</v>
      </c>
      <c r="N68" s="11">
        <f t="shared" si="43"/>
        <v>55.195736285299489</v>
      </c>
      <c r="O68" s="296">
        <f t="shared" si="44"/>
        <v>2.3865467227335864</v>
      </c>
      <c r="P68" s="11">
        <f t="shared" si="65"/>
        <v>0.72396401682007594</v>
      </c>
      <c r="Q68" s="296">
        <f t="shared" si="45"/>
        <v>56.752800801713967</v>
      </c>
      <c r="R68" s="296">
        <f t="shared" si="46"/>
        <v>2.3778129352960513</v>
      </c>
      <c r="S68" s="296">
        <f t="shared" si="66"/>
        <v>0.72134388058881538</v>
      </c>
      <c r="T68" s="296">
        <f t="shared" si="47"/>
        <v>56.605147826605425</v>
      </c>
      <c r="U68" s="296">
        <f t="shared" si="48"/>
        <v>2.3786295480577593</v>
      </c>
      <c r="V68" s="296">
        <f t="shared" si="49"/>
        <v>0.72158886441732784</v>
      </c>
      <c r="W68" s="296">
        <f t="shared" si="50"/>
        <v>56.618937146023818</v>
      </c>
      <c r="X68" s="296">
        <f t="shared" si="51"/>
        <v>2.3785531835000935</v>
      </c>
      <c r="Y68" s="296">
        <f t="shared" si="52"/>
        <v>0.72156595505002807</v>
      </c>
      <c r="Z68" s="296">
        <f t="shared" si="53"/>
        <v>56.617647512083508</v>
      </c>
      <c r="AA68" s="296">
        <f t="shared" si="54"/>
        <v>2.3785603245441287</v>
      </c>
      <c r="AB68" s="296">
        <f t="shared" si="55"/>
        <v>0.72156809736323857</v>
      </c>
      <c r="AC68" s="296">
        <f t="shared" si="56"/>
        <v>56.617768107788677</v>
      </c>
      <c r="AD68" s="296">
        <f t="shared" si="57"/>
        <v>2.3785596567661016</v>
      </c>
      <c r="AE68" s="296">
        <f t="shared" si="58"/>
        <v>0.72156789702983049</v>
      </c>
      <c r="AF68" s="296">
        <f t="shared" si="59"/>
        <v>56.617756830552544</v>
      </c>
      <c r="AG68" s="296">
        <f t="shared" si="60"/>
        <v>2.3785597192117942</v>
      </c>
      <c r="AH68" s="475">
        <f t="shared" si="61"/>
        <v>0.72156791576353829</v>
      </c>
      <c r="AI68" s="475">
        <f t="shared" si="62"/>
        <v>56.617757885116688</v>
      </c>
      <c r="AJ68" s="475">
        <f t="shared" si="63"/>
        <v>2.378559713372332</v>
      </c>
    </row>
    <row r="69" spans="11:36">
      <c r="K69" s="278">
        <f t="shared" si="41"/>
        <v>84.995085995086001</v>
      </c>
      <c r="L69" s="296">
        <f t="shared" si="42"/>
        <v>2.2990942790117161</v>
      </c>
      <c r="M69" s="296">
        <f t="shared" si="64"/>
        <v>0.69772828370351481</v>
      </c>
      <c r="N69" s="11">
        <f t="shared" si="43"/>
        <v>64.771693131721435</v>
      </c>
      <c r="O69" s="296">
        <f t="shared" si="44"/>
        <v>2.3797836003909718</v>
      </c>
      <c r="P69" s="11">
        <f t="shared" si="65"/>
        <v>0.72193508011729157</v>
      </c>
      <c r="Q69" s="296">
        <f t="shared" si="45"/>
        <v>66.196605273880877</v>
      </c>
      <c r="R69" s="296">
        <f t="shared" si="46"/>
        <v>2.3732066750772032</v>
      </c>
      <c r="S69" s="296">
        <f t="shared" si="66"/>
        <v>0.719962002523161</v>
      </c>
      <c r="T69" s="296">
        <f t="shared" si="47"/>
        <v>66.079297577394485</v>
      </c>
      <c r="U69" s="296">
        <f t="shared" si="48"/>
        <v>2.3737420289942759</v>
      </c>
      <c r="V69" s="296">
        <f t="shared" si="49"/>
        <v>0.72012260869828282</v>
      </c>
      <c r="W69" s="296">
        <f t="shared" si="50"/>
        <v>66.088838507742068</v>
      </c>
      <c r="X69" s="296">
        <f t="shared" si="51"/>
        <v>2.3736984469890636</v>
      </c>
      <c r="Y69" s="296">
        <f t="shared" si="52"/>
        <v>0.72010953409671907</v>
      </c>
      <c r="Z69" s="296">
        <f t="shared" si="53"/>
        <v>66.088061749719998</v>
      </c>
      <c r="AA69" s="296">
        <f t="shared" si="54"/>
        <v>2.3737019948738953</v>
      </c>
      <c r="AB69" s="296">
        <f t="shared" si="55"/>
        <v>0.72011059846216863</v>
      </c>
      <c r="AC69" s="296">
        <f t="shared" si="56"/>
        <v>66.088124982999759</v>
      </c>
      <c r="AD69" s="296">
        <f t="shared" si="57"/>
        <v>2.3737017060506536</v>
      </c>
      <c r="AE69" s="296">
        <f t="shared" si="58"/>
        <v>0.72011051181519603</v>
      </c>
      <c r="AF69" s="296">
        <f t="shared" si="59"/>
        <v>66.088119835355528</v>
      </c>
      <c r="AG69" s="296">
        <f t="shared" si="60"/>
        <v>2.3737017295629332</v>
      </c>
      <c r="AH69" s="475">
        <f t="shared" si="61"/>
        <v>0.72011051886888</v>
      </c>
      <c r="AI69" s="475">
        <f t="shared" si="62"/>
        <v>66.088120254410612</v>
      </c>
      <c r="AJ69" s="475">
        <f t="shared" si="63"/>
        <v>2.3737017276488657</v>
      </c>
    </row>
    <row r="70" spans="11:36">
      <c r="K70" s="278">
        <f t="shared" si="41"/>
        <v>71.072072072072075</v>
      </c>
      <c r="L70" s="296">
        <f t="shared" si="42"/>
        <v>2.2372724515010369</v>
      </c>
      <c r="M70" s="296">
        <f t="shared" si="64"/>
        <v>0.67918173545031113</v>
      </c>
      <c r="N70" s="11">
        <f t="shared" si="43"/>
        <v>54.773815387481555</v>
      </c>
      <c r="O70" s="296">
        <f t="shared" si="44"/>
        <v>2.3204157602141153</v>
      </c>
      <c r="P70" s="11">
        <f t="shared" si="65"/>
        <v>0.70412472806423465</v>
      </c>
      <c r="Q70" s="296">
        <f t="shared" si="45"/>
        <v>55.894402458158225</v>
      </c>
      <c r="R70" s="296">
        <f t="shared" si="46"/>
        <v>2.3138603534062439</v>
      </c>
      <c r="S70" s="296">
        <f t="shared" si="66"/>
        <v>0.70215810602187312</v>
      </c>
      <c r="T70" s="296">
        <f t="shared" si="47"/>
        <v>55.805223682448599</v>
      </c>
      <c r="U70" s="296">
        <f t="shared" si="48"/>
        <v>2.3143766727849435</v>
      </c>
      <c r="V70" s="296">
        <f t="shared" si="49"/>
        <v>0.70231300183548306</v>
      </c>
      <c r="W70" s="296">
        <f t="shared" si="50"/>
        <v>55.812242449277051</v>
      </c>
      <c r="X70" s="296">
        <f t="shared" si="51"/>
        <v>2.3143360028873565</v>
      </c>
      <c r="Y70" s="296">
        <f t="shared" si="52"/>
        <v>0.70230080086620694</v>
      </c>
      <c r="Z70" s="296">
        <f t="shared" si="53"/>
        <v>55.811689556869382</v>
      </c>
      <c r="AA70" s="296">
        <f t="shared" si="54"/>
        <v>2.3143392063886759</v>
      </c>
      <c r="AB70" s="296">
        <f t="shared" si="55"/>
        <v>0.70230176191660276</v>
      </c>
      <c r="AC70" s="296">
        <f t="shared" si="56"/>
        <v>55.811733107101389</v>
      </c>
      <c r="AD70" s="296">
        <f t="shared" si="57"/>
        <v>2.3143389540539867</v>
      </c>
      <c r="AE70" s="296">
        <f t="shared" si="58"/>
        <v>0.70230168621619604</v>
      </c>
      <c r="AF70" s="296">
        <f t="shared" si="59"/>
        <v>55.811729676717846</v>
      </c>
      <c r="AG70" s="296">
        <f t="shared" si="60"/>
        <v>2.3143389739299871</v>
      </c>
      <c r="AH70" s="475">
        <f t="shared" si="61"/>
        <v>0.70230169217899618</v>
      </c>
      <c r="AI70" s="475">
        <f t="shared" si="62"/>
        <v>55.81172994692367</v>
      </c>
      <c r="AJ70" s="475">
        <f t="shared" si="63"/>
        <v>2.3143389723643861</v>
      </c>
    </row>
    <row r="71" spans="11:36">
      <c r="K71" s="278">
        <f t="shared" si="41"/>
        <v>132.05613305613306</v>
      </c>
      <c r="L71" s="296">
        <f t="shared" si="42"/>
        <v>2.0489813620547284</v>
      </c>
      <c r="M71" s="296">
        <f t="shared" si="64"/>
        <v>0.62269440861641856</v>
      </c>
      <c r="N71" s="11">
        <f t="shared" si="43"/>
        <v>100.19132866160889</v>
      </c>
      <c r="O71" s="296">
        <f t="shared" si="44"/>
        <v>2.1298667307914045</v>
      </c>
      <c r="P71" s="11">
        <f t="shared" si="65"/>
        <v>0.64696001923742141</v>
      </c>
      <c r="Q71" s="296">
        <f t="shared" si="45"/>
        <v>101.98659203883298</v>
      </c>
      <c r="R71" s="296">
        <f t="shared" si="46"/>
        <v>2.1245537251889948</v>
      </c>
      <c r="S71" s="296">
        <f t="shared" si="66"/>
        <v>0.64536611755669848</v>
      </c>
      <c r="T71" s="296">
        <f t="shared" si="47"/>
        <v>101.86768817977138</v>
      </c>
      <c r="U71" s="296">
        <f t="shared" si="48"/>
        <v>2.1249022618126845</v>
      </c>
      <c r="V71" s="296">
        <f t="shared" si="49"/>
        <v>0.64547067854380535</v>
      </c>
      <c r="W71" s="296">
        <f t="shared" si="50"/>
        <v>101.87548409978004</v>
      </c>
      <c r="X71" s="296">
        <f t="shared" si="51"/>
        <v>2.1248793956334229</v>
      </c>
      <c r="Y71" s="296">
        <f t="shared" si="52"/>
        <v>0.64546381869002689</v>
      </c>
      <c r="Z71" s="296">
        <f t="shared" si="53"/>
        <v>101.87497262045237</v>
      </c>
      <c r="AA71" s="296">
        <f t="shared" si="54"/>
        <v>2.1248808957891994</v>
      </c>
      <c r="AB71" s="296">
        <f t="shared" si="55"/>
        <v>0.64546426873675977</v>
      </c>
      <c r="AC71" s="296">
        <f t="shared" si="56"/>
        <v>101.87500617642424</v>
      </c>
      <c r="AD71" s="296">
        <f t="shared" si="57"/>
        <v>2.124880797370126</v>
      </c>
      <c r="AE71" s="296">
        <f t="shared" si="58"/>
        <v>0.64546423921103779</v>
      </c>
      <c r="AF71" s="296">
        <f t="shared" si="59"/>
        <v>101.87500397495408</v>
      </c>
      <c r="AG71" s="296">
        <f t="shared" si="60"/>
        <v>2.124880803826998</v>
      </c>
      <c r="AH71" s="475">
        <f t="shared" si="61"/>
        <v>0.64546424114809942</v>
      </c>
      <c r="AI71" s="475">
        <f t="shared" si="62"/>
        <v>101.87500411938352</v>
      </c>
      <c r="AJ71" s="475">
        <f t="shared" si="63"/>
        <v>2.1248808034033888</v>
      </c>
    </row>
    <row r="72" spans="11:36">
      <c r="K72" s="278">
        <f t="shared" si="41"/>
        <v>114.83011583011584</v>
      </c>
      <c r="L72" s="296">
        <f t="shared" si="42"/>
        <v>2.1105875748643643</v>
      </c>
      <c r="M72" s="296">
        <f t="shared" si="64"/>
        <v>0.6411762724593093</v>
      </c>
      <c r="N72" s="11">
        <f t="shared" si="43"/>
        <v>90.688149975425162</v>
      </c>
      <c r="O72" s="296">
        <f t="shared" si="44"/>
        <v>2.1803991914087559</v>
      </c>
      <c r="P72" s="11">
        <f t="shared" si="65"/>
        <v>0.66211975742262674</v>
      </c>
      <c r="Q72" s="296">
        <f t="shared" si="45"/>
        <v>91.946133866654108</v>
      </c>
      <c r="R72" s="296">
        <f t="shared" si="46"/>
        <v>2.1762533560531305</v>
      </c>
      <c r="S72" s="296">
        <f t="shared" si="66"/>
        <v>0.66087600681593917</v>
      </c>
      <c r="T72" s="296">
        <f t="shared" si="47"/>
        <v>91.870942179784748</v>
      </c>
      <c r="U72" s="296">
        <f t="shared" si="48"/>
        <v>2.1764993220130537</v>
      </c>
      <c r="V72" s="296">
        <f t="shared" si="49"/>
        <v>0.66094979660391617</v>
      </c>
      <c r="W72" s="296">
        <f t="shared" si="50"/>
        <v>91.875401469216683</v>
      </c>
      <c r="X72" s="296">
        <f t="shared" si="51"/>
        <v>2.1764847283925746</v>
      </c>
      <c r="Y72" s="296">
        <f t="shared" si="52"/>
        <v>0.66094541851777233</v>
      </c>
      <c r="Z72" s="296">
        <f t="shared" si="53"/>
        <v>91.875136885193598</v>
      </c>
      <c r="AA72" s="296">
        <f t="shared" si="54"/>
        <v>2.1764855942564081</v>
      </c>
      <c r="AB72" s="296">
        <f t="shared" si="55"/>
        <v>0.66094567827692241</v>
      </c>
      <c r="AC72" s="296">
        <f t="shared" si="56"/>
        <v>91.875152583383525</v>
      </c>
      <c r="AD72" s="296">
        <f t="shared" si="57"/>
        <v>2.176485542883253</v>
      </c>
      <c r="AE72" s="296">
        <f t="shared" si="58"/>
        <v>0.66094566286497591</v>
      </c>
      <c r="AF72" s="296">
        <f t="shared" si="59"/>
        <v>91.875151651983487</v>
      </c>
      <c r="AG72" s="296">
        <f t="shared" si="60"/>
        <v>2.1764855459313086</v>
      </c>
      <c r="AH72" s="475">
        <f t="shared" si="61"/>
        <v>0.66094566377939257</v>
      </c>
      <c r="AI72" s="475">
        <f t="shared" si="62"/>
        <v>91.87515170724501</v>
      </c>
      <c r="AJ72" s="475">
        <f t="shared" si="63"/>
        <v>2.1764855457504622</v>
      </c>
    </row>
    <row r="73" spans="11:36">
      <c r="K73" s="278">
        <f t="shared" si="41"/>
        <v>143.14414414414412</v>
      </c>
      <c r="L73" s="296">
        <f t="shared" si="42"/>
        <v>2.0400048444166816</v>
      </c>
      <c r="M73" s="296">
        <f t="shared" si="64"/>
        <v>0.62000145332500445</v>
      </c>
      <c r="N73" s="11">
        <f t="shared" si="43"/>
        <v>114.44723149794216</v>
      </c>
      <c r="O73" s="296">
        <f t="shared" si="44"/>
        <v>2.1039162820639539</v>
      </c>
      <c r="P73" s="11">
        <f t="shared" si="65"/>
        <v>0.63917488461918615</v>
      </c>
      <c r="Q73" s="296">
        <f t="shared" si="45"/>
        <v>115.74655461117153</v>
      </c>
      <c r="R73" s="296">
        <f t="shared" si="46"/>
        <v>2.1006304389636625</v>
      </c>
      <c r="S73" s="296">
        <f t="shared" si="66"/>
        <v>0.63818913168909874</v>
      </c>
      <c r="T73" s="296">
        <f t="shared" si="47"/>
        <v>115.67939495600548</v>
      </c>
      <c r="U73" s="296">
        <f t="shared" si="48"/>
        <v>2.1007992184960913</v>
      </c>
      <c r="V73" s="296">
        <f t="shared" si="49"/>
        <v>0.63823976554882744</v>
      </c>
      <c r="W73" s="296">
        <f t="shared" si="50"/>
        <v>115.68284370709523</v>
      </c>
      <c r="X73" s="296">
        <f t="shared" si="51"/>
        <v>2.100790548615838</v>
      </c>
      <c r="Y73" s="296">
        <f t="shared" si="52"/>
        <v>0.63823716458475144</v>
      </c>
      <c r="Z73" s="296">
        <f t="shared" si="53"/>
        <v>115.6826665488738</v>
      </c>
      <c r="AA73" s="296">
        <f t="shared" si="54"/>
        <v>2.1007909939698544</v>
      </c>
      <c r="AB73" s="296">
        <f t="shared" si="55"/>
        <v>0.63823729819095631</v>
      </c>
      <c r="AC73" s="296">
        <f t="shared" si="56"/>
        <v>115.68267564912266</v>
      </c>
      <c r="AD73" s="296">
        <f t="shared" si="57"/>
        <v>2.1007909710929265</v>
      </c>
      <c r="AE73" s="296">
        <f t="shared" si="58"/>
        <v>0.63823729132787799</v>
      </c>
      <c r="AF73" s="296">
        <f t="shared" si="59"/>
        <v>115.68267518166142</v>
      </c>
      <c r="AG73" s="296">
        <f t="shared" si="60"/>
        <v>2.1007909722680678</v>
      </c>
      <c r="AH73" s="475">
        <f t="shared" si="61"/>
        <v>0.63823729168042032</v>
      </c>
      <c r="AI73" s="475">
        <f t="shared" si="62"/>
        <v>115.68267520567396</v>
      </c>
      <c r="AJ73" s="475">
        <f t="shared" si="63"/>
        <v>2.1007909722077027</v>
      </c>
    </row>
    <row r="74" spans="11:36">
      <c r="K74" s="278">
        <f t="shared" si="41"/>
        <v>134.13513513513513</v>
      </c>
      <c r="L74" s="296">
        <f t="shared" si="42"/>
        <v>2.0807499106956024</v>
      </c>
      <c r="M74" s="296">
        <f t="shared" si="64"/>
        <v>0.63222497320868076</v>
      </c>
      <c r="N74" s="11">
        <f t="shared" si="43"/>
        <v>110.61350671341609</v>
      </c>
      <c r="O74" s="296">
        <f t="shared" si="44"/>
        <v>2.1357320410719591</v>
      </c>
      <c r="P74" s="11">
        <f t="shared" si="65"/>
        <v>0.6487196123215877</v>
      </c>
      <c r="Q74" s="296">
        <f t="shared" si="45"/>
        <v>111.5741615716087</v>
      </c>
      <c r="R74" s="296">
        <f t="shared" si="46"/>
        <v>2.1332260569000754</v>
      </c>
      <c r="S74" s="296">
        <f t="shared" si="66"/>
        <v>0.6479678170700226</v>
      </c>
      <c r="T74" s="296">
        <f t="shared" si="47"/>
        <v>111.53019577511849</v>
      </c>
      <c r="U74" s="296">
        <f t="shared" si="48"/>
        <v>2.1333401952748492</v>
      </c>
      <c r="V74" s="296">
        <f t="shared" si="49"/>
        <v>0.64800205858245474</v>
      </c>
      <c r="W74" s="296">
        <f t="shared" si="50"/>
        <v>111.53219787904554</v>
      </c>
      <c r="X74" s="296">
        <f t="shared" si="51"/>
        <v>2.1333349965253205</v>
      </c>
      <c r="Y74" s="296">
        <f t="shared" si="52"/>
        <v>0.64800049895759615</v>
      </c>
      <c r="Z74" s="296">
        <f t="shared" si="53"/>
        <v>111.53210668687609</v>
      </c>
      <c r="AA74" s="296">
        <f t="shared" si="54"/>
        <v>2.1333352333164743</v>
      </c>
      <c r="AB74" s="296">
        <f t="shared" si="55"/>
        <v>0.64800056999494227</v>
      </c>
      <c r="AC74" s="296">
        <f t="shared" si="56"/>
        <v>111.53211084046927</v>
      </c>
      <c r="AD74" s="296">
        <f t="shared" si="57"/>
        <v>2.1333352225311777</v>
      </c>
      <c r="AE74" s="296">
        <f t="shared" si="58"/>
        <v>0.64800056675935336</v>
      </c>
      <c r="AF74" s="296">
        <f t="shared" si="59"/>
        <v>111.53211065128258</v>
      </c>
      <c r="AG74" s="296">
        <f t="shared" si="60"/>
        <v>2.1333352230224234</v>
      </c>
      <c r="AH74" s="475">
        <f t="shared" si="61"/>
        <v>0.64800056690672703</v>
      </c>
      <c r="AI74" s="475">
        <f t="shared" si="62"/>
        <v>111.5321106598996</v>
      </c>
      <c r="AJ74" s="475">
        <f t="shared" si="63"/>
        <v>2.1333352230000484</v>
      </c>
    </row>
    <row r="75" spans="11:36">
      <c r="K75" s="278">
        <f t="shared" si="41"/>
        <v>81.670906200317972</v>
      </c>
      <c r="L75" s="296">
        <f t="shared" si="42"/>
        <v>2.2273380990711065</v>
      </c>
      <c r="M75" s="296">
        <f t="shared" si="64"/>
        <v>0.6762014297213319</v>
      </c>
      <c r="N75" s="11">
        <f t="shared" si="43"/>
        <v>70.286309621414375</v>
      </c>
      <c r="O75" s="296">
        <f t="shared" si="44"/>
        <v>2.2734180284781198</v>
      </c>
      <c r="P75" s="11">
        <f t="shared" si="65"/>
        <v>0.69002540854343597</v>
      </c>
      <c r="Q75" s="296">
        <f t="shared" si="45"/>
        <v>70.738230285078629</v>
      </c>
      <c r="R75" s="296">
        <f t="shared" si="46"/>
        <v>2.2714315935292402</v>
      </c>
      <c r="S75" s="296">
        <f t="shared" si="66"/>
        <v>0.68942947805877208</v>
      </c>
      <c r="T75" s="296">
        <f t="shared" si="47"/>
        <v>70.718688882607495</v>
      </c>
      <c r="U75" s="296">
        <f t="shared" si="48"/>
        <v>2.2715171911688699</v>
      </c>
      <c r="V75" s="296">
        <f t="shared" si="49"/>
        <v>0.68945515735066099</v>
      </c>
      <c r="W75" s="296">
        <f t="shared" si="50"/>
        <v>70.719530831557833</v>
      </c>
      <c r="X75" s="296">
        <f t="shared" si="51"/>
        <v>2.2715135026094253</v>
      </c>
      <c r="Y75" s="296">
        <f t="shared" si="52"/>
        <v>0.68945405078282762</v>
      </c>
      <c r="Z75" s="296">
        <f t="shared" si="53"/>
        <v>70.719494550225122</v>
      </c>
      <c r="AA75" s="296">
        <f t="shared" si="54"/>
        <v>2.2715136615561047</v>
      </c>
      <c r="AB75" s="296">
        <f t="shared" si="55"/>
        <v>0.68945409846683137</v>
      </c>
      <c r="AC75" s="296">
        <f t="shared" si="56"/>
        <v>70.719496113652795</v>
      </c>
      <c r="AD75" s="296">
        <f t="shared" si="57"/>
        <v>2.2715136547068049</v>
      </c>
      <c r="AE75" s="296">
        <f t="shared" si="58"/>
        <v>0.68945409641204147</v>
      </c>
      <c r="AF75" s="296">
        <f t="shared" si="59"/>
        <v>70.719496046281876</v>
      </c>
      <c r="AG75" s="296">
        <f t="shared" si="60"/>
        <v>2.2715136550019537</v>
      </c>
      <c r="AH75" s="475">
        <f t="shared" si="61"/>
        <v>0.68945409650058609</v>
      </c>
      <c r="AI75" s="475">
        <f t="shared" si="62"/>
        <v>70.719496049185011</v>
      </c>
      <c r="AJ75" s="475">
        <f t="shared" si="63"/>
        <v>2.2715136549892354</v>
      </c>
    </row>
    <row r="76" spans="11:36">
      <c r="K76" s="278">
        <f t="shared" si="41"/>
        <v>65.066066066066057</v>
      </c>
      <c r="L76" s="296">
        <f t="shared" si="42"/>
        <v>2.344107133415414</v>
      </c>
      <c r="M76" s="296">
        <f t="shared" si="64"/>
        <v>0.7112321400246242</v>
      </c>
      <c r="N76" s="11">
        <f t="shared" si="43"/>
        <v>57.860153402972628</v>
      </c>
      <c r="O76" s="296">
        <f t="shared" si="44"/>
        <v>2.3804057640614151</v>
      </c>
      <c r="P76" s="11">
        <f t="shared" si="65"/>
        <v>0.72212172921842455</v>
      </c>
      <c r="Q76" s="296">
        <f t="shared" si="45"/>
        <v>58.116824155302027</v>
      </c>
      <c r="R76" s="296">
        <f t="shared" si="46"/>
        <v>2.3790271546997155</v>
      </c>
      <c r="S76" s="296">
        <f t="shared" si="66"/>
        <v>0.72170814640991465</v>
      </c>
      <c r="T76" s="296">
        <f t="shared" si="47"/>
        <v>58.107055120568965</v>
      </c>
      <c r="U76" s="296">
        <f t="shared" si="48"/>
        <v>2.3790795000227516</v>
      </c>
      <c r="V76" s="296">
        <f t="shared" si="49"/>
        <v>0.72172385000682548</v>
      </c>
      <c r="W76" s="296">
        <f t="shared" si="50"/>
        <v>58.107426017462757</v>
      </c>
      <c r="X76" s="296">
        <f t="shared" si="51"/>
        <v>2.3790775124689656</v>
      </c>
      <c r="Y76" s="296">
        <f t="shared" si="52"/>
        <v>0.72172325374068969</v>
      </c>
      <c r="Z76" s="296">
        <f t="shared" si="53"/>
        <v>58.107411934451207</v>
      </c>
      <c r="AA76" s="296">
        <f t="shared" si="54"/>
        <v>2.3790775879364254</v>
      </c>
      <c r="AB76" s="296">
        <f t="shared" si="55"/>
        <v>0.72172327638092759</v>
      </c>
      <c r="AC76" s="296">
        <f t="shared" si="56"/>
        <v>58.107412469183402</v>
      </c>
      <c r="AD76" s="296">
        <f t="shared" si="57"/>
        <v>2.3790775850709238</v>
      </c>
      <c r="AE76" s="296">
        <f t="shared" si="58"/>
        <v>0.72172327552127713</v>
      </c>
      <c r="AF76" s="296">
        <f t="shared" si="59"/>
        <v>58.1074124488796</v>
      </c>
      <c r="AG76" s="296">
        <f t="shared" si="60"/>
        <v>2.3790775851797274</v>
      </c>
      <c r="AH76" s="475">
        <f t="shared" si="61"/>
        <v>0.72172327555391824</v>
      </c>
      <c r="AI76" s="475">
        <f t="shared" si="62"/>
        <v>58.107412449650539</v>
      </c>
      <c r="AJ76" s="475">
        <f t="shared" si="63"/>
        <v>2.3790775851755961</v>
      </c>
    </row>
    <row r="77" spans="11:36">
      <c r="K77" s="278">
        <f t="shared" si="41"/>
        <v>40.25177809388336</v>
      </c>
      <c r="L77" s="296">
        <f t="shared" si="42"/>
        <v>2.5701690153178109</v>
      </c>
      <c r="M77" s="296">
        <f t="shared" si="64"/>
        <v>0.77905070459534331</v>
      </c>
      <c r="N77" s="11">
        <f t="shared" si="43"/>
        <v>37.236594609037169</v>
      </c>
      <c r="O77" s="296">
        <f t="shared" si="44"/>
        <v>2.5948135071378164</v>
      </c>
      <c r="P77" s="11">
        <f t="shared" si="65"/>
        <v>0.78644405214134494</v>
      </c>
      <c r="Q77" s="296">
        <f t="shared" si="45"/>
        <v>37.333737465536203</v>
      </c>
      <c r="R77" s="296">
        <f t="shared" si="46"/>
        <v>2.5939855174590218</v>
      </c>
      <c r="S77" s="296">
        <f t="shared" si="66"/>
        <v>0.78619565523770651</v>
      </c>
      <c r="T77" s="296">
        <f t="shared" si="47"/>
        <v>37.330469612241032</v>
      </c>
      <c r="U77" s="296">
        <f t="shared" si="48"/>
        <v>2.5940133319979393</v>
      </c>
      <c r="V77" s="296">
        <f t="shared" si="49"/>
        <v>0.78620399959938181</v>
      </c>
      <c r="W77" s="296">
        <f t="shared" si="50"/>
        <v>37.330579384126473</v>
      </c>
      <c r="X77" s="296">
        <f t="shared" si="51"/>
        <v>2.5940123976239069</v>
      </c>
      <c r="Y77" s="296">
        <f t="shared" si="52"/>
        <v>0.78620371928717203</v>
      </c>
      <c r="Z77" s="296">
        <f t="shared" si="53"/>
        <v>37.330575696553396</v>
      </c>
      <c r="AA77" s="296">
        <f t="shared" si="54"/>
        <v>2.594012429012337</v>
      </c>
      <c r="AB77" s="296">
        <f t="shared" si="55"/>
        <v>0.78620372870370114</v>
      </c>
      <c r="AC77" s="296">
        <f t="shared" si="56"/>
        <v>37.330575820430042</v>
      </c>
      <c r="AD77" s="296">
        <f t="shared" si="57"/>
        <v>2.5940124279579049</v>
      </c>
      <c r="AE77" s="296">
        <f t="shared" si="58"/>
        <v>0.78620372838737151</v>
      </c>
      <c r="AF77" s="296">
        <f t="shared" si="59"/>
        <v>37.330575816268656</v>
      </c>
      <c r="AG77" s="296">
        <f t="shared" si="60"/>
        <v>2.5940124279933268</v>
      </c>
      <c r="AH77" s="475">
        <f t="shared" si="61"/>
        <v>0.78620372839799813</v>
      </c>
      <c r="AI77" s="475">
        <f t="shared" si="62"/>
        <v>37.330575816408448</v>
      </c>
      <c r="AJ77" s="475">
        <f t="shared" si="63"/>
        <v>2.594012427992137</v>
      </c>
    </row>
    <row r="78" spans="11:36">
      <c r="K78" s="278">
        <f t="shared" si="41"/>
        <v>38.189189189189193</v>
      </c>
      <c r="L78" s="296">
        <f t="shared" si="42"/>
        <v>2.4427896307408692</v>
      </c>
      <c r="M78" s="296">
        <f t="shared" si="64"/>
        <v>0.74083688922226076</v>
      </c>
      <c r="N78" s="11">
        <f t="shared" si="43"/>
        <v>35.322393427430093</v>
      </c>
      <c r="O78" s="296">
        <f t="shared" si="44"/>
        <v>2.4690774790276029</v>
      </c>
      <c r="P78" s="11">
        <f t="shared" si="65"/>
        <v>0.74872324370828092</v>
      </c>
      <c r="Q78" s="296">
        <f t="shared" si="45"/>
        <v>35.406370409580134</v>
      </c>
      <c r="R78" s="296">
        <f t="shared" si="46"/>
        <v>2.4682748033354165</v>
      </c>
      <c r="S78" s="296">
        <f t="shared" si="66"/>
        <v>0.748482441000625</v>
      </c>
      <c r="T78" s="296">
        <f t="shared" si="47"/>
        <v>35.403803295723478</v>
      </c>
      <c r="U78" s="296">
        <f t="shared" si="48"/>
        <v>2.468299309798283</v>
      </c>
      <c r="V78" s="296">
        <f t="shared" si="49"/>
        <v>0.74848979293948492</v>
      </c>
      <c r="W78" s="296">
        <f t="shared" si="50"/>
        <v>35.403881669430241</v>
      </c>
      <c r="X78" s="296">
        <f t="shared" si="51"/>
        <v>2.4682985615899971</v>
      </c>
      <c r="Y78" s="296">
        <f t="shared" si="52"/>
        <v>0.7484895684769991</v>
      </c>
      <c r="Z78" s="296">
        <f t="shared" si="53"/>
        <v>35.40387927659534</v>
      </c>
      <c r="AA78" s="296">
        <f t="shared" si="54"/>
        <v>2.4682985844335867</v>
      </c>
      <c r="AB78" s="296">
        <f t="shared" si="55"/>
        <v>0.74848957533007598</v>
      </c>
      <c r="AC78" s="296">
        <f t="shared" si="56"/>
        <v>35.40387934965112</v>
      </c>
      <c r="AD78" s="296">
        <f t="shared" si="57"/>
        <v>2.4682985837361477</v>
      </c>
      <c r="AE78" s="296">
        <f t="shared" si="58"/>
        <v>0.74848957512084435</v>
      </c>
      <c r="AF78" s="296">
        <f t="shared" si="59"/>
        <v>35.403879347420641</v>
      </c>
      <c r="AG78" s="296">
        <f t="shared" si="60"/>
        <v>2.4682985837574414</v>
      </c>
      <c r="AH78" s="475">
        <f t="shared" si="61"/>
        <v>0.74848957512723246</v>
      </c>
      <c r="AI78" s="475">
        <f t="shared" si="62"/>
        <v>35.403879347488747</v>
      </c>
      <c r="AJ78" s="475">
        <f t="shared" si="63"/>
        <v>2.4682985837567912</v>
      </c>
    </row>
    <row r="79" spans="11:36">
      <c r="K79" s="278">
        <f t="shared" si="41"/>
        <v>44.045045045045043</v>
      </c>
      <c r="L79" s="296">
        <f t="shared" si="42"/>
        <v>2.4188821895989014</v>
      </c>
      <c r="M79" s="296">
        <f t="shared" si="64"/>
        <v>0.73366465687967042</v>
      </c>
      <c r="N79" s="11">
        <f t="shared" si="43"/>
        <v>41.182461673128429</v>
      </c>
      <c r="O79" s="296">
        <f t="shared" si="44"/>
        <v>2.4409898674624038</v>
      </c>
      <c r="P79" s="11">
        <f t="shared" si="65"/>
        <v>0.74029696023872116</v>
      </c>
      <c r="Q79" s="296">
        <f t="shared" si="45"/>
        <v>41.251435300045806</v>
      </c>
      <c r="R79" s="296">
        <f t="shared" si="46"/>
        <v>2.4404375344565579</v>
      </c>
      <c r="S79" s="296">
        <f t="shared" si="66"/>
        <v>0.74013126033696741</v>
      </c>
      <c r="T79" s="296">
        <f t="shared" si="47"/>
        <v>41.249710673036418</v>
      </c>
      <c r="U79" s="296">
        <f t="shared" si="48"/>
        <v>2.4404513327005182</v>
      </c>
      <c r="V79" s="296">
        <f t="shared" si="49"/>
        <v>0.74013539981015541</v>
      </c>
      <c r="W79" s="296">
        <f t="shared" si="50"/>
        <v>41.249753756355609</v>
      </c>
      <c r="X79" s="296">
        <f t="shared" si="51"/>
        <v>2.4404509879955696</v>
      </c>
      <c r="Y79" s="296">
        <f t="shared" si="52"/>
        <v>0.74013529639867093</v>
      </c>
      <c r="Z79" s="296">
        <f t="shared" si="53"/>
        <v>41.249752680056275</v>
      </c>
      <c r="AA79" s="296">
        <f t="shared" si="54"/>
        <v>2.4404509966069186</v>
      </c>
      <c r="AB79" s="296">
        <f t="shared" si="55"/>
        <v>0.74013529898207553</v>
      </c>
      <c r="AC79" s="296">
        <f t="shared" si="56"/>
        <v>41.249752706944157</v>
      </c>
      <c r="AD79" s="296">
        <f t="shared" si="57"/>
        <v>2.440450996391792</v>
      </c>
      <c r="AE79" s="296">
        <f t="shared" si="58"/>
        <v>0.7401352989175376</v>
      </c>
      <c r="AF79" s="296">
        <f t="shared" si="59"/>
        <v>41.249752706272453</v>
      </c>
      <c r="AG79" s="296">
        <f t="shared" si="60"/>
        <v>2.4404509963971659</v>
      </c>
      <c r="AH79" s="475">
        <f t="shared" si="61"/>
        <v>0.74013529891914975</v>
      </c>
      <c r="AI79" s="475">
        <f t="shared" si="62"/>
        <v>41.249752706289236</v>
      </c>
      <c r="AJ79" s="475">
        <f t="shared" si="63"/>
        <v>2.4404509963970313</v>
      </c>
    </row>
    <row r="80" spans="11:36">
      <c r="K80" s="278">
        <f t="shared" si="41"/>
        <v>37.08353808353808</v>
      </c>
      <c r="L80" s="296">
        <f t="shared" si="42"/>
        <v>2.4017727755550529</v>
      </c>
      <c r="M80" s="296">
        <f t="shared" si="64"/>
        <v>0.72853183266651589</v>
      </c>
      <c r="N80" s="11">
        <f t="shared" si="43"/>
        <v>35.068608509331348</v>
      </c>
      <c r="O80" s="296">
        <f t="shared" si="44"/>
        <v>2.4210202116223112</v>
      </c>
      <c r="P80" s="11">
        <f t="shared" si="65"/>
        <v>0.73430606348669336</v>
      </c>
      <c r="Q80" s="296">
        <f t="shared" si="45"/>
        <v>35.110305563397382</v>
      </c>
      <c r="R80" s="296">
        <f t="shared" si="46"/>
        <v>2.4206098730208527</v>
      </c>
      <c r="S80" s="296">
        <f t="shared" si="66"/>
        <v>0.73418296190625587</v>
      </c>
      <c r="T80" s="296">
        <f t="shared" si="47"/>
        <v>35.109416101452176</v>
      </c>
      <c r="U80" s="296">
        <f t="shared" si="48"/>
        <v>2.420618620660882</v>
      </c>
      <c r="V80" s="296">
        <f t="shared" si="49"/>
        <v>0.73418558619826457</v>
      </c>
      <c r="W80" s="296">
        <f t="shared" si="50"/>
        <v>35.109435062857301</v>
      </c>
      <c r="X80" s="296">
        <f t="shared" si="51"/>
        <v>2.4206184341776105</v>
      </c>
      <c r="Y80" s="296">
        <f t="shared" si="52"/>
        <v>0.73418553025328315</v>
      </c>
      <c r="Z80" s="296">
        <f t="shared" si="53"/>
        <v>35.109434658635621</v>
      </c>
      <c r="AA80" s="296">
        <f t="shared" si="54"/>
        <v>2.4206184381530838</v>
      </c>
      <c r="AB80" s="296">
        <f t="shared" si="55"/>
        <v>0.73418553144592513</v>
      </c>
      <c r="AC80" s="296">
        <f t="shared" si="56"/>
        <v>35.10943466725287</v>
      </c>
      <c r="AD80" s="296">
        <f t="shared" si="57"/>
        <v>2.4206184380683338</v>
      </c>
      <c r="AE80" s="296">
        <f t="shared" si="58"/>
        <v>0.73418553142050014</v>
      </c>
      <c r="AF80" s="296">
        <f t="shared" si="59"/>
        <v>35.109434667069166</v>
      </c>
      <c r="AG80" s="296">
        <f t="shared" si="60"/>
        <v>2.4206184380701408</v>
      </c>
      <c r="AH80" s="475">
        <f t="shared" si="61"/>
        <v>0.73418553142104226</v>
      </c>
      <c r="AI80" s="475">
        <f t="shared" si="62"/>
        <v>35.109434667073074</v>
      </c>
      <c r="AJ80" s="475">
        <f t="shared" si="63"/>
        <v>2.4206184380701021</v>
      </c>
    </row>
    <row r="81" spans="11:36">
      <c r="K81" s="278">
        <f t="shared" si="41"/>
        <v>31.902467685076388</v>
      </c>
      <c r="L81" s="296">
        <f t="shared" si="42"/>
        <v>2.5413472381882318</v>
      </c>
      <c r="M81" s="296">
        <f t="shared" si="64"/>
        <v>0.77040417145646956</v>
      </c>
      <c r="N81" s="11">
        <f t="shared" si="43"/>
        <v>30.742302859292661</v>
      </c>
      <c r="O81" s="296">
        <f t="shared" si="44"/>
        <v>2.5538143640262949</v>
      </c>
      <c r="P81" s="11">
        <f t="shared" si="65"/>
        <v>0.77414430920788857</v>
      </c>
      <c r="Q81" s="296">
        <f t="shared" si="45"/>
        <v>30.760859765404668</v>
      </c>
      <c r="R81" s="296">
        <f t="shared" si="46"/>
        <v>2.5536109489630272</v>
      </c>
      <c r="S81" s="296">
        <f t="shared" si="66"/>
        <v>0.77408328468890819</v>
      </c>
      <c r="T81" s="296">
        <f t="shared" si="47"/>
        <v>30.760556898911183</v>
      </c>
      <c r="U81" s="296">
        <f t="shared" si="48"/>
        <v>2.5536142678208567</v>
      </c>
      <c r="V81" s="296">
        <f t="shared" si="49"/>
        <v>0.77408428034625709</v>
      </c>
      <c r="W81" s="296">
        <f t="shared" si="50"/>
        <v>30.760561840364137</v>
      </c>
      <c r="X81" s="296">
        <f t="shared" si="51"/>
        <v>2.5536142136713664</v>
      </c>
      <c r="Y81" s="296">
        <f t="shared" si="52"/>
        <v>0.77408426410140996</v>
      </c>
      <c r="Z81" s="296">
        <f t="shared" si="53"/>
        <v>30.760561759740867</v>
      </c>
      <c r="AA81" s="296">
        <f t="shared" si="54"/>
        <v>2.553614214554853</v>
      </c>
      <c r="AB81" s="296">
        <f t="shared" si="55"/>
        <v>0.77408426436645594</v>
      </c>
      <c r="AC81" s="296">
        <f t="shared" si="56"/>
        <v>30.760561761056294</v>
      </c>
      <c r="AD81" s="296">
        <f t="shared" si="57"/>
        <v>2.5536142145404388</v>
      </c>
      <c r="AE81" s="296">
        <f t="shared" si="58"/>
        <v>0.77408426436213174</v>
      </c>
      <c r="AF81" s="296">
        <f t="shared" si="59"/>
        <v>30.760561761034833</v>
      </c>
      <c r="AG81" s="296">
        <f t="shared" si="60"/>
        <v>2.5536142145406737</v>
      </c>
      <c r="AH81" s="475">
        <f t="shared" si="61"/>
        <v>0.77408426436220212</v>
      </c>
      <c r="AI81" s="475">
        <f t="shared" si="62"/>
        <v>30.760561761035177</v>
      </c>
      <c r="AJ81" s="475">
        <f t="shared" si="63"/>
        <v>2.5536142145406702</v>
      </c>
    </row>
    <row r="82" spans="11:36">
      <c r="K82" s="278">
        <f t="shared" si="41"/>
        <v>33.909909909909906</v>
      </c>
      <c r="L82" s="296">
        <f t="shared" si="42"/>
        <v>2.3610172418100808</v>
      </c>
      <c r="M82" s="296">
        <f t="shared" si="64"/>
        <v>0.71630517254302428</v>
      </c>
      <c r="N82" s="11">
        <f t="shared" si="43"/>
        <v>32.786243589123515</v>
      </c>
      <c r="O82" s="296">
        <f t="shared" si="44"/>
        <v>2.3730551489819796</v>
      </c>
      <c r="P82" s="11">
        <f t="shared" si="65"/>
        <v>0.71991654469459387</v>
      </c>
      <c r="Q82" s="296">
        <f t="shared" si="45"/>
        <v>32.800310972021599</v>
      </c>
      <c r="R82" s="296">
        <f t="shared" si="46"/>
        <v>2.3729017256543754</v>
      </c>
      <c r="S82" s="296">
        <f t="shared" si="66"/>
        <v>0.71987051769631261</v>
      </c>
      <c r="T82" s="296">
        <f t="shared" si="47"/>
        <v>32.800131645024543</v>
      </c>
      <c r="U82" s="296">
        <f t="shared" si="48"/>
        <v>2.3729036810076312</v>
      </c>
      <c r="V82" s="296">
        <f t="shared" si="49"/>
        <v>0.7198711043022894</v>
      </c>
      <c r="W82" s="296">
        <f t="shared" si="50"/>
        <v>32.800133930509332</v>
      </c>
      <c r="X82" s="296">
        <f t="shared" si="51"/>
        <v>2.3729036560869941</v>
      </c>
      <c r="Y82" s="296">
        <f t="shared" si="52"/>
        <v>0.71987109682609818</v>
      </c>
      <c r="Z82" s="296">
        <f t="shared" si="53"/>
        <v>32.800133901381223</v>
      </c>
      <c r="AA82" s="296">
        <f t="shared" si="54"/>
        <v>2.3729036564046031</v>
      </c>
      <c r="AB82" s="296">
        <f t="shared" si="55"/>
        <v>0.71987109692138096</v>
      </c>
      <c r="AC82" s="296">
        <f t="shared" si="56"/>
        <v>32.800133901752453</v>
      </c>
      <c r="AD82" s="296">
        <f t="shared" si="57"/>
        <v>2.3729036564005552</v>
      </c>
      <c r="AE82" s="296">
        <f t="shared" si="58"/>
        <v>0.7198710969201666</v>
      </c>
      <c r="AF82" s="296">
        <f t="shared" si="59"/>
        <v>32.800133901747728</v>
      </c>
      <c r="AG82" s="296">
        <f t="shared" si="60"/>
        <v>2.3729036564006067</v>
      </c>
      <c r="AH82" s="475">
        <f t="shared" si="61"/>
        <v>0.71987109692018203</v>
      </c>
      <c r="AI82" s="475">
        <f t="shared" si="62"/>
        <v>32.800133901747792</v>
      </c>
      <c r="AJ82" s="475">
        <f t="shared" si="63"/>
        <v>2.3729036564006059</v>
      </c>
    </row>
    <row r="83" spans="11:36">
      <c r="K83" s="278">
        <f t="shared" si="41"/>
        <v>50.891891891891895</v>
      </c>
      <c r="L83" s="296">
        <f t="shared" si="42"/>
        <v>2.3073393166732536</v>
      </c>
      <c r="M83" s="296">
        <f t="shared" si="64"/>
        <v>0.7002017950019761</v>
      </c>
      <c r="N83" s="11">
        <f t="shared" si="43"/>
        <v>49.716202490606143</v>
      </c>
      <c r="O83" s="296">
        <f t="shared" si="44"/>
        <v>2.3151060614660839</v>
      </c>
      <c r="P83" s="11">
        <f t="shared" si="65"/>
        <v>0.70253181843982515</v>
      </c>
      <c r="Q83" s="296">
        <f t="shared" si="45"/>
        <v>49.725234369408199</v>
      </c>
      <c r="R83" s="296">
        <f t="shared" si="46"/>
        <v>2.3150456273978386</v>
      </c>
      <c r="S83" s="296">
        <f t="shared" si="66"/>
        <v>0.70251368821935156</v>
      </c>
      <c r="T83" s="296">
        <f t="shared" si="47"/>
        <v>49.725164084831306</v>
      </c>
      <c r="U83" s="296">
        <f t="shared" si="48"/>
        <v>2.3150460976390272</v>
      </c>
      <c r="V83" s="296">
        <f t="shared" si="49"/>
        <v>0.70251382929170814</v>
      </c>
      <c r="W83" s="296">
        <f t="shared" si="50"/>
        <v>49.725164631719522</v>
      </c>
      <c r="X83" s="296">
        <f t="shared" si="51"/>
        <v>2.315046093980051</v>
      </c>
      <c r="Y83" s="296">
        <f t="shared" si="52"/>
        <v>0.70251382819401531</v>
      </c>
      <c r="Z83" s="296">
        <f t="shared" si="53"/>
        <v>49.725164627464153</v>
      </c>
      <c r="AA83" s="296">
        <f t="shared" si="54"/>
        <v>2.315046094008522</v>
      </c>
      <c r="AB83" s="296">
        <f t="shared" si="55"/>
        <v>0.70251382820255659</v>
      </c>
      <c r="AC83" s="296">
        <f t="shared" si="56"/>
        <v>49.725164627497271</v>
      </c>
      <c r="AD83" s="296">
        <f t="shared" si="57"/>
        <v>2.3150460940083004</v>
      </c>
      <c r="AE83" s="296">
        <f t="shared" si="58"/>
        <v>0.70251382820249009</v>
      </c>
      <c r="AF83" s="296">
        <f t="shared" si="59"/>
        <v>49.725164627497008</v>
      </c>
      <c r="AG83" s="296">
        <f t="shared" si="60"/>
        <v>2.3150460940083022</v>
      </c>
      <c r="AH83" s="475">
        <f t="shared" si="61"/>
        <v>0.70251382820249064</v>
      </c>
      <c r="AI83" s="475">
        <f t="shared" si="62"/>
        <v>49.725164627497008</v>
      </c>
      <c r="AJ83" s="475">
        <f t="shared" si="63"/>
        <v>2.3150460940083022</v>
      </c>
    </row>
    <row r="84" spans="11:36">
      <c r="K84" s="278">
        <f t="shared" si="41"/>
        <v>43.698544698544708</v>
      </c>
      <c r="L84" s="296">
        <f t="shared" si="42"/>
        <v>2.3181803786393784</v>
      </c>
      <c r="M84" s="296">
        <f t="shared" si="64"/>
        <v>0.70345411359181353</v>
      </c>
      <c r="N84" s="11">
        <f t="shared" si="43"/>
        <v>43.19938962852563</v>
      </c>
      <c r="O84" s="296">
        <f t="shared" si="44"/>
        <v>2.3221200595737654</v>
      </c>
      <c r="P84" s="11">
        <f t="shared" si="65"/>
        <v>0.70463601787212959</v>
      </c>
      <c r="Q84" s="296">
        <f t="shared" si="45"/>
        <v>43.201367685338205</v>
      </c>
      <c r="R84" s="296">
        <f t="shared" si="46"/>
        <v>2.3221043496896847</v>
      </c>
      <c r="S84" s="296">
        <f t="shared" si="66"/>
        <v>0.7046313049069054</v>
      </c>
      <c r="T84" s="296">
        <f t="shared" si="47"/>
        <v>43.201359797452781</v>
      </c>
      <c r="U84" s="296">
        <f t="shared" si="48"/>
        <v>2.3221044123343408</v>
      </c>
      <c r="V84" s="296">
        <f t="shared" si="49"/>
        <v>0.70463132370030224</v>
      </c>
      <c r="W84" s="296">
        <f t="shared" si="50"/>
        <v>43.201359828906469</v>
      </c>
      <c r="X84" s="296">
        <f t="shared" si="51"/>
        <v>2.3221044120845393</v>
      </c>
      <c r="Y84" s="296">
        <f t="shared" si="52"/>
        <v>0.70463132362536185</v>
      </c>
      <c r="Z84" s="296">
        <f t="shared" si="53"/>
        <v>43.201359828781044</v>
      </c>
      <c r="AA84" s="296">
        <f t="shared" si="54"/>
        <v>2.3221044120855354</v>
      </c>
      <c r="AB84" s="296">
        <f t="shared" si="55"/>
        <v>0.70463132362566061</v>
      </c>
      <c r="AC84" s="296">
        <f t="shared" si="56"/>
        <v>43.201359828781548</v>
      </c>
      <c r="AD84" s="296">
        <f t="shared" si="57"/>
        <v>2.3221044120855319</v>
      </c>
      <c r="AE84" s="296">
        <f t="shared" si="58"/>
        <v>0.70463132362565961</v>
      </c>
      <c r="AF84" s="296">
        <f t="shared" si="59"/>
        <v>43.201359828781548</v>
      </c>
      <c r="AG84" s="296">
        <f t="shared" si="60"/>
        <v>2.3221044120855319</v>
      </c>
      <c r="AH84" s="475">
        <f t="shared" si="61"/>
        <v>0.70463132362565961</v>
      </c>
      <c r="AI84" s="475">
        <f t="shared" si="62"/>
        <v>43.201359828781548</v>
      </c>
      <c r="AJ84" s="475">
        <f t="shared" si="63"/>
        <v>2.3221044120855319</v>
      </c>
    </row>
    <row r="85" spans="11:36">
      <c r="K85" s="278">
        <f t="shared" si="41"/>
        <v>47.048048048048045</v>
      </c>
      <c r="L85" s="296">
        <f t="shared" si="42"/>
        <v>2.3100233781924393</v>
      </c>
      <c r="M85" s="296">
        <f t="shared" si="64"/>
        <v>0.70100701345773175</v>
      </c>
      <c r="N85" s="11">
        <f t="shared" si="43"/>
        <v>47.033976078308072</v>
      </c>
      <c r="O85" s="296">
        <f t="shared" si="44"/>
        <v>2.310124468894506</v>
      </c>
      <c r="P85" s="11">
        <f t="shared" si="65"/>
        <v>0.70103734066835177</v>
      </c>
      <c r="Q85" s="296">
        <f t="shared" si="45"/>
        <v>47.033977505431075</v>
      </c>
      <c r="R85" s="296">
        <f t="shared" si="46"/>
        <v>2.3101244586406109</v>
      </c>
      <c r="S85" s="296">
        <f t="shared" si="66"/>
        <v>0.70103733759218323</v>
      </c>
      <c r="T85" s="296">
        <f t="shared" si="47"/>
        <v>47.033977505286323</v>
      </c>
      <c r="U85" s="296">
        <f t="shared" si="48"/>
        <v>2.3101244586416509</v>
      </c>
      <c r="V85" s="296">
        <f t="shared" si="49"/>
        <v>0.70103733759249531</v>
      </c>
      <c r="W85" s="296">
        <f t="shared" si="50"/>
        <v>47.03397750528633</v>
      </c>
      <c r="X85" s="296">
        <f t="shared" si="51"/>
        <v>2.3101244586416505</v>
      </c>
      <c r="Y85" s="296">
        <f t="shared" si="52"/>
        <v>0.7010373375924952</v>
      </c>
      <c r="Z85" s="296">
        <f t="shared" si="53"/>
        <v>47.03397750528633</v>
      </c>
      <c r="AA85" s="296">
        <f t="shared" si="54"/>
        <v>2.3101244586416505</v>
      </c>
      <c r="AB85" s="296">
        <f t="shared" si="55"/>
        <v>0.7010373375924952</v>
      </c>
      <c r="AC85" s="296">
        <f t="shared" si="56"/>
        <v>47.03397750528633</v>
      </c>
      <c r="AD85" s="296">
        <f t="shared" si="57"/>
        <v>2.3101244586416505</v>
      </c>
      <c r="AE85" s="296">
        <f t="shared" si="58"/>
        <v>0.7010373375924952</v>
      </c>
      <c r="AF85" s="296">
        <f t="shared" si="59"/>
        <v>47.03397750528633</v>
      </c>
      <c r="AG85" s="296">
        <f t="shared" si="60"/>
        <v>2.3101244586416505</v>
      </c>
      <c r="AH85" s="475">
        <f t="shared" si="61"/>
        <v>0.7010373375924952</v>
      </c>
      <c r="AI85" s="475">
        <f t="shared" si="62"/>
        <v>47.03397750528633</v>
      </c>
      <c r="AJ85" s="475">
        <f t="shared" si="63"/>
        <v>2.3101244586416505</v>
      </c>
    </row>
    <row r="86" spans="11:36">
      <c r="K86" s="278">
        <f t="shared" si="41"/>
        <v>49.193050193050198</v>
      </c>
      <c r="L86" s="296">
        <f t="shared" si="42"/>
        <v>2.3513279565694405</v>
      </c>
      <c r="M86" s="296">
        <f t="shared" si="64"/>
        <v>0.71339838697083213</v>
      </c>
      <c r="N86" s="11">
        <f t="shared" si="43"/>
        <v>49.694220457241222</v>
      </c>
      <c r="O86" s="296">
        <f t="shared" si="44"/>
        <v>2.3480007908899414</v>
      </c>
      <c r="P86" s="11">
        <f t="shared" si="65"/>
        <v>0.71240023726698243</v>
      </c>
      <c r="Q86" s="296">
        <f t="shared" si="45"/>
        <v>49.695974778874721</v>
      </c>
      <c r="R86" s="296">
        <f t="shared" si="46"/>
        <v>2.3479892095272326</v>
      </c>
      <c r="S86" s="296">
        <f t="shared" si="66"/>
        <v>0.71239676285816977</v>
      </c>
      <c r="T86" s="296">
        <f t="shared" si="47"/>
        <v>49.695980885512313</v>
      </c>
      <c r="U86" s="296">
        <f t="shared" si="48"/>
        <v>2.347989169214328</v>
      </c>
      <c r="V86" s="296">
        <f t="shared" si="49"/>
        <v>0.71239675076429843</v>
      </c>
      <c r="W86" s="296">
        <f t="shared" si="50"/>
        <v>49.695980906768561</v>
      </c>
      <c r="X86" s="296">
        <f t="shared" si="51"/>
        <v>2.3479891690740051</v>
      </c>
      <c r="Y86" s="296">
        <f t="shared" si="52"/>
        <v>0.71239675072220154</v>
      </c>
      <c r="Z86" s="296">
        <f t="shared" si="53"/>
        <v>49.69598090684255</v>
      </c>
      <c r="AA86" s="296">
        <f t="shared" si="54"/>
        <v>2.3479891690735171</v>
      </c>
      <c r="AB86" s="296">
        <f t="shared" si="55"/>
        <v>0.71239675072205511</v>
      </c>
      <c r="AC86" s="296">
        <f t="shared" si="56"/>
        <v>49.695980906842806</v>
      </c>
      <c r="AD86" s="296">
        <f t="shared" si="57"/>
        <v>2.3479891690735153</v>
      </c>
      <c r="AE86" s="296">
        <f t="shared" si="58"/>
        <v>0.71239675072205455</v>
      </c>
      <c r="AF86" s="296">
        <f t="shared" si="59"/>
        <v>49.695980906842806</v>
      </c>
      <c r="AG86" s="296">
        <f t="shared" si="60"/>
        <v>2.3479891690735153</v>
      </c>
      <c r="AH86" s="475">
        <f t="shared" si="61"/>
        <v>0.71239675072205455</v>
      </c>
      <c r="AI86" s="475">
        <f t="shared" si="62"/>
        <v>49.695980906842806</v>
      </c>
      <c r="AJ86" s="475">
        <f t="shared" si="63"/>
        <v>2.3479891690735153</v>
      </c>
    </row>
    <row r="87" spans="11:36">
      <c r="K87" s="278">
        <f t="shared" si="41"/>
        <v>34.414725069897486</v>
      </c>
      <c r="L87" s="296">
        <f t="shared" si="42"/>
        <v>2.3759501575190538</v>
      </c>
      <c r="M87" s="296">
        <f t="shared" si="64"/>
        <v>0.72078504725571613</v>
      </c>
      <c r="N87" s="11">
        <f t="shared" si="43"/>
        <v>35.0984715431957</v>
      </c>
      <c r="O87" s="296">
        <f t="shared" si="44"/>
        <v>2.3690033902181229</v>
      </c>
      <c r="P87" s="11">
        <f t="shared" si="65"/>
        <v>0.71870101706543688</v>
      </c>
      <c r="Q87" s="296">
        <f t="shared" si="45"/>
        <v>35.103625695708857</v>
      </c>
      <c r="R87" s="296">
        <f t="shared" si="46"/>
        <v>2.368951579565056</v>
      </c>
      <c r="S87" s="296">
        <f t="shared" si="66"/>
        <v>0.71868547386951676</v>
      </c>
      <c r="T87" s="296">
        <f t="shared" si="47"/>
        <v>35.103664139455219</v>
      </c>
      <c r="U87" s="296">
        <f t="shared" si="48"/>
        <v>2.3689511931509983</v>
      </c>
      <c r="V87" s="296">
        <f t="shared" si="49"/>
        <v>0.71868535794529953</v>
      </c>
      <c r="W87" s="296">
        <f t="shared" si="50"/>
        <v>35.103664426176415</v>
      </c>
      <c r="X87" s="296">
        <f t="shared" si="51"/>
        <v>2.3689511902690463</v>
      </c>
      <c r="Y87" s="296">
        <f t="shared" si="52"/>
        <v>0.7186853570807139</v>
      </c>
      <c r="Z87" s="296">
        <f t="shared" si="53"/>
        <v>35.103664428314836</v>
      </c>
      <c r="AA87" s="296">
        <f t="shared" si="54"/>
        <v>2.368951190247552</v>
      </c>
      <c r="AB87" s="296">
        <f t="shared" si="55"/>
        <v>0.71868535707426562</v>
      </c>
      <c r="AC87" s="296">
        <f t="shared" si="56"/>
        <v>35.103664428330788</v>
      </c>
      <c r="AD87" s="296">
        <f t="shared" si="57"/>
        <v>2.3689511902473916</v>
      </c>
      <c r="AE87" s="296">
        <f t="shared" si="58"/>
        <v>0.71868535707421755</v>
      </c>
      <c r="AF87" s="296">
        <f t="shared" si="59"/>
        <v>35.103664428330902</v>
      </c>
      <c r="AG87" s="296">
        <f t="shared" si="60"/>
        <v>2.3689511902473903</v>
      </c>
      <c r="AH87" s="475">
        <f t="shared" si="61"/>
        <v>0.7186853570742171</v>
      </c>
      <c r="AI87" s="475">
        <f t="shared" si="62"/>
        <v>35.103664428330909</v>
      </c>
      <c r="AJ87" s="475">
        <f t="shared" si="63"/>
        <v>2.3689511902473903</v>
      </c>
    </row>
    <row r="88" spans="11:36">
      <c r="K88" s="278">
        <f t="shared" si="41"/>
        <v>43.144144144144143</v>
      </c>
      <c r="L88" s="296">
        <f t="shared" si="42"/>
        <v>2.2582580493043602</v>
      </c>
      <c r="M88" s="296">
        <f t="shared" si="64"/>
        <v>0.68547741479130808</v>
      </c>
      <c r="N88" s="11">
        <f t="shared" si="43"/>
        <v>44.583787360473565</v>
      </c>
      <c r="O88" s="296">
        <f t="shared" si="44"/>
        <v>2.2466896044228561</v>
      </c>
      <c r="P88" s="11">
        <f t="shared" si="65"/>
        <v>0.68200688132685683</v>
      </c>
      <c r="Q88" s="296">
        <f t="shared" si="45"/>
        <v>44.599937860736034</v>
      </c>
      <c r="R88" s="296">
        <f t="shared" si="46"/>
        <v>2.2465621271075285</v>
      </c>
      <c r="S88" s="296">
        <f t="shared" si="66"/>
        <v>0.6819686381322585</v>
      </c>
      <c r="T88" s="296">
        <f t="shared" si="47"/>
        <v>44.600115862135937</v>
      </c>
      <c r="U88" s="296">
        <f t="shared" si="48"/>
        <v>2.2465607224051225</v>
      </c>
      <c r="V88" s="296">
        <f t="shared" si="49"/>
        <v>0.68196821672153674</v>
      </c>
      <c r="W88" s="296">
        <f t="shared" si="50"/>
        <v>44.600117823579019</v>
      </c>
      <c r="X88" s="296">
        <f t="shared" si="51"/>
        <v>2.2465607069263802</v>
      </c>
      <c r="Y88" s="296">
        <f t="shared" si="52"/>
        <v>0.68196821207791403</v>
      </c>
      <c r="Z88" s="296">
        <f t="shared" si="53"/>
        <v>44.600117845192621</v>
      </c>
      <c r="AA88" s="296">
        <f t="shared" si="54"/>
        <v>2.2465607067558162</v>
      </c>
      <c r="AB88" s="296">
        <f t="shared" si="55"/>
        <v>0.68196821202674485</v>
      </c>
      <c r="AC88" s="296">
        <f t="shared" si="56"/>
        <v>44.600117845430788</v>
      </c>
      <c r="AD88" s="296">
        <f t="shared" si="57"/>
        <v>2.2465607067539368</v>
      </c>
      <c r="AE88" s="296">
        <f t="shared" si="58"/>
        <v>0.68196821202618108</v>
      </c>
      <c r="AF88" s="296">
        <f t="shared" si="59"/>
        <v>44.600117845433417</v>
      </c>
      <c r="AG88" s="296">
        <f t="shared" si="60"/>
        <v>2.2465607067539159</v>
      </c>
      <c r="AH88" s="475">
        <f t="shared" si="61"/>
        <v>0.68196821202617475</v>
      </c>
      <c r="AI88" s="475">
        <f t="shared" si="62"/>
        <v>44.600117845433438</v>
      </c>
      <c r="AJ88" s="475">
        <f t="shared" si="63"/>
        <v>2.2465607067539159</v>
      </c>
    </row>
    <row r="89" spans="11:36">
      <c r="K89" s="278">
        <f t="shared" si="41"/>
        <v>46.951176983435047</v>
      </c>
      <c r="L89" s="296">
        <f t="shared" si="42"/>
        <v>2.384883336387956</v>
      </c>
      <c r="M89" s="296">
        <f t="shared" si="64"/>
        <v>0.72346500091638677</v>
      </c>
      <c r="N89" s="11">
        <f t="shared" si="43"/>
        <v>48.76608074932755</v>
      </c>
      <c r="O89" s="296">
        <f t="shared" si="44"/>
        <v>2.372487543257686</v>
      </c>
      <c r="P89" s="11">
        <f t="shared" si="65"/>
        <v>0.71974626297730582</v>
      </c>
      <c r="Q89" s="296">
        <f t="shared" si="45"/>
        <v>48.790958979552116</v>
      </c>
      <c r="R89" s="296">
        <f t="shared" si="46"/>
        <v>2.3723211872637484</v>
      </c>
      <c r="S89" s="296">
        <f t="shared" si="66"/>
        <v>0.71969635617912453</v>
      </c>
      <c r="T89" s="296">
        <f t="shared" si="47"/>
        <v>48.791292940625389</v>
      </c>
      <c r="U89" s="296">
        <f t="shared" si="48"/>
        <v>2.3723189547678967</v>
      </c>
      <c r="V89" s="296">
        <f t="shared" si="49"/>
        <v>0.71969568643036896</v>
      </c>
      <c r="W89" s="296">
        <f t="shared" si="50"/>
        <v>48.791297422395353</v>
      </c>
      <c r="X89" s="296">
        <f t="shared" si="51"/>
        <v>2.3723189248078347</v>
      </c>
      <c r="Y89" s="296">
        <f t="shared" si="52"/>
        <v>0.71969567744235041</v>
      </c>
      <c r="Z89" s="296">
        <f t="shared" si="53"/>
        <v>48.791297482540642</v>
      </c>
      <c r="AA89" s="296">
        <f t="shared" si="54"/>
        <v>2.372318924405771</v>
      </c>
      <c r="AB89" s="296">
        <f t="shared" si="55"/>
        <v>0.71969567732173134</v>
      </c>
      <c r="AC89" s="296">
        <f t="shared" si="56"/>
        <v>48.79129748334779</v>
      </c>
      <c r="AD89" s="296">
        <f t="shared" si="57"/>
        <v>2.3723189244003753</v>
      </c>
      <c r="AE89" s="296">
        <f t="shared" si="58"/>
        <v>0.71969567732011264</v>
      </c>
      <c r="AF89" s="296">
        <f t="shared" si="59"/>
        <v>48.791297483358626</v>
      </c>
      <c r="AG89" s="296">
        <f t="shared" si="60"/>
        <v>2.3723189244003029</v>
      </c>
      <c r="AH89" s="475">
        <f t="shared" si="61"/>
        <v>0.71969567732009088</v>
      </c>
      <c r="AI89" s="475">
        <f t="shared" si="62"/>
        <v>48.791297483358768</v>
      </c>
      <c r="AJ89" s="475">
        <f t="shared" si="63"/>
        <v>2.372318924400302</v>
      </c>
    </row>
    <row r="90" spans="11:36">
      <c r="K90" s="278">
        <f t="shared" si="41"/>
        <v>41.229729729729726</v>
      </c>
      <c r="L90" s="296">
        <f t="shared" si="42"/>
        <v>2.4906170359349526</v>
      </c>
      <c r="M90" s="296">
        <f t="shared" si="64"/>
        <v>0.75518511078048589</v>
      </c>
      <c r="N90" s="11">
        <f t="shared" si="43"/>
        <v>42.970269432147958</v>
      </c>
      <c r="O90" s="296">
        <f t="shared" si="44"/>
        <v>2.4772728149323076</v>
      </c>
      <c r="P90" s="11">
        <f t="shared" si="65"/>
        <v>0.75118184447969227</v>
      </c>
      <c r="Q90" s="296">
        <f t="shared" si="45"/>
        <v>42.999333424818751</v>
      </c>
      <c r="R90" s="296">
        <f t="shared" si="46"/>
        <v>2.4770550917720611</v>
      </c>
      <c r="S90" s="296">
        <f t="shared" si="66"/>
        <v>0.75111652753161828</v>
      </c>
      <c r="T90" s="296">
        <f t="shared" si="47"/>
        <v>42.999807793369968</v>
      </c>
      <c r="U90" s="296">
        <f t="shared" si="48"/>
        <v>2.4770515395496884</v>
      </c>
      <c r="V90" s="296">
        <f t="shared" si="49"/>
        <v>0.75111546186490652</v>
      </c>
      <c r="W90" s="296">
        <f t="shared" si="50"/>
        <v>42.999815532886636</v>
      </c>
      <c r="X90" s="296">
        <f t="shared" si="51"/>
        <v>2.4770514815940894</v>
      </c>
      <c r="Y90" s="296">
        <f t="shared" si="52"/>
        <v>0.75111544447822687</v>
      </c>
      <c r="Z90" s="296">
        <f t="shared" si="53"/>
        <v>42.999815659159239</v>
      </c>
      <c r="AA90" s="296">
        <f t="shared" si="54"/>
        <v>2.4770514806485258</v>
      </c>
      <c r="AB90" s="296">
        <f t="shared" si="55"/>
        <v>0.75111544419455778</v>
      </c>
      <c r="AC90" s="296">
        <f t="shared" si="56"/>
        <v>42.999815661219415</v>
      </c>
      <c r="AD90" s="296">
        <f t="shared" si="57"/>
        <v>2.4770514806330985</v>
      </c>
      <c r="AE90" s="296">
        <f t="shared" si="58"/>
        <v>0.75111544418992959</v>
      </c>
      <c r="AF90" s="296">
        <f t="shared" si="59"/>
        <v>42.999815661253031</v>
      </c>
      <c r="AG90" s="296">
        <f t="shared" si="60"/>
        <v>2.4770514806328467</v>
      </c>
      <c r="AH90" s="475">
        <f t="shared" si="61"/>
        <v>0.75111544418985399</v>
      </c>
      <c r="AI90" s="475">
        <f t="shared" si="62"/>
        <v>42.999815661253578</v>
      </c>
      <c r="AJ90" s="475">
        <f t="shared" si="63"/>
        <v>2.4770514806328428</v>
      </c>
    </row>
    <row r="91" spans="11:36">
      <c r="K91" s="278">
        <f t="shared" si="41"/>
        <v>39.95004095004095</v>
      </c>
      <c r="L91" s="296">
        <f t="shared" si="42"/>
        <v>2.3579790964771541</v>
      </c>
      <c r="M91" s="296">
        <f t="shared" si="64"/>
        <v>0.71539372894314623</v>
      </c>
      <c r="N91" s="11">
        <f t="shared" si="43"/>
        <v>42.286043339710311</v>
      </c>
      <c r="O91" s="296">
        <f t="shared" si="44"/>
        <v>2.33847105381387</v>
      </c>
      <c r="P91" s="11">
        <f t="shared" si="65"/>
        <v>0.70954131614416105</v>
      </c>
      <c r="Q91" s="296">
        <f t="shared" si="45"/>
        <v>42.335485679732464</v>
      </c>
      <c r="R91" s="296">
        <f t="shared" si="46"/>
        <v>2.3380709318463224</v>
      </c>
      <c r="S91" s="296">
        <f t="shared" si="66"/>
        <v>0.70942127955389678</v>
      </c>
      <c r="T91" s="296">
        <f t="shared" si="47"/>
        <v>42.336500377357225</v>
      </c>
      <c r="U91" s="296">
        <f t="shared" si="48"/>
        <v>2.33806272553461</v>
      </c>
      <c r="V91" s="296">
        <f t="shared" si="49"/>
        <v>0.70941881766038306</v>
      </c>
      <c r="W91" s="296">
        <f t="shared" si="50"/>
        <v>42.336521188578594</v>
      </c>
      <c r="X91" s="296">
        <f t="shared" si="51"/>
        <v>2.338062557227234</v>
      </c>
      <c r="Y91" s="296">
        <f t="shared" si="52"/>
        <v>0.70941876716817021</v>
      </c>
      <c r="Z91" s="296">
        <f t="shared" si="53"/>
        <v>42.336521615406511</v>
      </c>
      <c r="AA91" s="296">
        <f t="shared" si="54"/>
        <v>2.338062553775333</v>
      </c>
      <c r="AB91" s="296">
        <f t="shared" si="55"/>
        <v>0.70941876613259991</v>
      </c>
      <c r="AC91" s="296">
        <f t="shared" si="56"/>
        <v>42.33652162416054</v>
      </c>
      <c r="AD91" s="296">
        <f t="shared" si="57"/>
        <v>2.3380625537045363</v>
      </c>
      <c r="AE91" s="296">
        <f t="shared" si="58"/>
        <v>0.7094187661113609</v>
      </c>
      <c r="AF91" s="296">
        <f t="shared" si="59"/>
        <v>42.336521624340079</v>
      </c>
      <c r="AG91" s="296">
        <f t="shared" si="60"/>
        <v>2.3380625537030846</v>
      </c>
      <c r="AH91" s="475">
        <f t="shared" si="61"/>
        <v>0.70941876611092536</v>
      </c>
      <c r="AI91" s="475">
        <f t="shared" si="62"/>
        <v>42.336521624343767</v>
      </c>
      <c r="AJ91" s="475">
        <f t="shared" si="63"/>
        <v>2.3380625537030544</v>
      </c>
    </row>
    <row r="92" spans="11:36">
      <c r="K92" s="278">
        <f t="shared" si="41"/>
        <v>46.694753577106518</v>
      </c>
      <c r="L92" s="296">
        <f t="shared" si="42"/>
        <v>2.3126143670567121</v>
      </c>
      <c r="M92" s="296">
        <f t="shared" si="64"/>
        <v>0.70178431011701359</v>
      </c>
      <c r="N92" s="11">
        <f t="shared" si="43"/>
        <v>50.002810920168372</v>
      </c>
      <c r="O92" s="296">
        <f t="shared" si="44"/>
        <v>2.2895437447647615</v>
      </c>
      <c r="P92" s="11">
        <f t="shared" si="65"/>
        <v>0.69486312342942846</v>
      </c>
      <c r="Q92" s="296">
        <f t="shared" si="45"/>
        <v>50.082307142941538</v>
      </c>
      <c r="R92" s="296">
        <f t="shared" si="46"/>
        <v>2.2890101293293967</v>
      </c>
      <c r="S92" s="296">
        <f t="shared" si="66"/>
        <v>0.69470303879881901</v>
      </c>
      <c r="T92" s="296">
        <f t="shared" si="47"/>
        <v>50.084147357471473</v>
      </c>
      <c r="U92" s="296">
        <f t="shared" si="48"/>
        <v>2.2889977879792598</v>
      </c>
      <c r="V92" s="296">
        <f t="shared" si="49"/>
        <v>0.6946993363937779</v>
      </c>
      <c r="W92" s="296">
        <f t="shared" si="50"/>
        <v>50.08418991838186</v>
      </c>
      <c r="X92" s="296">
        <f t="shared" si="51"/>
        <v>2.2889975025515321</v>
      </c>
      <c r="Y92" s="296">
        <f t="shared" si="52"/>
        <v>0.69469925076545969</v>
      </c>
      <c r="Z92" s="296">
        <f t="shared" si="53"/>
        <v>50.084190902720614</v>
      </c>
      <c r="AA92" s="296">
        <f t="shared" si="54"/>
        <v>2.2889974959502299</v>
      </c>
      <c r="AB92" s="296">
        <f t="shared" si="55"/>
        <v>0.69469924878506895</v>
      </c>
      <c r="AC92" s="296">
        <f t="shared" si="56"/>
        <v>50.084190925486162</v>
      </c>
      <c r="AD92" s="296">
        <f t="shared" si="57"/>
        <v>2.2889974957975565</v>
      </c>
      <c r="AE92" s="296">
        <f t="shared" si="58"/>
        <v>0.69469924873926692</v>
      </c>
      <c r="AF92" s="296">
        <f t="shared" si="59"/>
        <v>50.084190926012674</v>
      </c>
      <c r="AG92" s="296">
        <f t="shared" si="60"/>
        <v>2.2889974957940256</v>
      </c>
      <c r="AH92" s="475">
        <f t="shared" si="61"/>
        <v>0.69469924873820765</v>
      </c>
      <c r="AI92" s="475">
        <f t="shared" si="62"/>
        <v>50.084190926024853</v>
      </c>
      <c r="AJ92" s="475">
        <f t="shared" si="63"/>
        <v>2.2889974957939438</v>
      </c>
    </row>
    <row r="93" spans="11:36">
      <c r="K93" s="278">
        <f t="shared" si="41"/>
        <v>30.660231660231659</v>
      </c>
      <c r="L93" s="296">
        <f t="shared" si="42"/>
        <v>2.3657281653661055</v>
      </c>
      <c r="M93" s="296">
        <f t="shared" si="64"/>
        <v>0.71771844960983167</v>
      </c>
      <c r="N93" s="11">
        <f t="shared" si="43"/>
        <v>32.981250357636739</v>
      </c>
      <c r="O93" s="296">
        <f t="shared" si="44"/>
        <v>2.3392216621792414</v>
      </c>
      <c r="P93" s="11">
        <f t="shared" si="65"/>
        <v>0.70976649865377239</v>
      </c>
      <c r="Q93" s="296">
        <f t="shared" si="45"/>
        <v>33.049118471989971</v>
      </c>
      <c r="R93" s="296">
        <f t="shared" si="46"/>
        <v>2.3384768353191396</v>
      </c>
      <c r="S93" s="296">
        <f t="shared" si="66"/>
        <v>0.70954305059574185</v>
      </c>
      <c r="T93" s="296">
        <f t="shared" si="47"/>
        <v>33.051027566915742</v>
      </c>
      <c r="U93" s="296">
        <f t="shared" si="48"/>
        <v>2.3384559073460265</v>
      </c>
      <c r="V93" s="296">
        <f t="shared" si="49"/>
        <v>0.70953677220380795</v>
      </c>
      <c r="W93" s="296">
        <f t="shared" si="50"/>
        <v>33.051081209816907</v>
      </c>
      <c r="X93" s="296">
        <f t="shared" si="51"/>
        <v>2.3384553193178528</v>
      </c>
      <c r="Y93" s="296">
        <f t="shared" si="52"/>
        <v>0.70953659579535588</v>
      </c>
      <c r="Z93" s="296">
        <f t="shared" si="53"/>
        <v>33.051082717060986</v>
      </c>
      <c r="AA93" s="296">
        <f t="shared" si="54"/>
        <v>2.338455302795607</v>
      </c>
      <c r="AB93" s="296">
        <f t="shared" si="55"/>
        <v>0.70953659083868215</v>
      </c>
      <c r="AC93" s="296">
        <f t="shared" si="56"/>
        <v>33.051082759411095</v>
      </c>
      <c r="AD93" s="296">
        <f t="shared" si="57"/>
        <v>2.3384553023313699</v>
      </c>
      <c r="AE93" s="296">
        <f t="shared" si="58"/>
        <v>0.709536590699411</v>
      </c>
      <c r="AF93" s="296">
        <f t="shared" si="59"/>
        <v>33.051082760601034</v>
      </c>
      <c r="AG93" s="296">
        <f t="shared" si="60"/>
        <v>2.3384553023183257</v>
      </c>
      <c r="AH93" s="475">
        <f t="shared" si="61"/>
        <v>0.70953659069549768</v>
      </c>
      <c r="AI93" s="475">
        <f t="shared" si="62"/>
        <v>33.051082760634472</v>
      </c>
      <c r="AJ93" s="475">
        <f t="shared" si="63"/>
        <v>2.3384553023179593</v>
      </c>
    </row>
    <row r="94" spans="11:36">
      <c r="K94" s="278">
        <f t="shared" si="41"/>
        <v>38.789789789789786</v>
      </c>
      <c r="L94" s="296">
        <f t="shared" si="42"/>
        <v>2.4262123078693305</v>
      </c>
      <c r="M94" s="296">
        <f t="shared" si="64"/>
        <v>0.73586369236079918</v>
      </c>
      <c r="N94" s="11">
        <f t="shared" si="43"/>
        <v>41.841140340573062</v>
      </c>
      <c r="O94" s="296">
        <f t="shared" si="44"/>
        <v>2.4008022858231906</v>
      </c>
      <c r="P94" s="11">
        <f t="shared" si="65"/>
        <v>0.72824068574695722</v>
      </c>
      <c r="Q94" s="296">
        <f t="shared" si="45"/>
        <v>41.932678931081874</v>
      </c>
      <c r="R94" s="296">
        <f t="shared" si="46"/>
        <v>2.4000716453921456</v>
      </c>
      <c r="S94" s="296">
        <f t="shared" si="66"/>
        <v>0.72802149361764368</v>
      </c>
      <c r="T94" s="296">
        <f t="shared" si="47"/>
        <v>41.935313993985552</v>
      </c>
      <c r="U94" s="296">
        <f t="shared" si="48"/>
        <v>2.4000506387996334</v>
      </c>
      <c r="V94" s="296">
        <f t="shared" si="49"/>
        <v>0.72801519163989004</v>
      </c>
      <c r="W94" s="296">
        <f t="shared" si="50"/>
        <v>41.935389756945689</v>
      </c>
      <c r="X94" s="296">
        <f t="shared" si="51"/>
        <v>2.4000500348424145</v>
      </c>
      <c r="Y94" s="296">
        <f t="shared" si="52"/>
        <v>0.72801501045272432</v>
      </c>
      <c r="Z94" s="296">
        <f t="shared" si="53"/>
        <v>41.935391935196598</v>
      </c>
      <c r="AA94" s="296">
        <f t="shared" si="54"/>
        <v>2.4000500174781374</v>
      </c>
      <c r="AB94" s="296">
        <f t="shared" si="55"/>
        <v>0.7280150052434412</v>
      </c>
      <c r="AC94" s="296">
        <f t="shared" si="56"/>
        <v>41.935391997823139</v>
      </c>
      <c r="AD94" s="296">
        <f t="shared" si="57"/>
        <v>2.4000500169789003</v>
      </c>
      <c r="AE94" s="296">
        <f t="shared" si="58"/>
        <v>0.72801500509367012</v>
      </c>
      <c r="AF94" s="296">
        <f t="shared" si="59"/>
        <v>41.935391999623711</v>
      </c>
      <c r="AG94" s="296">
        <f t="shared" si="60"/>
        <v>2.4000500169645465</v>
      </c>
      <c r="AH94" s="475">
        <f t="shared" si="61"/>
        <v>0.7280150050893639</v>
      </c>
      <c r="AI94" s="475">
        <f t="shared" si="62"/>
        <v>41.935391999675481</v>
      </c>
      <c r="AJ94" s="475">
        <f t="shared" si="63"/>
        <v>2.4000500169641339</v>
      </c>
    </row>
    <row r="95" spans="11:36">
      <c r="K95" s="278">
        <f t="shared" si="41"/>
        <v>22.374726077428779</v>
      </c>
      <c r="L95" s="296">
        <f t="shared" si="42"/>
        <v>2.7389093386810632</v>
      </c>
      <c r="M95" s="296">
        <f t="shared" si="64"/>
        <v>0.829672801604319</v>
      </c>
      <c r="N95" s="11">
        <f t="shared" si="43"/>
        <v>23.604290143672408</v>
      </c>
      <c r="O95" s="296">
        <f t="shared" si="44"/>
        <v>2.7209638089342478</v>
      </c>
      <c r="P95" s="11">
        <f t="shared" si="65"/>
        <v>0.82428914268027431</v>
      </c>
      <c r="Q95" s="296">
        <f t="shared" si="45"/>
        <v>23.64423646088343</v>
      </c>
      <c r="R95" s="296">
        <f t="shared" si="46"/>
        <v>2.7203978961000796</v>
      </c>
      <c r="S95" s="296">
        <f t="shared" si="66"/>
        <v>0.8241193688300239</v>
      </c>
      <c r="T95" s="296">
        <f t="shared" si="47"/>
        <v>23.645497268165649</v>
      </c>
      <c r="U95" s="296">
        <f t="shared" si="48"/>
        <v>2.7203800513308369</v>
      </c>
      <c r="V95" s="296">
        <f t="shared" si="49"/>
        <v>0.82411401539925111</v>
      </c>
      <c r="W95" s="296">
        <f t="shared" si="50"/>
        <v>23.64553702593826</v>
      </c>
      <c r="X95" s="296">
        <f t="shared" si="51"/>
        <v>2.720379488638081</v>
      </c>
      <c r="Y95" s="296">
        <f t="shared" si="52"/>
        <v>0.82411384659142439</v>
      </c>
      <c r="Z95" s="296">
        <f t="shared" si="53"/>
        <v>23.645538279607038</v>
      </c>
      <c r="AA95" s="296">
        <f t="shared" si="54"/>
        <v>2.7203794708948918</v>
      </c>
      <c r="AB95" s="296">
        <f t="shared" si="55"/>
        <v>0.82411384126846765</v>
      </c>
      <c r="AC95" s="296">
        <f t="shared" si="56"/>
        <v>23.645538319138531</v>
      </c>
      <c r="AD95" s="296">
        <f t="shared" si="57"/>
        <v>2.7203794703354025</v>
      </c>
      <c r="AE95" s="296">
        <f t="shared" si="58"/>
        <v>0.8241138411006208</v>
      </c>
      <c r="AF95" s="296">
        <f t="shared" si="59"/>
        <v>23.645538320385057</v>
      </c>
      <c r="AG95" s="296">
        <f t="shared" si="60"/>
        <v>2.7203794703177602</v>
      </c>
      <c r="AH95" s="475">
        <f t="shared" si="61"/>
        <v>0.82411384109532815</v>
      </c>
      <c r="AI95" s="475">
        <f t="shared" si="62"/>
        <v>23.645538320424368</v>
      </c>
      <c r="AJ95" s="475">
        <f t="shared" si="63"/>
        <v>2.7203794703172037</v>
      </c>
    </row>
    <row r="96" spans="11:36">
      <c r="K96" s="278">
        <f t="shared" si="41"/>
        <v>29.58321479374111</v>
      </c>
      <c r="L96" s="296">
        <f t="shared" si="42"/>
        <v>2.580789962722851</v>
      </c>
      <c r="M96" s="296">
        <f t="shared" si="64"/>
        <v>0.78223698881685533</v>
      </c>
      <c r="N96" s="11">
        <f t="shared" si="43"/>
        <v>31.86185785953332</v>
      </c>
      <c r="O96" s="296">
        <f t="shared" si="44"/>
        <v>2.5559107551997404</v>
      </c>
      <c r="P96" s="11">
        <f t="shared" si="65"/>
        <v>0.77477322655992209</v>
      </c>
      <c r="Q96" s="296">
        <f t="shared" si="45"/>
        <v>31.942994234550863</v>
      </c>
      <c r="R96" s="296">
        <f t="shared" si="46"/>
        <v>2.5550609380572151</v>
      </c>
      <c r="S96" s="296">
        <f t="shared" si="66"/>
        <v>0.7745182814171645</v>
      </c>
      <c r="T96" s="296">
        <f t="shared" si="47"/>
        <v>31.945769314861558</v>
      </c>
      <c r="U96" s="296">
        <f t="shared" si="48"/>
        <v>2.5550319136775865</v>
      </c>
      <c r="V96" s="296">
        <f t="shared" si="49"/>
        <v>0.77450957410327592</v>
      </c>
      <c r="W96" s="296">
        <f t="shared" si="50"/>
        <v>31.945864098313798</v>
      </c>
      <c r="X96" s="296">
        <f t="shared" si="51"/>
        <v>2.5550309223923349</v>
      </c>
      <c r="Y96" s="296">
        <f t="shared" si="52"/>
        <v>0.77450927671770042</v>
      </c>
      <c r="Z96" s="296">
        <f t="shared" si="53"/>
        <v>31.945867335509</v>
      </c>
      <c r="AA96" s="296">
        <f t="shared" si="54"/>
        <v>2.5550308885364412</v>
      </c>
      <c r="AB96" s="296">
        <f t="shared" si="55"/>
        <v>0.77450926656093233</v>
      </c>
      <c r="AC96" s="296">
        <f t="shared" si="56"/>
        <v>31.945867446070661</v>
      </c>
      <c r="AD96" s="296">
        <f t="shared" si="57"/>
        <v>2.5550308873801426</v>
      </c>
      <c r="AE96" s="296">
        <f t="shared" si="58"/>
        <v>0.77450926621404281</v>
      </c>
      <c r="AF96" s="296">
        <f t="shared" si="59"/>
        <v>31.945867449846727</v>
      </c>
      <c r="AG96" s="296">
        <f t="shared" si="60"/>
        <v>2.5550308873406511</v>
      </c>
      <c r="AH96" s="475">
        <f t="shared" si="61"/>
        <v>0.77450926620219529</v>
      </c>
      <c r="AI96" s="475">
        <f t="shared" si="62"/>
        <v>31.945867449975694</v>
      </c>
      <c r="AJ96" s="475">
        <f t="shared" si="63"/>
        <v>2.5550308873393024</v>
      </c>
    </row>
    <row r="97" spans="11:36">
      <c r="K97" s="278">
        <f t="shared" si="41"/>
        <v>26.027027027027028</v>
      </c>
      <c r="L97" s="296">
        <f t="shared" si="42"/>
        <v>2.5510233463696941</v>
      </c>
      <c r="M97" s="296">
        <f t="shared" si="64"/>
        <v>0.77330700391090823</v>
      </c>
      <c r="N97" s="11">
        <f t="shared" si="43"/>
        <v>28.283237788615438</v>
      </c>
      <c r="O97" s="296">
        <f t="shared" si="44"/>
        <v>2.5220357970394747</v>
      </c>
      <c r="P97" s="11">
        <f t="shared" si="65"/>
        <v>0.76461073911184241</v>
      </c>
      <c r="Q97" s="296">
        <f t="shared" si="45"/>
        <v>28.373580732814712</v>
      </c>
      <c r="R97" s="296">
        <f t="shared" si="46"/>
        <v>2.520927453524997</v>
      </c>
      <c r="S97" s="296">
        <f t="shared" si="66"/>
        <v>0.76427823605749912</v>
      </c>
      <c r="T97" s="296">
        <f t="shared" si="47"/>
        <v>28.377040731461538</v>
      </c>
      <c r="U97" s="296">
        <f t="shared" si="48"/>
        <v>2.5208850812678643</v>
      </c>
      <c r="V97" s="296">
        <f t="shared" si="49"/>
        <v>0.76426552438035933</v>
      </c>
      <c r="W97" s="296">
        <f t="shared" si="50"/>
        <v>28.377173016471389</v>
      </c>
      <c r="X97" s="296">
        <f t="shared" si="51"/>
        <v>2.520883461373538</v>
      </c>
      <c r="Y97" s="296">
        <f t="shared" si="52"/>
        <v>0.7642650384120615</v>
      </c>
      <c r="Z97" s="296">
        <f t="shared" si="53"/>
        <v>28.377178073748716</v>
      </c>
      <c r="AA97" s="296">
        <f t="shared" si="54"/>
        <v>2.5208833994448772</v>
      </c>
      <c r="AB97" s="296">
        <f t="shared" si="55"/>
        <v>0.76426501983346318</v>
      </c>
      <c r="AC97" s="296">
        <f t="shared" si="56"/>
        <v>28.377178267088762</v>
      </c>
      <c r="AD97" s="296">
        <f t="shared" si="57"/>
        <v>2.5208833970773408</v>
      </c>
      <c r="AE97" s="296">
        <f t="shared" si="58"/>
        <v>0.76426501912320233</v>
      </c>
      <c r="AF97" s="296">
        <f t="shared" si="59"/>
        <v>28.377178274480165</v>
      </c>
      <c r="AG97" s="296">
        <f t="shared" si="60"/>
        <v>2.5208833969868296</v>
      </c>
      <c r="AH97" s="475">
        <f t="shared" si="61"/>
        <v>0.76426501909604894</v>
      </c>
      <c r="AI97" s="475">
        <f t="shared" si="62"/>
        <v>28.377178274762738</v>
      </c>
      <c r="AJ97" s="475">
        <f t="shared" si="63"/>
        <v>2.5208833969833693</v>
      </c>
    </row>
    <row r="98" spans="11:36">
      <c r="K98" s="278">
        <f t="shared" si="41"/>
        <v>30.756756756756758</v>
      </c>
      <c r="L98" s="296">
        <f t="shared" si="42"/>
        <v>2.4635454665339847</v>
      </c>
      <c r="M98" s="296">
        <f t="shared" si="64"/>
        <v>0.74706363996019542</v>
      </c>
      <c r="N98" s="11">
        <f t="shared" si="43"/>
        <v>33.962989944998675</v>
      </c>
      <c r="O98" s="296">
        <f t="shared" si="44"/>
        <v>2.4290316198939923</v>
      </c>
      <c r="P98" s="11">
        <f t="shared" si="65"/>
        <v>0.73670948596819774</v>
      </c>
      <c r="Q98" s="296">
        <f t="shared" si="45"/>
        <v>34.101134886159095</v>
      </c>
      <c r="R98" s="296">
        <f t="shared" si="46"/>
        <v>2.4276245901811793</v>
      </c>
      <c r="S98" s="296">
        <f t="shared" si="66"/>
        <v>0.73628737705435376</v>
      </c>
      <c r="T98" s="296">
        <f t="shared" si="47"/>
        <v>34.106778561003445</v>
      </c>
      <c r="U98" s="296">
        <f t="shared" si="48"/>
        <v>2.427567239507773</v>
      </c>
      <c r="V98" s="296">
        <f t="shared" si="49"/>
        <v>0.7362701718523319</v>
      </c>
      <c r="W98" s="296">
        <f t="shared" si="50"/>
        <v>34.107008617571083</v>
      </c>
      <c r="X98" s="296">
        <f t="shared" si="51"/>
        <v>2.4275649019049164</v>
      </c>
      <c r="Y98" s="296">
        <f t="shared" si="52"/>
        <v>0.73626947057147496</v>
      </c>
      <c r="Z98" s="296">
        <f t="shared" si="53"/>
        <v>34.10701799466721</v>
      </c>
      <c r="AA98" s="296">
        <f t="shared" si="54"/>
        <v>2.4275648066246829</v>
      </c>
      <c r="AB98" s="296">
        <f t="shared" si="55"/>
        <v>0.73626944198740485</v>
      </c>
      <c r="AC98" s="296">
        <f t="shared" si="56"/>
        <v>34.107018376875857</v>
      </c>
      <c r="AD98" s="296">
        <f t="shared" si="57"/>
        <v>2.4275648027410792</v>
      </c>
      <c r="AE98" s="296">
        <f t="shared" si="58"/>
        <v>0.73626944082232382</v>
      </c>
      <c r="AF98" s="296">
        <f t="shared" si="59"/>
        <v>34.107018392454606</v>
      </c>
      <c r="AG98" s="296">
        <f t="shared" si="60"/>
        <v>2.4275648025827845</v>
      </c>
      <c r="AH98" s="475">
        <f t="shared" si="61"/>
        <v>0.73626944077483536</v>
      </c>
      <c r="AI98" s="475">
        <f t="shared" si="62"/>
        <v>34.107018393089596</v>
      </c>
      <c r="AJ98" s="475">
        <f t="shared" si="63"/>
        <v>2.4275648025763323</v>
      </c>
    </row>
    <row r="99" spans="11:36">
      <c r="K99" s="278">
        <f t="shared" si="41"/>
        <v>30.641397495056037</v>
      </c>
      <c r="L99" s="296">
        <f t="shared" si="42"/>
        <v>2.4145598828185477</v>
      </c>
      <c r="M99" s="296">
        <f t="shared" si="64"/>
        <v>0.73236796484556432</v>
      </c>
      <c r="N99" s="11">
        <f t="shared" si="43"/>
        <v>34.256746039246281</v>
      </c>
      <c r="O99" s="296">
        <f t="shared" si="44"/>
        <v>2.3749263903400437</v>
      </c>
      <c r="P99" s="11">
        <f t="shared" si="65"/>
        <v>0.72047791710201314</v>
      </c>
      <c r="Q99" s="296">
        <f t="shared" si="45"/>
        <v>34.426909292079806</v>
      </c>
      <c r="R99" s="296">
        <f t="shared" si="46"/>
        <v>2.3731731793866362</v>
      </c>
      <c r="S99" s="296">
        <f t="shared" si="66"/>
        <v>0.71995195381599086</v>
      </c>
      <c r="T99" s="296">
        <f t="shared" si="47"/>
        <v>34.434456055340171</v>
      </c>
      <c r="U99" s="296">
        <f t="shared" si="48"/>
        <v>2.3730956402183319</v>
      </c>
      <c r="V99" s="296">
        <f t="shared" si="49"/>
        <v>0.71992869206549959</v>
      </c>
      <c r="W99" s="296">
        <f t="shared" si="50"/>
        <v>34.434789863838958</v>
      </c>
      <c r="X99" s="296">
        <f t="shared" si="51"/>
        <v>2.3730922109272976</v>
      </c>
      <c r="Y99" s="296">
        <f t="shared" si="52"/>
        <v>0.71992766327818924</v>
      </c>
      <c r="Z99" s="296">
        <f t="shared" si="53"/>
        <v>34.434804627116812</v>
      </c>
      <c r="AA99" s="296">
        <f t="shared" si="54"/>
        <v>2.3730920592615941</v>
      </c>
      <c r="AB99" s="296">
        <f t="shared" si="55"/>
        <v>0.71992761777847825</v>
      </c>
      <c r="AC99" s="296">
        <f t="shared" si="56"/>
        <v>34.434805280045765</v>
      </c>
      <c r="AD99" s="296">
        <f t="shared" si="57"/>
        <v>2.3730920525539436</v>
      </c>
      <c r="AE99" s="296">
        <f t="shared" si="58"/>
        <v>0.71992761576618314</v>
      </c>
      <c r="AF99" s="296">
        <f t="shared" si="59"/>
        <v>34.434805308922563</v>
      </c>
      <c r="AG99" s="296">
        <f t="shared" si="60"/>
        <v>2.3730920522572876</v>
      </c>
      <c r="AH99" s="475">
        <f t="shared" si="61"/>
        <v>0.71992761567718633</v>
      </c>
      <c r="AI99" s="475">
        <f t="shared" si="62"/>
        <v>34.434805310199678</v>
      </c>
      <c r="AJ99" s="475">
        <f t="shared" si="63"/>
        <v>2.3730920522441674</v>
      </c>
    </row>
    <row r="100" spans="11:36">
      <c r="K100" s="278">
        <f t="shared" si="41"/>
        <v>24.74002574002574</v>
      </c>
      <c r="L100" s="296">
        <f t="shared" si="42"/>
        <v>2.6793642283151415</v>
      </c>
      <c r="M100" s="296">
        <f t="shared" si="64"/>
        <v>0.81180926849454249</v>
      </c>
      <c r="N100" s="11">
        <f t="shared" si="43"/>
        <v>26.880011711486237</v>
      </c>
      <c r="O100" s="296">
        <f t="shared" si="44"/>
        <v>2.6515380204540833</v>
      </c>
      <c r="P100" s="11">
        <f t="shared" si="65"/>
        <v>0.80346140613622508</v>
      </c>
      <c r="Q100" s="296">
        <f t="shared" si="45"/>
        <v>26.979112575828843</v>
      </c>
      <c r="R100" s="296">
        <f t="shared" si="46"/>
        <v>2.6503082690642379</v>
      </c>
      <c r="S100" s="296">
        <f t="shared" si="66"/>
        <v>0.80309248071927142</v>
      </c>
      <c r="T100" s="296">
        <f t="shared" si="47"/>
        <v>26.983500659639084</v>
      </c>
      <c r="U100" s="296">
        <f t="shared" si="48"/>
        <v>2.6502539305047184</v>
      </c>
      <c r="V100" s="296">
        <f t="shared" si="49"/>
        <v>0.8030761791514156</v>
      </c>
      <c r="W100" s="296">
        <f t="shared" si="50"/>
        <v>26.983694570702774</v>
      </c>
      <c r="X100" s="296">
        <f t="shared" si="51"/>
        <v>2.6502515294850655</v>
      </c>
      <c r="Y100" s="296">
        <f t="shared" si="52"/>
        <v>0.80307545884551967</v>
      </c>
      <c r="Z100" s="296">
        <f t="shared" si="53"/>
        <v>26.983703138946499</v>
      </c>
      <c r="AA100" s="296">
        <f t="shared" si="54"/>
        <v>2.6502514233929357</v>
      </c>
      <c r="AB100" s="296">
        <f t="shared" si="55"/>
        <v>0.80307542701788082</v>
      </c>
      <c r="AC100" s="296">
        <f t="shared" si="56"/>
        <v>26.98370351754539</v>
      </c>
      <c r="AD100" s="296">
        <f t="shared" si="57"/>
        <v>2.6502514187051194</v>
      </c>
      <c r="AE100" s="296">
        <f t="shared" si="58"/>
        <v>0.80307542561153578</v>
      </c>
      <c r="AF100" s="296">
        <f t="shared" si="59"/>
        <v>26.983703534274266</v>
      </c>
      <c r="AG100" s="296">
        <f t="shared" si="60"/>
        <v>2.650251418497982</v>
      </c>
      <c r="AH100" s="475">
        <f t="shared" si="61"/>
        <v>0.80307542554939459</v>
      </c>
      <c r="AI100" s="475">
        <f t="shared" si="62"/>
        <v>26.983703535013454</v>
      </c>
      <c r="AJ100" s="475">
        <f t="shared" si="63"/>
        <v>2.6502514184888293</v>
      </c>
    </row>
    <row r="101" spans="11:36">
      <c r="K101" s="278">
        <f t="shared" si="41"/>
        <v>19.741671904462606</v>
      </c>
      <c r="L101" s="296">
        <f t="shared" si="42"/>
        <v>2.7168990557897179</v>
      </c>
      <c r="M101" s="296">
        <f t="shared" si="64"/>
        <v>0.82306971673691542</v>
      </c>
      <c r="N101" s="11">
        <f t="shared" si="43"/>
        <v>21.432137748868655</v>
      </c>
      <c r="O101" s="296">
        <f t="shared" si="44"/>
        <v>2.6884244934365644</v>
      </c>
      <c r="P101" s="11">
        <f t="shared" si="65"/>
        <v>0.81452734803096938</v>
      </c>
      <c r="Q101" s="296">
        <f t="shared" si="45"/>
        <v>21.517322691164932</v>
      </c>
      <c r="R101" s="296">
        <f t="shared" si="46"/>
        <v>2.687054067983115</v>
      </c>
      <c r="S101" s="296">
        <f t="shared" si="66"/>
        <v>0.81411622039493459</v>
      </c>
      <c r="T101" s="296">
        <f t="shared" si="47"/>
        <v>21.521431006159563</v>
      </c>
      <c r="U101" s="296">
        <f t="shared" si="48"/>
        <v>2.6869881222937249</v>
      </c>
      <c r="V101" s="296">
        <f t="shared" si="49"/>
        <v>0.81409643668811749</v>
      </c>
      <c r="W101" s="296">
        <f t="shared" si="50"/>
        <v>21.521628720505003</v>
      </c>
      <c r="X101" s="296">
        <f t="shared" si="51"/>
        <v>2.6869849489715611</v>
      </c>
      <c r="Y101" s="296">
        <f t="shared" si="52"/>
        <v>0.81409548469146831</v>
      </c>
      <c r="Z101" s="296">
        <f t="shared" si="53"/>
        <v>21.521638234611853</v>
      </c>
      <c r="AA101" s="296">
        <f t="shared" si="54"/>
        <v>2.686984796270603</v>
      </c>
      <c r="AB101" s="296">
        <f t="shared" si="55"/>
        <v>0.81409543888118097</v>
      </c>
      <c r="AC101" s="296">
        <f t="shared" si="56"/>
        <v>21.521638692432862</v>
      </c>
      <c r="AD101" s="296">
        <f t="shared" si="57"/>
        <v>2.6869847889225995</v>
      </c>
      <c r="AE101" s="296">
        <f t="shared" si="58"/>
        <v>0.81409543667677986</v>
      </c>
      <c r="AF101" s="296">
        <f t="shared" si="59"/>
        <v>21.521638714463311</v>
      </c>
      <c r="AG101" s="296">
        <f t="shared" si="60"/>
        <v>2.6869847885690121</v>
      </c>
      <c r="AH101" s="475">
        <f t="shared" si="61"/>
        <v>0.8140954365707036</v>
      </c>
      <c r="AI101" s="475">
        <f t="shared" si="62"/>
        <v>21.521638715523419</v>
      </c>
      <c r="AJ101" s="475">
        <f t="shared" si="63"/>
        <v>2.6869847885519973</v>
      </c>
    </row>
    <row r="102" spans="11:36">
      <c r="K102" s="278">
        <f t="shared" si="41"/>
        <v>27.255528255528255</v>
      </c>
      <c r="L102" s="296">
        <f t="shared" si="42"/>
        <v>2.4678785370411807</v>
      </c>
      <c r="M102" s="296">
        <f t="shared" si="64"/>
        <v>0.74836356111235425</v>
      </c>
      <c r="N102" s="11">
        <f t="shared" si="43"/>
        <v>30.811622151774596</v>
      </c>
      <c r="O102" s="296">
        <f t="shared" si="44"/>
        <v>2.4241578920421025</v>
      </c>
      <c r="P102" s="11">
        <f t="shared" si="65"/>
        <v>0.73524736761263076</v>
      </c>
      <c r="Q102" s="296">
        <f t="shared" si="45"/>
        <v>31.009207237175112</v>
      </c>
      <c r="R102" s="296">
        <f t="shared" si="46"/>
        <v>2.4218894894260408</v>
      </c>
      <c r="S102" s="296">
        <f t="shared" si="66"/>
        <v>0.73456684682781226</v>
      </c>
      <c r="T102" s="296">
        <f t="shared" si="47"/>
        <v>31.019493250163301</v>
      </c>
      <c r="U102" s="296">
        <f t="shared" si="48"/>
        <v>2.4217718244475885</v>
      </c>
      <c r="V102" s="296">
        <f t="shared" si="49"/>
        <v>0.73453154733427661</v>
      </c>
      <c r="W102" s="296">
        <f t="shared" si="50"/>
        <v>31.020026892036281</v>
      </c>
      <c r="X102" s="296">
        <f t="shared" si="51"/>
        <v>2.4217657210906665</v>
      </c>
      <c r="Y102" s="296">
        <f t="shared" si="52"/>
        <v>0.73452971632719999</v>
      </c>
      <c r="Z102" s="296">
        <f t="shared" si="53"/>
        <v>31.02005457262851</v>
      </c>
      <c r="AA102" s="296">
        <f t="shared" si="54"/>
        <v>2.4217654045058885</v>
      </c>
      <c r="AB102" s="296">
        <f t="shared" si="55"/>
        <v>0.73452962135176658</v>
      </c>
      <c r="AC102" s="296">
        <f t="shared" si="56"/>
        <v>31.020056008438072</v>
      </c>
      <c r="AD102" s="296">
        <f t="shared" si="57"/>
        <v>2.421765388084447</v>
      </c>
      <c r="AE102" s="296">
        <f t="shared" si="58"/>
        <v>0.7345296164253341</v>
      </c>
      <c r="AF102" s="296">
        <f t="shared" si="59"/>
        <v>31.020056082914376</v>
      </c>
      <c r="AG102" s="296">
        <f t="shared" si="60"/>
        <v>2.4217653872326572</v>
      </c>
      <c r="AH102" s="475">
        <f t="shared" si="61"/>
        <v>0.73452961616979717</v>
      </c>
      <c r="AI102" s="475">
        <f t="shared" si="62"/>
        <v>31.020056086777508</v>
      </c>
      <c r="AJ102" s="475">
        <f t="shared" si="63"/>
        <v>2.4217653871884743</v>
      </c>
    </row>
    <row r="103" spans="11:36">
      <c r="K103" s="278">
        <f t="shared" si="41"/>
        <v>32.633633633633636</v>
      </c>
      <c r="L103" s="296">
        <f t="shared" si="42"/>
        <v>2.4380617535078848</v>
      </c>
      <c r="M103" s="296">
        <f t="shared" si="64"/>
        <v>0.73941852605236547</v>
      </c>
      <c r="N103" s="11">
        <f t="shared" si="43"/>
        <v>37.270213621473431</v>
      </c>
      <c r="O103" s="296">
        <f t="shared" si="44"/>
        <v>2.3920131440178376</v>
      </c>
      <c r="P103" s="11">
        <f t="shared" si="65"/>
        <v>0.72560394320535127</v>
      </c>
      <c r="Q103" s="296">
        <f t="shared" si="45"/>
        <v>37.533635086392906</v>
      </c>
      <c r="R103" s="296">
        <f t="shared" si="46"/>
        <v>2.3895860177267663</v>
      </c>
      <c r="S103" s="296">
        <f t="shared" si="66"/>
        <v>0.72487580531802986</v>
      </c>
      <c r="T103" s="296">
        <f t="shared" si="47"/>
        <v>37.547571021080287</v>
      </c>
      <c r="U103" s="296">
        <f t="shared" si="48"/>
        <v>2.3894581291859289</v>
      </c>
      <c r="V103" s="296">
        <f t="shared" si="49"/>
        <v>0.72483743875577866</v>
      </c>
      <c r="W103" s="296">
        <f t="shared" si="50"/>
        <v>37.548305467663781</v>
      </c>
      <c r="X103" s="296">
        <f t="shared" si="51"/>
        <v>2.3894513906789676</v>
      </c>
      <c r="Y103" s="296">
        <f t="shared" si="52"/>
        <v>0.72483541720369027</v>
      </c>
      <c r="Z103" s="296">
        <f t="shared" si="53"/>
        <v>37.548344166395786</v>
      </c>
      <c r="AA103" s="296">
        <f t="shared" si="54"/>
        <v>2.3894510356241985</v>
      </c>
      <c r="AB103" s="296">
        <f t="shared" si="55"/>
        <v>0.72483531068725959</v>
      </c>
      <c r="AC103" s="296">
        <f t="shared" si="56"/>
        <v>37.548346205449377</v>
      </c>
      <c r="AD103" s="296">
        <f t="shared" si="57"/>
        <v>2.389451016916214</v>
      </c>
      <c r="AE103" s="296">
        <f t="shared" si="58"/>
        <v>0.72483530507486416</v>
      </c>
      <c r="AF103" s="296">
        <f t="shared" si="59"/>
        <v>37.548346312887965</v>
      </c>
      <c r="AG103" s="296">
        <f t="shared" si="60"/>
        <v>2.3894510159304825</v>
      </c>
      <c r="AH103" s="475">
        <f t="shared" si="61"/>
        <v>0.72483530477914471</v>
      </c>
      <c r="AI103" s="475">
        <f t="shared" si="62"/>
        <v>37.548346318548958</v>
      </c>
      <c r="AJ103" s="475">
        <f t="shared" si="63"/>
        <v>2.3894510158785436</v>
      </c>
    </row>
    <row r="104" spans="11:36">
      <c r="K104" s="278">
        <f t="shared" si="41"/>
        <v>31.902467685076388</v>
      </c>
      <c r="L104" s="296">
        <f t="shared" si="42"/>
        <v>2.4836167804583864</v>
      </c>
      <c r="M104" s="296">
        <f t="shared" si="64"/>
        <v>0.75308503413751593</v>
      </c>
      <c r="N104" s="11">
        <f t="shared" si="43"/>
        <v>36.379074670395049</v>
      </c>
      <c r="O104" s="296">
        <f t="shared" si="44"/>
        <v>2.4387194937360697</v>
      </c>
      <c r="P104" s="11">
        <f t="shared" si="65"/>
        <v>0.73961584812082093</v>
      </c>
      <c r="Q104" s="296">
        <f t="shared" si="45"/>
        <v>36.640592299502252</v>
      </c>
      <c r="R104" s="296">
        <f t="shared" si="46"/>
        <v>2.4362849478128004</v>
      </c>
      <c r="S104" s="296">
        <f t="shared" si="66"/>
        <v>0.73888548434384016</v>
      </c>
      <c r="T104" s="296">
        <f t="shared" si="47"/>
        <v>36.654826650822372</v>
      </c>
      <c r="U104" s="296">
        <f t="shared" si="48"/>
        <v>2.4361529790734298</v>
      </c>
      <c r="V104" s="296">
        <f t="shared" si="49"/>
        <v>0.73884589372202891</v>
      </c>
      <c r="W104" s="296">
        <f t="shared" si="50"/>
        <v>36.655598406243705</v>
      </c>
      <c r="X104" s="296">
        <f t="shared" si="51"/>
        <v>2.4361458256109265</v>
      </c>
      <c r="Y104" s="296">
        <f t="shared" si="52"/>
        <v>0.73884374768327798</v>
      </c>
      <c r="Z104" s="296">
        <f t="shared" si="53"/>
        <v>36.655640240277755</v>
      </c>
      <c r="AA104" s="296">
        <f t="shared" si="54"/>
        <v>2.4361454378526148</v>
      </c>
      <c r="AB104" s="296">
        <f t="shared" si="55"/>
        <v>0.73884363135578446</v>
      </c>
      <c r="AC104" s="296">
        <f t="shared" si="56"/>
        <v>36.655642507921456</v>
      </c>
      <c r="AD104" s="296">
        <f t="shared" si="57"/>
        <v>2.4361454168339125</v>
      </c>
      <c r="AE104" s="296">
        <f t="shared" si="58"/>
        <v>0.73884362505017376</v>
      </c>
      <c r="AF104" s="296">
        <f t="shared" si="59"/>
        <v>36.655642630840624</v>
      </c>
      <c r="AG104" s="296">
        <f t="shared" si="60"/>
        <v>2.4361454156945794</v>
      </c>
      <c r="AH104" s="475">
        <f t="shared" si="61"/>
        <v>0.73884362470837384</v>
      </c>
      <c r="AI104" s="475">
        <f t="shared" si="62"/>
        <v>36.65564263750354</v>
      </c>
      <c r="AJ104" s="475">
        <f t="shared" si="63"/>
        <v>2.4361454156328208</v>
      </c>
    </row>
    <row r="105" spans="11:36">
      <c r="K105" s="278">
        <f t="shared" si="41"/>
        <v>32.35250143760782</v>
      </c>
      <c r="L105" s="296">
        <f t="shared" si="42"/>
        <v>2.5300529498471929</v>
      </c>
      <c r="M105" s="296">
        <f t="shared" si="64"/>
        <v>0.76701588495415796</v>
      </c>
      <c r="N105" s="11">
        <f t="shared" si="43"/>
        <v>36.803900731034929</v>
      </c>
      <c r="O105" s="296">
        <f t="shared" si="44"/>
        <v>2.4869312375057797</v>
      </c>
      <c r="P105" s="11">
        <f t="shared" si="65"/>
        <v>0.75407937125173397</v>
      </c>
      <c r="Q105" s="296">
        <f t="shared" si="45"/>
        <v>37.068284661113267</v>
      </c>
      <c r="R105" s="296">
        <f t="shared" si="46"/>
        <v>2.4845519288339846</v>
      </c>
      <c r="S105" s="296">
        <f t="shared" si="66"/>
        <v>0.75336557865019538</v>
      </c>
      <c r="T105" s="296">
        <f t="shared" si="47"/>
        <v>37.082927625312337</v>
      </c>
      <c r="U105" s="296">
        <f t="shared" si="48"/>
        <v>2.4844206936138393</v>
      </c>
      <c r="V105" s="296">
        <f t="shared" si="49"/>
        <v>0.75332620808415185</v>
      </c>
      <c r="W105" s="296">
        <f t="shared" si="50"/>
        <v>37.083735453693073</v>
      </c>
      <c r="X105" s="296">
        <f t="shared" si="51"/>
        <v>2.4844134552326755</v>
      </c>
      <c r="Y105" s="296">
        <f t="shared" si="52"/>
        <v>0.75332403656980262</v>
      </c>
      <c r="Z105" s="296">
        <f t="shared" si="53"/>
        <v>37.083780010611036</v>
      </c>
      <c r="AA105" s="296">
        <f t="shared" si="54"/>
        <v>2.4844130559945383</v>
      </c>
      <c r="AB105" s="296">
        <f t="shared" si="55"/>
        <v>0.75332391679836153</v>
      </c>
      <c r="AC105" s="296">
        <f t="shared" si="56"/>
        <v>37.08378246818156</v>
      </c>
      <c r="AD105" s="296">
        <f t="shared" si="57"/>
        <v>2.4844130339742723</v>
      </c>
      <c r="AE105" s="296">
        <f t="shared" si="58"/>
        <v>0.75332391019228173</v>
      </c>
      <c r="AF105" s="296">
        <f t="shared" si="59"/>
        <v>37.083782603730633</v>
      </c>
      <c r="AG105" s="296">
        <f t="shared" si="60"/>
        <v>2.4844130327597287</v>
      </c>
      <c r="AH105" s="475">
        <f t="shared" si="61"/>
        <v>0.75332390982791864</v>
      </c>
      <c r="AI105" s="475">
        <f t="shared" si="62"/>
        <v>37.083782611206942</v>
      </c>
      <c r="AJ105" s="475">
        <f t="shared" si="63"/>
        <v>2.4844130326927396</v>
      </c>
    </row>
    <row r="106" spans="11:36">
      <c r="K106" s="278">
        <f t="shared" si="41"/>
        <v>35.036036036036037</v>
      </c>
      <c r="L106" s="11">
        <f t="shared" si="42"/>
        <v>2.4963334590764177</v>
      </c>
      <c r="M106" s="11">
        <f t="shared" si="64"/>
        <v>0.75690003772292536</v>
      </c>
      <c r="N106" s="11">
        <f t="shared" si="43"/>
        <v>40.286036221781934</v>
      </c>
      <c r="O106" s="296">
        <f t="shared" si="44"/>
        <v>2.4498646310157857</v>
      </c>
      <c r="P106" s="11">
        <f t="shared" si="65"/>
        <v>0.74295938930473571</v>
      </c>
      <c r="Q106" s="296">
        <f t="shared" si="45"/>
        <v>40.609901443979901</v>
      </c>
      <c r="R106" s="296">
        <f t="shared" si="46"/>
        <v>2.4472186636998501</v>
      </c>
      <c r="S106" s="296">
        <f t="shared" si="66"/>
        <v>0.74216559910995505</v>
      </c>
      <c r="T106" s="296">
        <f t="shared" si="47"/>
        <v>40.628420703366366</v>
      </c>
      <c r="U106" s="296">
        <f t="shared" si="48"/>
        <v>2.4470680630902977</v>
      </c>
      <c r="V106" s="296">
        <f t="shared" si="49"/>
        <v>0.74212041892708935</v>
      </c>
      <c r="W106" s="296">
        <f t="shared" si="50"/>
        <v>40.629475018651505</v>
      </c>
      <c r="X106" s="296">
        <f t="shared" si="51"/>
        <v>2.4470594915535311</v>
      </c>
      <c r="Y106" s="296">
        <f t="shared" si="52"/>
        <v>0.74211784746605935</v>
      </c>
      <c r="Z106" s="296">
        <f t="shared" si="53"/>
        <v>40.629535026550457</v>
      </c>
      <c r="AA106" s="296">
        <f t="shared" si="54"/>
        <v>2.4470590036993074</v>
      </c>
      <c r="AB106" s="296">
        <f t="shared" si="55"/>
        <v>0.74211770110979225</v>
      </c>
      <c r="AC106" s="296">
        <f t="shared" si="56"/>
        <v>40.629538441939161</v>
      </c>
      <c r="AD106" s="296">
        <f t="shared" si="57"/>
        <v>2.4470589759327899</v>
      </c>
      <c r="AE106" s="296">
        <f t="shared" si="58"/>
        <v>0.74211769277983697</v>
      </c>
      <c r="AF106" s="296">
        <f t="shared" si="59"/>
        <v>40.629538636328071</v>
      </c>
      <c r="AG106" s="296">
        <f t="shared" si="60"/>
        <v>2.4470589743524416</v>
      </c>
      <c r="AH106" s="475">
        <f t="shared" si="61"/>
        <v>0.74211769230573243</v>
      </c>
      <c r="AI106" s="475">
        <f t="shared" si="62"/>
        <v>40.629538647391833</v>
      </c>
      <c r="AJ106" s="475">
        <f t="shared" si="63"/>
        <v>2.4470589742624953</v>
      </c>
    </row>
    <row r="107" spans="11:36">
      <c r="K107" s="278">
        <f t="shared" ref="K107:K108" si="67">((L52-P52)/$R$4)*(($R$4/Q52)^$R$10)</f>
        <v>36.506894649751793</v>
      </c>
      <c r="L107" s="11">
        <f t="shared" ref="L107:L108" si="68">((3.47-LOG(K107))^2+(LOG(S52)+1.22)^2)^0.5</f>
        <v>2.4952482322548857</v>
      </c>
      <c r="M107" s="11">
        <f t="shared" ref="M107:M108" si="69">((L107-1.64)*0.3)+0.5</f>
        <v>0.7565744696764658</v>
      </c>
      <c r="N107" s="11">
        <f t="shared" ref="N107:N108" si="70">((L52-P52)/$R$4)*(($R$4/Q52)^M107)</f>
        <v>42.196411123729526</v>
      </c>
      <c r="O107" s="296">
        <f t="shared" ref="O107:O108" si="71">((3.47-LOG(N107))^2+(LOG(S52)+1.22)^2)^0.5</f>
        <v>2.4474963974203181</v>
      </c>
      <c r="P107" s="11">
        <f t="shared" ref="P107:P108" si="72">((O107-1.64)*0.3)+0.5</f>
        <v>0.74224891922609548</v>
      </c>
      <c r="Q107" s="296">
        <f t="shared" ref="Q107:Q108" si="73">(($L52-$P52)/$R$4)*(($R$4/$Q52)^P107)</f>
        <v>42.557607596719535</v>
      </c>
      <c r="R107" s="296">
        <f t="shared" ref="R107:R108" si="74">((3.47-LOG(Q107))^2+(LOG($S52)+1.22)^2)^0.5</f>
        <v>2.4447075732424932</v>
      </c>
      <c r="S107" s="296">
        <f t="shared" ref="S107:S108" si="75">((R107-1.64)*0.3)+0.5</f>
        <v>0.74141227197274795</v>
      </c>
      <c r="T107" s="296">
        <f t="shared" ref="T107:T108" si="76">(($L52-$P52)/$R$4)*(($R$4/$Q52)^S107)</f>
        <v>42.578797657440091</v>
      </c>
      <c r="U107" s="296">
        <f t="shared" ref="U107:U108" si="77">((3.47-LOG(T107))^2+(LOG($S52)+1.22)^2)^0.5</f>
        <v>2.4445447739861534</v>
      </c>
      <c r="V107" s="296">
        <f t="shared" ref="V107:V108" si="78">((U107-1.64)*0.3)+0.5</f>
        <v>0.74136343219584599</v>
      </c>
      <c r="W107" s="296">
        <f t="shared" ref="W107:W108" si="79">(($L52-$P52)/$R$4)*(($R$4/$Q52)^V107)</f>
        <v>42.58003496561544</v>
      </c>
      <c r="X107" s="296">
        <f t="shared" ref="X107:X108" si="80">((3.47-LOG(W107))^2+(LOG($S52)+1.22)^2)^0.5</f>
        <v>2.4445352707392312</v>
      </c>
      <c r="Y107" s="296">
        <f t="shared" ref="Y107:Y108" si="81">((X107-1.64)*0.3)+0.5</f>
        <v>0.7413605812217694</v>
      </c>
      <c r="Z107" s="296">
        <f t="shared" ref="Z107:Z108" si="82">(($L52-$P52)/$R$4)*(($R$4/$Q52)^Y107)</f>
        <v>42.580107193377351</v>
      </c>
      <c r="AA107" s="296">
        <f t="shared" ref="AA107:AA108" si="83">((3.47-LOG(Z107))^2+(LOG($S52)+1.22)^2)^0.5</f>
        <v>2.4445347159973836</v>
      </c>
      <c r="AB107" s="296">
        <f t="shared" ref="AB107:AB108" si="84">((AA107-1.64)*0.3)+0.5</f>
        <v>0.74136041479921511</v>
      </c>
      <c r="AC107" s="296">
        <f t="shared" ref="AC107:AC108" si="85">(($L52-$P52)/$R$4)*(($R$4/$Q52)^AB107)</f>
        <v>42.580111409599276</v>
      </c>
      <c r="AD107" s="296">
        <f t="shared" ref="AD107:AD108" si="86">((3.47-LOG(AC107))^2+(LOG($S52)+1.22)^2)^0.5</f>
        <v>2.444534683614926</v>
      </c>
      <c r="AE107" s="296">
        <f t="shared" ref="AE107:AE108" si="87">((AD107-1.64)*0.3)+0.5</f>
        <v>0.74136040508447776</v>
      </c>
      <c r="AF107" s="296">
        <f t="shared" ref="AF107:AF108" si="88">(($L52-$P52)/$R$4)*(($R$4/$Q52)^AE107)</f>
        <v>42.580111655716706</v>
      </c>
      <c r="AG107" s="296">
        <f t="shared" ref="AG107:AG108" si="89">((3.47-LOG(AF107))^2+(LOG($S52)+1.22)^2)^0.5</f>
        <v>2.4445346817246354</v>
      </c>
      <c r="AH107" s="475">
        <f t="shared" ref="AH107:AH108" si="90">((AG107-1.64)*0.3)+0.5</f>
        <v>0.7413604045173906</v>
      </c>
      <c r="AI107" s="475">
        <f t="shared" ref="AI107:AI108" si="91">(($L52-$P52)/$R$4)*(($R$4/$Q52)^AH107)</f>
        <v>42.580111670083539</v>
      </c>
      <c r="AJ107" s="475">
        <f t="shared" ref="AJ107:AJ108" si="92">((3.47-LOG(AI107))^2+(LOG($S52)+1.22)^2)^0.5</f>
        <v>2.4445346816142912</v>
      </c>
    </row>
    <row r="108" spans="11:36">
      <c r="K108" s="278">
        <f t="shared" si="67"/>
        <v>31.432432432432435</v>
      </c>
      <c r="L108" s="11" t="e">
        <f t="shared" si="68"/>
        <v>#VALUE!</v>
      </c>
      <c r="M108" s="11" t="e">
        <f t="shared" si="69"/>
        <v>#VALUE!</v>
      </c>
      <c r="N108" s="11" t="e">
        <f t="shared" si="70"/>
        <v>#VALUE!</v>
      </c>
      <c r="O108" s="296" t="e">
        <f t="shared" si="71"/>
        <v>#VALUE!</v>
      </c>
      <c r="P108" s="11" t="e">
        <f t="shared" si="72"/>
        <v>#VALUE!</v>
      </c>
      <c r="Q108" s="296" t="e">
        <f t="shared" si="73"/>
        <v>#VALUE!</v>
      </c>
      <c r="R108" s="296" t="e">
        <f t="shared" si="74"/>
        <v>#VALUE!</v>
      </c>
      <c r="S108" s="296" t="e">
        <f t="shared" si="75"/>
        <v>#VALUE!</v>
      </c>
      <c r="T108" s="296" t="e">
        <f t="shared" si="76"/>
        <v>#VALUE!</v>
      </c>
      <c r="U108" s="296" t="e">
        <f t="shared" si="77"/>
        <v>#VALUE!</v>
      </c>
      <c r="V108" s="296" t="e">
        <f t="shared" si="78"/>
        <v>#VALUE!</v>
      </c>
      <c r="W108" s="296" t="e">
        <f t="shared" si="79"/>
        <v>#VALUE!</v>
      </c>
      <c r="X108" s="296" t="e">
        <f t="shared" si="80"/>
        <v>#VALUE!</v>
      </c>
      <c r="Y108" s="296" t="e">
        <f t="shared" si="81"/>
        <v>#VALUE!</v>
      </c>
      <c r="Z108" s="296" t="e">
        <f t="shared" si="82"/>
        <v>#VALUE!</v>
      </c>
      <c r="AA108" s="296" t="e">
        <f t="shared" si="83"/>
        <v>#VALUE!</v>
      </c>
      <c r="AB108" s="296" t="e">
        <f t="shared" si="84"/>
        <v>#VALUE!</v>
      </c>
      <c r="AC108" s="296" t="e">
        <f t="shared" si="85"/>
        <v>#VALUE!</v>
      </c>
      <c r="AD108" s="296" t="e">
        <f t="shared" si="86"/>
        <v>#VALUE!</v>
      </c>
      <c r="AE108" s="296" t="e">
        <f t="shared" si="87"/>
        <v>#VALUE!</v>
      </c>
      <c r="AF108" s="296" t="e">
        <f t="shared" si="88"/>
        <v>#VALUE!</v>
      </c>
      <c r="AG108" s="296" t="e">
        <f t="shared" si="89"/>
        <v>#VALUE!</v>
      </c>
      <c r="AH108" s="475" t="e">
        <f t="shared" si="90"/>
        <v>#VALUE!</v>
      </c>
      <c r="AI108" s="475" t="e">
        <f t="shared" si="91"/>
        <v>#VALUE!</v>
      </c>
      <c r="AJ108" s="475" t="e">
        <f t="shared" si="92"/>
        <v>#VALUE!</v>
      </c>
    </row>
  </sheetData>
  <mergeCells count="9">
    <mergeCell ref="AB56:AD56"/>
    <mergeCell ref="AE56:AG56"/>
    <mergeCell ref="AH56:AJ56"/>
    <mergeCell ref="A1:G1"/>
    <mergeCell ref="M56:O56"/>
    <mergeCell ref="P56:R56"/>
    <mergeCell ref="S56:U56"/>
    <mergeCell ref="V56:X56"/>
    <mergeCell ref="Y56:AA56"/>
  </mergeCells>
  <pageMargins left="0.25" right="0.25" top="0.75" bottom="0.75" header="0.3" footer="0.3"/>
  <pageSetup paperSize="9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B489-C816-46FB-A5CD-B16F14C590BF}">
  <sheetPr>
    <pageSetUpPr fitToPage="1"/>
  </sheetPr>
  <dimension ref="A1:BH106"/>
  <sheetViews>
    <sheetView topLeftCell="S2" zoomScale="40" zoomScaleNormal="40" workbookViewId="0">
      <selection activeCell="G4" sqref="G4"/>
    </sheetView>
  </sheetViews>
  <sheetFormatPr defaultRowHeight="18.75"/>
  <cols>
    <col min="1" max="1" width="9.140625" style="532"/>
    <col min="2" max="2" width="13.42578125" style="533" customWidth="1"/>
    <col min="3" max="3" width="11.7109375" style="533" customWidth="1"/>
    <col min="4" max="4" width="13.7109375" style="533" customWidth="1"/>
    <col min="5" max="7" width="9.140625" style="533"/>
    <col min="10" max="10" width="9.140625" style="534"/>
    <col min="11" max="11" width="9.85546875" style="534" customWidth="1"/>
    <col min="12" max="12" width="11.28515625" style="534" customWidth="1"/>
    <col min="13" max="13" width="12.7109375" style="549" customWidth="1"/>
    <col min="14" max="14" width="11.7109375" style="534" customWidth="1"/>
    <col min="15" max="15" width="12.42578125" style="534" customWidth="1"/>
    <col min="16" max="16" width="10.140625" style="534" customWidth="1"/>
    <col min="17" max="17" width="9.42578125" style="324" customWidth="1"/>
    <col min="18" max="18" width="14.85546875" style="324" customWidth="1"/>
    <col min="19" max="19" width="9.140625" style="324"/>
    <col min="20" max="20" width="10" style="324" customWidth="1"/>
    <col min="21" max="23" width="9.140625" style="324"/>
    <col min="25" max="25" width="9.140625" style="324"/>
    <col min="26" max="29" width="9.28515625" bestFit="1" customWidth="1"/>
    <col min="30" max="30" width="13.7109375" customWidth="1"/>
    <col min="31" max="31" width="9.28515625" customWidth="1"/>
    <col min="32" max="32" width="15.7109375" customWidth="1"/>
    <col min="33" max="33" width="9.5703125" customWidth="1"/>
    <col min="34" max="34" width="15.5703125" customWidth="1"/>
    <col min="35" max="46" width="11.5703125" bestFit="1" customWidth="1"/>
    <col min="50" max="50" width="11.140625" customWidth="1"/>
    <col min="51" max="51" width="12" customWidth="1"/>
    <col min="52" max="52" width="12.7109375" customWidth="1"/>
    <col min="55" max="55" width="11.5703125" customWidth="1"/>
    <col min="57" max="57" width="12.5703125" customWidth="1"/>
    <col min="58" max="58" width="10.42578125" customWidth="1"/>
    <col min="59" max="59" width="13.42578125" customWidth="1"/>
    <col min="60" max="60" width="9.5703125" style="324" customWidth="1"/>
  </cols>
  <sheetData>
    <row r="1" spans="1:45" ht="28.5" customHeight="1">
      <c r="A1" s="696" t="s">
        <v>199</v>
      </c>
      <c r="B1" s="696"/>
      <c r="C1" s="696"/>
      <c r="D1" s="696"/>
      <c r="E1" s="696"/>
      <c r="F1" s="696"/>
      <c r="G1" s="696"/>
      <c r="J1" s="560"/>
      <c r="K1" s="561"/>
      <c r="L1" s="562"/>
      <c r="M1" s="559"/>
      <c r="N1" s="559"/>
      <c r="O1" s="559"/>
      <c r="P1" s="559"/>
      <c r="Q1" s="559"/>
      <c r="R1" s="559"/>
      <c r="S1" s="559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551" t="s">
        <v>619</v>
      </c>
      <c r="AE1" s="207"/>
      <c r="AF1" s="551" t="s">
        <v>617</v>
      </c>
      <c r="AG1" s="2"/>
      <c r="AH1" s="551" t="s">
        <v>619</v>
      </c>
    </row>
    <row r="2" spans="1:45" ht="18.75" customHeight="1">
      <c r="A2" s="571" t="s">
        <v>577</v>
      </c>
      <c r="B2" s="528" t="s">
        <v>578</v>
      </c>
      <c r="C2" s="528" t="s">
        <v>591</v>
      </c>
      <c r="D2" s="529" t="s">
        <v>579</v>
      </c>
      <c r="E2" s="528" t="s">
        <v>580</v>
      </c>
      <c r="F2" s="568" t="s">
        <v>581</v>
      </c>
      <c r="G2" s="568" t="s">
        <v>582</v>
      </c>
      <c r="H2" s="568" t="s">
        <v>583</v>
      </c>
      <c r="J2"/>
      <c r="K2" s="540" t="s">
        <v>577</v>
      </c>
      <c r="L2" s="541" t="s">
        <v>574</v>
      </c>
      <c r="M2" s="541" t="s">
        <v>597</v>
      </c>
      <c r="N2" s="542" t="s">
        <v>590</v>
      </c>
      <c r="O2" s="542" t="s">
        <v>579</v>
      </c>
      <c r="P2" s="541" t="s">
        <v>589</v>
      </c>
      <c r="Q2" s="541" t="s">
        <v>584</v>
      </c>
      <c r="R2" s="543" t="s">
        <v>593</v>
      </c>
      <c r="S2" s="543" t="s">
        <v>592</v>
      </c>
      <c r="T2" s="543" t="s">
        <v>529</v>
      </c>
      <c r="U2" s="543" t="s">
        <v>599</v>
      </c>
      <c r="V2" s="543" t="s">
        <v>598</v>
      </c>
      <c r="W2" s="543" t="s">
        <v>608</v>
      </c>
      <c r="X2" s="543" t="s">
        <v>595</v>
      </c>
      <c r="Y2" s="543" t="s">
        <v>609</v>
      </c>
      <c r="Z2" s="543" t="s">
        <v>162</v>
      </c>
      <c r="AA2" s="543" t="s">
        <v>614</v>
      </c>
      <c r="AB2" s="543" t="s">
        <v>613</v>
      </c>
      <c r="AC2" s="543" t="s">
        <v>616</v>
      </c>
      <c r="AD2" s="543" t="s">
        <v>615</v>
      </c>
      <c r="AE2" s="543" t="s">
        <v>618</v>
      </c>
      <c r="AF2" s="543" t="s">
        <v>621</v>
      </c>
      <c r="AG2" s="543" t="s">
        <v>596</v>
      </c>
      <c r="AH2" s="543" t="s">
        <v>620</v>
      </c>
      <c r="AI2" s="543" t="s">
        <v>596</v>
      </c>
    </row>
    <row r="3" spans="1:45" ht="21.75" customHeight="1">
      <c r="A3" s="530" t="s">
        <v>576</v>
      </c>
      <c r="B3" s="531" t="s">
        <v>575</v>
      </c>
      <c r="C3" s="531" t="s">
        <v>575</v>
      </c>
      <c r="D3" s="531" t="s">
        <v>587</v>
      </c>
      <c r="E3" s="531" t="s">
        <v>575</v>
      </c>
      <c r="F3" s="532" t="s">
        <v>174</v>
      </c>
      <c r="G3" s="532" t="s">
        <v>175</v>
      </c>
      <c r="H3" s="532" t="s">
        <v>176</v>
      </c>
      <c r="K3" s="546" t="s">
        <v>576</v>
      </c>
      <c r="L3" s="540" t="s">
        <v>586</v>
      </c>
      <c r="M3" s="540" t="s">
        <v>586</v>
      </c>
      <c r="N3" s="540" t="s">
        <v>588</v>
      </c>
      <c r="O3" s="540" t="s">
        <v>588</v>
      </c>
      <c r="P3" s="540" t="s">
        <v>586</v>
      </c>
      <c r="Q3" s="540" t="s">
        <v>586</v>
      </c>
      <c r="R3" s="540" t="s">
        <v>586</v>
      </c>
      <c r="S3" s="540" t="s">
        <v>176</v>
      </c>
      <c r="T3" s="540" t="s">
        <v>176</v>
      </c>
      <c r="U3" s="540" t="s">
        <v>176</v>
      </c>
      <c r="V3" s="540" t="s">
        <v>176</v>
      </c>
      <c r="W3" s="540" t="s">
        <v>176</v>
      </c>
      <c r="X3" s="540" t="s">
        <v>176</v>
      </c>
      <c r="Y3" s="540" t="s">
        <v>176</v>
      </c>
      <c r="Z3" s="540" t="s">
        <v>174</v>
      </c>
      <c r="AA3" s="540" t="s">
        <v>176</v>
      </c>
      <c r="AB3" s="540" t="s">
        <v>176</v>
      </c>
      <c r="AC3" s="540" t="s">
        <v>176</v>
      </c>
      <c r="AD3" s="540" t="s">
        <v>176</v>
      </c>
      <c r="AE3" s="540" t="s">
        <v>176</v>
      </c>
      <c r="AF3" s="540" t="s">
        <v>176</v>
      </c>
      <c r="AG3" s="540" t="s">
        <v>176</v>
      </c>
      <c r="AH3" s="540" t="s">
        <v>176</v>
      </c>
      <c r="AI3" s="540" t="s">
        <v>176</v>
      </c>
      <c r="AN3" t="s">
        <v>622</v>
      </c>
      <c r="AO3" t="s">
        <v>623</v>
      </c>
      <c r="AP3" t="s">
        <v>624</v>
      </c>
      <c r="AQ3" t="s">
        <v>625</v>
      </c>
      <c r="AR3" t="s">
        <v>626</v>
      </c>
      <c r="AS3" t="s">
        <v>627</v>
      </c>
    </row>
    <row r="4" spans="1:45" ht="15" customHeight="1">
      <c r="A4" s="567">
        <v>0.2</v>
      </c>
      <c r="B4" s="569">
        <v>16</v>
      </c>
      <c r="C4" s="568" t="s">
        <v>178</v>
      </c>
      <c r="D4" s="567">
        <v>1.85</v>
      </c>
      <c r="E4" s="567">
        <v>0.04</v>
      </c>
      <c r="F4" s="569">
        <v>89</v>
      </c>
      <c r="G4" s="569">
        <v>41</v>
      </c>
      <c r="H4" s="141">
        <v>0.221</v>
      </c>
      <c r="K4" s="557">
        <v>0.2</v>
      </c>
      <c r="L4" s="557">
        <f t="shared" ref="L4:L12" si="0">B4*100</f>
        <v>1600</v>
      </c>
      <c r="M4" s="557" t="s">
        <v>109</v>
      </c>
      <c r="N4" s="557">
        <f>18.5</f>
        <v>18.5</v>
      </c>
      <c r="O4" s="557">
        <f>N4</f>
        <v>18.5</v>
      </c>
      <c r="P4" s="557">
        <f t="shared" ref="P4:P51" si="1">N4*K4</f>
        <v>3.7</v>
      </c>
      <c r="Q4" s="557">
        <f t="shared" ref="Q4:Q51" si="2">O4*K4</f>
        <v>3.7</v>
      </c>
      <c r="R4" s="21">
        <f>100</f>
        <v>100</v>
      </c>
      <c r="S4" s="21" t="e">
        <f t="shared" ref="S4:S51" si="3">(M4/(L4-P4))*100</f>
        <v>#VALUE!</v>
      </c>
      <c r="T4" s="475" t="e">
        <f t="shared" ref="T4:T51" si="4">((AJ59-1.64)*0.3)+0.5</f>
        <v>#VALUE!</v>
      </c>
      <c r="U4" s="475" t="e">
        <f>(($L4-$P4)/$R$4)*(($R$4/$Q4)^T4)</f>
        <v>#VALUE!</v>
      </c>
      <c r="V4" s="475"/>
      <c r="W4" s="475" t="e">
        <f t="shared" ref="W4:W51" si="5">(L4/$R$4)*($R$4/Q4)^T4</f>
        <v>#VALUE!</v>
      </c>
      <c r="X4" s="296">
        <f>IF(V4&lt;2.5,-(0.403*V4^4)+(5.581*V4^3)-(21.63*V4^2)+(33.75*V4)-17.88,(6*10^(-7))*V4^(16.76))</f>
        <v>-17.88</v>
      </c>
      <c r="Y4" s="490" t="e">
        <f>X4*W4</f>
        <v>#VALUE!</v>
      </c>
      <c r="Z4" s="552">
        <f t="shared" ref="Z4:Z51" si="6">-98+66*LOG(10*B4/(SQRT(10*(Q4/100))))</f>
        <v>61.721261961080188</v>
      </c>
      <c r="AA4" s="11">
        <f t="shared" ref="AA4:AA51" si="7">IF(Z4&lt;40,1,0.75)</f>
        <v>0.75</v>
      </c>
      <c r="AB4" s="296">
        <f t="shared" ref="AB4:AB51" si="8">IF(P4/$R$4&lt;=1,1,(P4/$R$4)^(AA4-1))</f>
        <v>1</v>
      </c>
      <c r="AC4" s="297">
        <f t="shared" ref="AC4:AC51" si="9">IF(K4&lt;9.15,1-0.00765*K4,1.174-0.0267*K4)</f>
        <v>0.99846999999999997</v>
      </c>
      <c r="AD4" s="297">
        <f t="shared" ref="AD4:AD51" si="10">0.65*AC4*($R$7)*(P4/Q4)</f>
        <v>0.13239712200000001</v>
      </c>
      <c r="AE4" s="297">
        <f t="shared" ref="AE4:AE51" si="11">AD4/($R$22*AB4)</f>
        <v>2.0436331850283252E-2</v>
      </c>
      <c r="AF4" s="297" t="e">
        <f t="shared" ref="AF4:AF50" si="12">93*(Y4/1000)^3+0.08</f>
        <v>#VALUE!</v>
      </c>
      <c r="AG4" s="553"/>
      <c r="AH4" s="11" t="e">
        <f t="shared" ref="AH4:AH51" si="13">EXP((Y4/540)+(Y4/67)^2-(Y4/80)^3+(Y4/114)^4-3)</f>
        <v>#VALUE!</v>
      </c>
      <c r="AI4" s="11" t="e">
        <f>AH4/AE4</f>
        <v>#VALUE!</v>
      </c>
      <c r="AL4" s="324">
        <v>1.25</v>
      </c>
      <c r="AM4" s="324">
        <v>-0.2</v>
      </c>
      <c r="AN4" s="324">
        <v>1.31</v>
      </c>
      <c r="AO4" s="573">
        <v>2.0499999999999998</v>
      </c>
      <c r="AP4" s="573">
        <v>2.6</v>
      </c>
      <c r="AQ4" s="324">
        <v>2.95</v>
      </c>
      <c r="AR4" s="324">
        <v>3.6</v>
      </c>
      <c r="AS4" s="324">
        <v>4</v>
      </c>
    </row>
    <row r="5" spans="1:45" ht="15" customHeight="1">
      <c r="A5" s="567">
        <v>0.4</v>
      </c>
      <c r="B5" s="569">
        <v>26</v>
      </c>
      <c r="C5" s="569">
        <v>26</v>
      </c>
      <c r="D5" s="567">
        <v>1.85</v>
      </c>
      <c r="E5" s="567">
        <v>7.0000000000000007E-2</v>
      </c>
      <c r="F5" s="569">
        <v>89</v>
      </c>
      <c r="G5" s="569">
        <v>40</v>
      </c>
      <c r="H5" s="141">
        <v>0.22</v>
      </c>
      <c r="K5" s="557">
        <v>0.4</v>
      </c>
      <c r="L5" s="557">
        <f t="shared" si="0"/>
        <v>2600</v>
      </c>
      <c r="M5" s="558">
        <f t="shared" ref="M5:M50" si="14">L5/C5</f>
        <v>100</v>
      </c>
      <c r="N5" s="557">
        <f t="shared" ref="N5:N51" si="15">18.5</f>
        <v>18.5</v>
      </c>
      <c r="O5" s="557">
        <f t="shared" ref="O5:O11" si="16">N5</f>
        <v>18.5</v>
      </c>
      <c r="P5" s="557">
        <f t="shared" si="1"/>
        <v>7.4</v>
      </c>
      <c r="Q5" s="557">
        <f t="shared" si="2"/>
        <v>7.4</v>
      </c>
      <c r="R5" s="545" t="s">
        <v>585</v>
      </c>
      <c r="S5" s="21">
        <f t="shared" si="3"/>
        <v>3.8571318367661811</v>
      </c>
      <c r="T5" s="475">
        <f t="shared" si="4"/>
        <v>0.67450490436273258</v>
      </c>
      <c r="U5" s="475">
        <f>(($L5-$P5)/$R$4)*(($R$4/$Q5)^$T$5)</f>
        <v>150.12197434008962</v>
      </c>
      <c r="V5" s="475">
        <f t="shared" ref="V5:V50" si="17">((3.47-LOG(U5))^2+(LOG($S5)+1.22)^2)^0.5</f>
        <v>2.2216835546277793</v>
      </c>
      <c r="W5" s="475">
        <f t="shared" si="5"/>
        <v>150.55046412259239</v>
      </c>
      <c r="X5" s="296">
        <f>-(0.403*V5^4)+(5.581*V5^3)-(21.63*V5^2)+(33.75*V5)-17.88</f>
        <v>1.721552988751224</v>
      </c>
      <c r="Y5" s="296">
        <f t="shared" ref="Y5:Y51" si="18">X5*W5</f>
        <v>259.18060146813286</v>
      </c>
      <c r="Z5" s="552">
        <f t="shared" si="6"/>
        <v>65.70359421495175</v>
      </c>
      <c r="AA5" s="11">
        <f t="shared" si="7"/>
        <v>0.75</v>
      </c>
      <c r="AB5" s="296">
        <f t="shared" si="8"/>
        <v>1</v>
      </c>
      <c r="AC5" s="297">
        <f t="shared" si="9"/>
        <v>0.99694000000000005</v>
      </c>
      <c r="AD5" s="297">
        <f t="shared" si="10"/>
        <v>0.13219424399999999</v>
      </c>
      <c r="AE5" s="297">
        <f t="shared" si="11"/>
        <v>2.0405016349836633E-2</v>
      </c>
      <c r="AF5" s="297">
        <f t="shared" si="12"/>
        <v>1.6991624691333269</v>
      </c>
      <c r="AG5" s="553"/>
      <c r="AH5" s="297">
        <f t="shared" si="13"/>
        <v>173.61108422037771</v>
      </c>
      <c r="AI5" s="11"/>
      <c r="AL5" s="324">
        <v>1.25</v>
      </c>
      <c r="AM5" s="324">
        <v>-0.4</v>
      </c>
      <c r="AN5" s="324">
        <v>1.31</v>
      </c>
      <c r="AO5" s="573">
        <v>2.0499999999999998</v>
      </c>
      <c r="AP5" s="573">
        <v>2.6</v>
      </c>
      <c r="AQ5" s="324">
        <v>2.95</v>
      </c>
      <c r="AR5" s="324">
        <v>3.6</v>
      </c>
    </row>
    <row r="6" spans="1:45" ht="15" customHeight="1">
      <c r="A6" s="567">
        <v>0.6</v>
      </c>
      <c r="B6" s="569">
        <v>30</v>
      </c>
      <c r="C6" s="569">
        <v>45</v>
      </c>
      <c r="D6" s="567">
        <v>1.85</v>
      </c>
      <c r="E6" s="567">
        <v>0.11</v>
      </c>
      <c r="F6" s="569">
        <v>84</v>
      </c>
      <c r="G6" s="569">
        <v>40</v>
      </c>
      <c r="H6" s="141">
        <v>0.20399999999999999</v>
      </c>
      <c r="K6" s="557">
        <v>0.6</v>
      </c>
      <c r="L6" s="557">
        <f t="shared" si="0"/>
        <v>3000</v>
      </c>
      <c r="M6" s="558">
        <f t="shared" si="14"/>
        <v>66.666666666666671</v>
      </c>
      <c r="N6" s="557">
        <f t="shared" si="15"/>
        <v>18.5</v>
      </c>
      <c r="O6" s="557">
        <f t="shared" si="16"/>
        <v>18.5</v>
      </c>
      <c r="P6" s="557">
        <f t="shared" si="1"/>
        <v>11.1</v>
      </c>
      <c r="Q6" s="557">
        <f t="shared" si="2"/>
        <v>11.1</v>
      </c>
      <c r="R6" s="544" t="s">
        <v>176</v>
      </c>
      <c r="S6" s="21">
        <f t="shared" si="3"/>
        <v>2.2304749796469161</v>
      </c>
      <c r="T6" s="475">
        <f t="shared" si="4"/>
        <v>0.63614839537455414</v>
      </c>
      <c r="U6" s="475">
        <f t="shared" ref="U6:U51" si="19">(($L6-$P6)/$R$4)*(($R$4/$Q6)^T6)</f>
        <v>121.01177749900882</v>
      </c>
      <c r="V6" s="475">
        <f t="shared" si="17"/>
        <v>2.0938284127056868</v>
      </c>
      <c r="W6" s="475">
        <f t="shared" si="5"/>
        <v>121.46118387936247</v>
      </c>
      <c r="X6" s="296">
        <f t="shared" ref="X6:X51" si="20">-(0.403*V6^4)+(5.581*V6^3)-(21.63*V6^2)+(33.75*V6)-17.88</f>
        <v>1.4436830932340747</v>
      </c>
      <c r="Y6" s="296">
        <f t="shared" si="18"/>
        <v>175.35145765083072</v>
      </c>
      <c r="Z6" s="552">
        <f t="shared" si="6"/>
        <v>63.994344511538031</v>
      </c>
      <c r="AA6" s="11">
        <f t="shared" si="7"/>
        <v>0.75</v>
      </c>
      <c r="AB6" s="296">
        <f t="shared" si="8"/>
        <v>1</v>
      </c>
      <c r="AC6" s="297">
        <f t="shared" si="9"/>
        <v>0.99541000000000002</v>
      </c>
      <c r="AD6" s="297">
        <f t="shared" si="10"/>
        <v>0.131991366</v>
      </c>
      <c r="AE6" s="297">
        <f t="shared" si="11"/>
        <v>2.0373700849390018E-2</v>
      </c>
      <c r="AF6" s="297">
        <f t="shared" si="12"/>
        <v>0.58143089598782027</v>
      </c>
      <c r="AG6" s="553">
        <f t="shared" ref="AG6:AG50" si="21">AF6/AE6</f>
        <v>28.538305351883487</v>
      </c>
      <c r="AH6" s="297">
        <f t="shared" si="13"/>
        <v>0.46835621809153732</v>
      </c>
      <c r="AI6" s="296">
        <f t="shared" ref="AI6:AI50" si="22">AH6/AE6</f>
        <v>22.988274028062001</v>
      </c>
      <c r="AL6" s="324">
        <v>1.25</v>
      </c>
      <c r="AM6" s="324">
        <v>-0.6</v>
      </c>
      <c r="AN6" s="324">
        <v>1.31</v>
      </c>
      <c r="AO6" s="573">
        <v>2.0499999999999998</v>
      </c>
      <c r="AP6" s="573">
        <v>2.6</v>
      </c>
      <c r="AQ6" s="324">
        <v>2.95</v>
      </c>
      <c r="AR6" s="324">
        <v>3.6</v>
      </c>
    </row>
    <row r="7" spans="1:45" ht="15" customHeight="1">
      <c r="A7" s="567">
        <v>0.8</v>
      </c>
      <c r="B7" s="569">
        <v>25</v>
      </c>
      <c r="C7" s="569">
        <v>34</v>
      </c>
      <c r="D7" s="567">
        <v>1.85</v>
      </c>
      <c r="E7" s="567">
        <v>0.15</v>
      </c>
      <c r="F7" s="569">
        <v>71</v>
      </c>
      <c r="G7" s="569">
        <v>38</v>
      </c>
      <c r="H7" s="141">
        <v>0.16200000000000001</v>
      </c>
      <c r="K7" s="557">
        <v>0.8</v>
      </c>
      <c r="L7" s="557">
        <f t="shared" si="0"/>
        <v>2500</v>
      </c>
      <c r="M7" s="558">
        <f t="shared" si="14"/>
        <v>73.529411764705884</v>
      </c>
      <c r="N7" s="557">
        <f t="shared" si="15"/>
        <v>18.5</v>
      </c>
      <c r="O7" s="557">
        <f t="shared" si="16"/>
        <v>18.5</v>
      </c>
      <c r="P7" s="557">
        <f t="shared" si="1"/>
        <v>14.8</v>
      </c>
      <c r="Q7" s="557">
        <f t="shared" si="2"/>
        <v>14.8</v>
      </c>
      <c r="R7" s="557">
        <v>0.20399999999999999</v>
      </c>
      <c r="S7" s="566">
        <f t="shared" si="3"/>
        <v>2.9586919267948613</v>
      </c>
      <c r="T7" s="477">
        <f t="shared" si="4"/>
        <v>0.68705610525893979</v>
      </c>
      <c r="U7" s="477">
        <f t="shared" si="19"/>
        <v>92.350255038822269</v>
      </c>
      <c r="V7" s="475">
        <f t="shared" si="17"/>
        <v>2.2635204586554654</v>
      </c>
      <c r="W7" s="475">
        <f t="shared" si="5"/>
        <v>92.900224367075367</v>
      </c>
      <c r="X7" s="296">
        <f t="shared" si="20"/>
        <v>1.8370101981466753</v>
      </c>
      <c r="Y7" s="296">
        <f t="shared" si="18"/>
        <v>170.6586595724317</v>
      </c>
      <c r="Z7" s="552">
        <f t="shared" si="6"/>
        <v>54.645403964320877</v>
      </c>
      <c r="AA7" s="11">
        <f t="shared" si="7"/>
        <v>0.75</v>
      </c>
      <c r="AB7" s="296">
        <f t="shared" si="8"/>
        <v>1</v>
      </c>
      <c r="AC7" s="297">
        <f t="shared" si="9"/>
        <v>0.99387999999999999</v>
      </c>
      <c r="AD7" s="297">
        <f t="shared" si="10"/>
        <v>0.13178848799999998</v>
      </c>
      <c r="AE7" s="297">
        <f t="shared" si="11"/>
        <v>2.03423853489434E-2</v>
      </c>
      <c r="AF7" s="297">
        <f t="shared" si="12"/>
        <v>0.54224044124529391</v>
      </c>
      <c r="AG7" s="553">
        <f t="shared" si="21"/>
        <v>26.655696072213985</v>
      </c>
      <c r="AH7" s="297">
        <f t="shared" si="13"/>
        <v>0.41416385949521595</v>
      </c>
      <c r="AI7" s="296">
        <f t="shared" si="22"/>
        <v>20.359650669813309</v>
      </c>
      <c r="AL7" s="324">
        <v>1.25</v>
      </c>
      <c r="AM7" s="324">
        <v>-0.8</v>
      </c>
      <c r="AN7" s="324">
        <v>1.31</v>
      </c>
      <c r="AO7" s="573">
        <v>2.0499999999999998</v>
      </c>
      <c r="AP7" s="573">
        <v>2.6</v>
      </c>
      <c r="AQ7" s="324">
        <v>2.95</v>
      </c>
      <c r="AR7" s="324">
        <v>3.6</v>
      </c>
    </row>
    <row r="8" spans="1:45" ht="15" customHeight="1">
      <c r="A8" s="527" t="s">
        <v>181</v>
      </c>
      <c r="B8" s="569">
        <v>17</v>
      </c>
      <c r="C8" s="569">
        <v>32</v>
      </c>
      <c r="D8" s="567">
        <v>1.85</v>
      </c>
      <c r="E8" s="567">
        <v>0.19</v>
      </c>
      <c r="F8" s="569">
        <v>52</v>
      </c>
      <c r="G8" s="569">
        <v>35</v>
      </c>
      <c r="H8" s="141">
        <v>0.11</v>
      </c>
      <c r="J8"/>
      <c r="K8" s="557">
        <v>1</v>
      </c>
      <c r="L8" s="557">
        <f t="shared" si="0"/>
        <v>1700</v>
      </c>
      <c r="M8" s="558">
        <f t="shared" si="14"/>
        <v>53.125</v>
      </c>
      <c r="N8" s="557">
        <f t="shared" si="15"/>
        <v>18.5</v>
      </c>
      <c r="O8" s="557">
        <f t="shared" si="16"/>
        <v>18.5</v>
      </c>
      <c r="P8" s="557">
        <f t="shared" si="1"/>
        <v>18.5</v>
      </c>
      <c r="Q8" s="557">
        <f t="shared" si="2"/>
        <v>18.5</v>
      </c>
      <c r="R8" s="572" t="s">
        <v>529</v>
      </c>
      <c r="S8" s="21">
        <f t="shared" si="3"/>
        <v>3.1593815046089802</v>
      </c>
      <c r="T8" s="475">
        <f t="shared" si="4"/>
        <v>0.73466821630620838</v>
      </c>
      <c r="U8" s="475">
        <f t="shared" si="19"/>
        <v>58.087476635859936</v>
      </c>
      <c r="V8" s="476">
        <f t="shared" si="17"/>
        <v>2.4222274385234632</v>
      </c>
      <c r="W8" s="475">
        <f t="shared" si="5"/>
        <v>58.72655978647748</v>
      </c>
      <c r="X8" s="296">
        <f t="shared" si="20"/>
        <v>2.4053940741031958</v>
      </c>
      <c r="Y8" s="296">
        <f t="shared" si="18"/>
        <v>141.26051890285999</v>
      </c>
      <c r="Z8" s="552">
        <f t="shared" si="6"/>
        <v>40.392961773666627</v>
      </c>
      <c r="AA8" s="11">
        <f t="shared" si="7"/>
        <v>0.75</v>
      </c>
      <c r="AB8" s="296">
        <f t="shared" si="8"/>
        <v>1</v>
      </c>
      <c r="AC8" s="297">
        <f t="shared" si="9"/>
        <v>0.99234999999999995</v>
      </c>
      <c r="AD8" s="297">
        <f t="shared" si="10"/>
        <v>0.13158560999999999</v>
      </c>
      <c r="AE8" s="297">
        <f t="shared" si="11"/>
        <v>2.0311069848496784E-2</v>
      </c>
      <c r="AF8" s="297">
        <f t="shared" si="12"/>
        <v>0.34214727057605371</v>
      </c>
      <c r="AG8" s="553">
        <f t="shared" si="21"/>
        <v>16.845359359609308</v>
      </c>
      <c r="AH8" s="297">
        <f t="shared" si="13"/>
        <v>0.23667227643668939</v>
      </c>
      <c r="AI8" s="296">
        <f t="shared" si="22"/>
        <v>11.652378638942322</v>
      </c>
      <c r="AL8" s="324">
        <v>1.25</v>
      </c>
      <c r="AM8" s="324">
        <v>-1</v>
      </c>
      <c r="AN8" s="324">
        <v>1.31</v>
      </c>
      <c r="AO8" s="573">
        <v>2.0499999999999998</v>
      </c>
      <c r="AP8" s="573">
        <v>2.6</v>
      </c>
      <c r="AQ8" s="324">
        <v>2.95</v>
      </c>
      <c r="AR8" s="324">
        <v>3.6</v>
      </c>
    </row>
    <row r="9" spans="1:45" ht="15" customHeight="1">
      <c r="A9" s="567">
        <v>1.2</v>
      </c>
      <c r="B9" s="569">
        <v>12</v>
      </c>
      <c r="C9" s="569">
        <v>22</v>
      </c>
      <c r="D9" s="567">
        <v>1.85</v>
      </c>
      <c r="E9" s="567">
        <v>0.22</v>
      </c>
      <c r="F9" s="568" t="s">
        <v>178</v>
      </c>
      <c r="G9" s="568" t="s">
        <v>178</v>
      </c>
      <c r="H9" s="568" t="s">
        <v>178</v>
      </c>
      <c r="J9"/>
      <c r="K9" s="557">
        <v>1.2</v>
      </c>
      <c r="L9" s="557">
        <f t="shared" si="0"/>
        <v>1200</v>
      </c>
      <c r="M9" s="558">
        <f t="shared" si="14"/>
        <v>54.545454545454547</v>
      </c>
      <c r="N9" s="557">
        <f t="shared" si="15"/>
        <v>18.5</v>
      </c>
      <c r="O9" s="557">
        <f t="shared" si="16"/>
        <v>18.5</v>
      </c>
      <c r="P9" s="557">
        <f t="shared" si="1"/>
        <v>22.2</v>
      </c>
      <c r="Q9" s="557">
        <f t="shared" si="2"/>
        <v>22.2</v>
      </c>
      <c r="R9" s="563" t="s">
        <v>176</v>
      </c>
      <c r="S9" s="21">
        <f t="shared" si="3"/>
        <v>4.6311304589450284</v>
      </c>
      <c r="T9" s="475">
        <f t="shared" si="4"/>
        <v>0.80525307437777638</v>
      </c>
      <c r="U9" s="475">
        <f t="shared" si="19"/>
        <v>39.575173441025292</v>
      </c>
      <c r="V9" s="476">
        <f t="shared" si="17"/>
        <v>2.6575102612778512</v>
      </c>
      <c r="W9" s="475">
        <f t="shared" si="5"/>
        <v>40.321114050968212</v>
      </c>
      <c r="X9" s="296">
        <f t="shared" si="20"/>
        <v>3.6975621276391557</v>
      </c>
      <c r="Y9" s="296">
        <f t="shared" si="18"/>
        <v>149.08982425907908</v>
      </c>
      <c r="Z9" s="552">
        <f t="shared" si="6"/>
        <v>27.796314082272161</v>
      </c>
      <c r="AA9" s="11">
        <f t="shared" si="7"/>
        <v>1</v>
      </c>
      <c r="AB9" s="296">
        <f t="shared" si="8"/>
        <v>1</v>
      </c>
      <c r="AC9" s="297">
        <f t="shared" si="9"/>
        <v>0.99082000000000003</v>
      </c>
      <c r="AD9" s="297">
        <f t="shared" si="10"/>
        <v>0.131382732</v>
      </c>
      <c r="AE9" s="297">
        <f t="shared" si="11"/>
        <v>2.0279754348050169E-2</v>
      </c>
      <c r="AF9" s="297">
        <f t="shared" si="12"/>
        <v>0.38819597103560616</v>
      </c>
      <c r="AG9" s="553">
        <f t="shared" si="21"/>
        <v>19.142045035320159</v>
      </c>
      <c r="AH9" s="297">
        <f t="shared" si="13"/>
        <v>0.26726544515804845</v>
      </c>
      <c r="AI9" s="296">
        <f t="shared" si="22"/>
        <v>13.178929121680664</v>
      </c>
      <c r="AL9" s="324">
        <v>1.25</v>
      </c>
      <c r="AM9" s="324">
        <v>-1.2</v>
      </c>
      <c r="AN9" s="324">
        <v>1.31</v>
      </c>
      <c r="AO9" s="573">
        <v>2.0499999999999998</v>
      </c>
      <c r="AP9" s="573">
        <v>2.6</v>
      </c>
      <c r="AQ9" s="324">
        <v>2.95</v>
      </c>
      <c r="AR9" s="324">
        <v>3.6</v>
      </c>
    </row>
    <row r="10" spans="1:45" ht="15" customHeight="1">
      <c r="A10" s="567">
        <v>1.4</v>
      </c>
      <c r="B10" s="569">
        <v>24</v>
      </c>
      <c r="C10" s="569">
        <v>45</v>
      </c>
      <c r="D10" s="567">
        <v>1.85</v>
      </c>
      <c r="E10" s="567">
        <v>0.26</v>
      </c>
      <c r="F10" s="569">
        <v>56</v>
      </c>
      <c r="G10" s="569">
        <v>36</v>
      </c>
      <c r="H10" s="141">
        <v>0.11899999999999999</v>
      </c>
      <c r="J10"/>
      <c r="K10" s="557">
        <v>1.4</v>
      </c>
      <c r="L10" s="557">
        <f t="shared" si="0"/>
        <v>2400</v>
      </c>
      <c r="M10" s="558">
        <f t="shared" si="14"/>
        <v>53.333333333333336</v>
      </c>
      <c r="N10" s="557">
        <f t="shared" si="15"/>
        <v>18.5</v>
      </c>
      <c r="O10" s="557">
        <f t="shared" si="16"/>
        <v>18.5</v>
      </c>
      <c r="P10" s="557">
        <f t="shared" si="1"/>
        <v>25.9</v>
      </c>
      <c r="Q10" s="557">
        <f t="shared" si="2"/>
        <v>25.9</v>
      </c>
      <c r="R10" s="564">
        <v>1</v>
      </c>
      <c r="S10" s="21">
        <f t="shared" si="3"/>
        <v>2.2464653272117157</v>
      </c>
      <c r="T10" s="475">
        <f t="shared" si="4"/>
        <v>0.69908434261131314</v>
      </c>
      <c r="U10" s="475">
        <f t="shared" si="19"/>
        <v>61.045261259878657</v>
      </c>
      <c r="V10" s="476">
        <f t="shared" si="17"/>
        <v>2.30361448607984</v>
      </c>
      <c r="W10" s="475">
        <f t="shared" si="5"/>
        <v>61.711228264904079</v>
      </c>
      <c r="X10" s="296">
        <f t="shared" si="20"/>
        <v>1.9603880392141626</v>
      </c>
      <c r="Y10" s="296">
        <f t="shared" si="18"/>
        <v>120.97795377573291</v>
      </c>
      <c r="Z10" s="552">
        <f t="shared" si="6"/>
        <v>45.455049738284686</v>
      </c>
      <c r="AA10" s="11">
        <f t="shared" si="7"/>
        <v>0.75</v>
      </c>
      <c r="AB10" s="296">
        <f t="shared" si="8"/>
        <v>1</v>
      </c>
      <c r="AC10" s="297">
        <f t="shared" si="9"/>
        <v>0.98929</v>
      </c>
      <c r="AD10" s="297">
        <f t="shared" si="10"/>
        <v>0.13117985400000001</v>
      </c>
      <c r="AE10" s="297">
        <f t="shared" si="11"/>
        <v>2.0248438847603554E-2</v>
      </c>
      <c r="AF10" s="297">
        <f t="shared" si="12"/>
        <v>0.24466513413040397</v>
      </c>
      <c r="AG10" s="553">
        <f t="shared" si="21"/>
        <v>12.083160384454064</v>
      </c>
      <c r="AH10" s="297">
        <f t="shared" si="13"/>
        <v>0.1816698638391695</v>
      </c>
      <c r="AI10" s="296">
        <f t="shared" si="22"/>
        <v>8.9720429908931241</v>
      </c>
      <c r="AL10" s="324">
        <v>1.25</v>
      </c>
      <c r="AM10" s="324">
        <v>-1.4</v>
      </c>
      <c r="AN10" s="324">
        <v>1.31</v>
      </c>
      <c r="AO10" s="573">
        <v>2.0499999999999998</v>
      </c>
      <c r="AP10" s="573">
        <v>2.6</v>
      </c>
      <c r="AQ10" s="324">
        <v>2.95</v>
      </c>
      <c r="AR10" s="324">
        <v>3.6</v>
      </c>
    </row>
    <row r="11" spans="1:45" ht="15" customHeight="1">
      <c r="A11" s="567">
        <v>1.6</v>
      </c>
      <c r="B11" s="569">
        <v>20</v>
      </c>
      <c r="C11" s="569">
        <v>60</v>
      </c>
      <c r="D11" s="567">
        <v>1.85</v>
      </c>
      <c r="E11" s="567">
        <v>0.3</v>
      </c>
      <c r="F11" s="569">
        <v>46</v>
      </c>
      <c r="G11" s="569">
        <v>34</v>
      </c>
      <c r="H11" s="141">
        <v>9.5000000000000001E-2</v>
      </c>
      <c r="J11"/>
      <c r="K11" s="557">
        <v>1.6</v>
      </c>
      <c r="L11" s="557">
        <f t="shared" si="0"/>
        <v>2000</v>
      </c>
      <c r="M11" s="558">
        <f t="shared" si="14"/>
        <v>33.333333333333336</v>
      </c>
      <c r="N11" s="557">
        <f t="shared" si="15"/>
        <v>18.5</v>
      </c>
      <c r="O11" s="557">
        <f t="shared" si="16"/>
        <v>18.5</v>
      </c>
      <c r="P11" s="557">
        <f t="shared" si="1"/>
        <v>29.6</v>
      </c>
      <c r="Q11" s="557">
        <f t="shared" si="2"/>
        <v>29.6</v>
      </c>
      <c r="R11" s="565" t="s">
        <v>536</v>
      </c>
      <c r="S11" s="21">
        <f t="shared" si="3"/>
        <v>1.6917038841521181</v>
      </c>
      <c r="T11" s="475">
        <f t="shared" si="4"/>
        <v>0.70209250807695289</v>
      </c>
      <c r="U11" s="475">
        <f t="shared" si="19"/>
        <v>46.318717667546167</v>
      </c>
      <c r="V11" s="476">
        <f t="shared" si="17"/>
        <v>2.3136417010289008</v>
      </c>
      <c r="W11" s="475">
        <f t="shared" si="5"/>
        <v>47.014532752279905</v>
      </c>
      <c r="X11" s="296">
        <f t="shared" si="20"/>
        <v>1.9932799902004312</v>
      </c>
      <c r="Y11" s="296">
        <f t="shared" si="18"/>
        <v>93.713127383742346</v>
      </c>
      <c r="Z11" s="552">
        <f t="shared" si="6"/>
        <v>38.315353248877784</v>
      </c>
      <c r="AA11" s="11">
        <f t="shared" si="7"/>
        <v>1</v>
      </c>
      <c r="AB11" s="296">
        <f t="shared" si="8"/>
        <v>1</v>
      </c>
      <c r="AC11" s="297">
        <f t="shared" si="9"/>
        <v>0.98775999999999997</v>
      </c>
      <c r="AD11" s="297">
        <f t="shared" si="10"/>
        <v>0.13097697599999997</v>
      </c>
      <c r="AE11" s="297">
        <f t="shared" si="11"/>
        <v>2.0217123347156932E-2</v>
      </c>
      <c r="AF11" s="297">
        <f t="shared" si="12"/>
        <v>0.15653925710064151</v>
      </c>
      <c r="AG11" s="553">
        <f t="shared" si="21"/>
        <v>7.7429045869997681</v>
      </c>
      <c r="AH11" s="297">
        <f t="shared" si="13"/>
        <v>0.13254083890389803</v>
      </c>
      <c r="AI11" s="296">
        <f t="shared" si="22"/>
        <v>6.5558703198265258</v>
      </c>
      <c r="AL11" s="324">
        <v>1.25</v>
      </c>
      <c r="AM11" s="324">
        <v>-1.6</v>
      </c>
      <c r="AN11" s="324">
        <v>1.31</v>
      </c>
      <c r="AO11" s="573">
        <v>2.0499999999999998</v>
      </c>
      <c r="AP11" s="573">
        <v>2.6</v>
      </c>
      <c r="AQ11" s="324">
        <v>2.95</v>
      </c>
      <c r="AR11" s="324">
        <v>3.6</v>
      </c>
    </row>
    <row r="12" spans="1:45" ht="15" customHeight="1">
      <c r="A12" s="567">
        <v>1.8</v>
      </c>
      <c r="B12" s="569">
        <v>9</v>
      </c>
      <c r="C12" s="569">
        <v>34</v>
      </c>
      <c r="D12" s="567">
        <v>0.85</v>
      </c>
      <c r="E12" s="567">
        <v>0.31</v>
      </c>
      <c r="F12" s="569">
        <v>18</v>
      </c>
      <c r="G12" s="569">
        <v>30</v>
      </c>
      <c r="H12" s="141">
        <v>3.4000000000000002E-2</v>
      </c>
      <c r="J12"/>
      <c r="K12" s="557">
        <v>1.8</v>
      </c>
      <c r="L12" s="557">
        <f t="shared" si="0"/>
        <v>900</v>
      </c>
      <c r="M12" s="558">
        <f t="shared" si="14"/>
        <v>26.470588235294116</v>
      </c>
      <c r="N12" s="557">
        <f t="shared" si="15"/>
        <v>18.5</v>
      </c>
      <c r="O12" s="557">
        <f>N4-10</f>
        <v>8.5</v>
      </c>
      <c r="P12" s="557">
        <f t="shared" si="1"/>
        <v>33.300000000000004</v>
      </c>
      <c r="Q12" s="557">
        <f t="shared" si="2"/>
        <v>15.3</v>
      </c>
      <c r="R12" s="563" t="s">
        <v>176</v>
      </c>
      <c r="S12" s="21">
        <f t="shared" si="3"/>
        <v>3.0541811740272431</v>
      </c>
      <c r="T12" s="475">
        <f t="shared" si="4"/>
        <v>0.77406303061800297</v>
      </c>
      <c r="U12" s="475">
        <f t="shared" si="19"/>
        <v>37.065427928688244</v>
      </c>
      <c r="V12" s="476">
        <f t="shared" si="17"/>
        <v>2.5535436274770644</v>
      </c>
      <c r="W12" s="475">
        <f t="shared" si="5"/>
        <v>38.489540943601504</v>
      </c>
      <c r="X12" s="296">
        <f t="shared" si="20"/>
        <v>3.054066536821491</v>
      </c>
      <c r="Y12" s="296">
        <f t="shared" si="18"/>
        <v>117.54961901347403</v>
      </c>
      <c r="Z12" s="552">
        <f t="shared" si="6"/>
        <v>24.885188406014677</v>
      </c>
      <c r="AA12" s="11">
        <f t="shared" si="7"/>
        <v>1</v>
      </c>
      <c r="AB12" s="296">
        <f t="shared" si="8"/>
        <v>1</v>
      </c>
      <c r="AC12" s="297">
        <f t="shared" si="9"/>
        <v>0.98623000000000005</v>
      </c>
      <c r="AD12" s="297">
        <f t="shared" si="10"/>
        <v>0.28462597800000006</v>
      </c>
      <c r="AE12" s="297">
        <f t="shared" si="11"/>
        <v>4.3933817078134228E-2</v>
      </c>
      <c r="AF12" s="297">
        <f t="shared" si="12"/>
        <v>0.23105900724723305</v>
      </c>
      <c r="AG12" s="553">
        <f t="shared" si="21"/>
        <v>5.2592518158917416</v>
      </c>
      <c r="AH12" s="297">
        <f t="shared" si="13"/>
        <v>0.17445313080762342</v>
      </c>
      <c r="AI12" s="296">
        <f t="shared" si="22"/>
        <v>3.9708166148497122</v>
      </c>
      <c r="AL12" s="324">
        <v>1.25</v>
      </c>
      <c r="AM12" s="324">
        <v>-1.8</v>
      </c>
      <c r="AN12" s="324">
        <v>1.31</v>
      </c>
      <c r="AO12" s="573">
        <v>2.0499999999999998</v>
      </c>
      <c r="AP12" s="573">
        <v>2.6</v>
      </c>
      <c r="AQ12" s="324">
        <v>2.95</v>
      </c>
      <c r="AR12" s="324">
        <v>3.6</v>
      </c>
    </row>
    <row r="13" spans="1:45" ht="15" customHeight="1">
      <c r="A13" s="527" t="s">
        <v>184</v>
      </c>
      <c r="B13" s="569">
        <v>76</v>
      </c>
      <c r="C13" s="569">
        <v>104</v>
      </c>
      <c r="D13" s="567">
        <v>0.96</v>
      </c>
      <c r="E13" s="567">
        <v>0.33</v>
      </c>
      <c r="F13" s="569">
        <v>89</v>
      </c>
      <c r="G13" s="569">
        <v>41</v>
      </c>
      <c r="H13" s="141">
        <v>0.221</v>
      </c>
      <c r="J13"/>
      <c r="K13" s="557">
        <v>2</v>
      </c>
      <c r="L13" s="557">
        <v>1000</v>
      </c>
      <c r="M13" s="558">
        <f t="shared" si="14"/>
        <v>9.615384615384615</v>
      </c>
      <c r="N13" s="557">
        <f t="shared" si="15"/>
        <v>18.5</v>
      </c>
      <c r="O13" s="557">
        <f t="shared" ref="O13:O51" si="23">N5-10</f>
        <v>8.5</v>
      </c>
      <c r="P13" s="557">
        <f t="shared" si="1"/>
        <v>37</v>
      </c>
      <c r="Q13" s="557">
        <f t="shared" si="2"/>
        <v>17</v>
      </c>
      <c r="R13" s="324">
        <v>4</v>
      </c>
      <c r="S13" s="21">
        <f t="shared" si="3"/>
        <v>0.99848230689352169</v>
      </c>
      <c r="T13" s="475">
        <f t="shared" si="4"/>
        <v>0.69779678312129534</v>
      </c>
      <c r="U13" s="475">
        <f t="shared" si="19"/>
        <v>33.160155178312223</v>
      </c>
      <c r="V13" s="476">
        <f t="shared" si="17"/>
        <v>2.2993231102347256</v>
      </c>
      <c r="W13" s="475">
        <f t="shared" si="5"/>
        <v>34.434221368963883</v>
      </c>
      <c r="X13" s="296">
        <f t="shared" si="20"/>
        <v>1.9465642530016929</v>
      </c>
      <c r="Y13" s="296">
        <f t="shared" si="18"/>
        <v>67.02842439677211</v>
      </c>
      <c r="Z13" s="552">
        <f t="shared" si="6"/>
        <v>84.528882685049183</v>
      </c>
      <c r="AA13" s="11">
        <f t="shared" si="7"/>
        <v>0.75</v>
      </c>
      <c r="AB13" s="296">
        <f t="shared" si="8"/>
        <v>1</v>
      </c>
      <c r="AC13" s="297">
        <f t="shared" si="9"/>
        <v>0.98470000000000002</v>
      </c>
      <c r="AD13" s="297">
        <f t="shared" si="10"/>
        <v>0.28418441999999994</v>
      </c>
      <c r="AE13" s="297">
        <f t="shared" si="11"/>
        <v>4.3865659812456284E-2</v>
      </c>
      <c r="AF13" s="297">
        <f t="shared" si="12"/>
        <v>0.10800657370075026</v>
      </c>
      <c r="AG13" s="553">
        <f t="shared" si="21"/>
        <v>2.4622124496137237</v>
      </c>
      <c r="AH13" s="297">
        <f t="shared" si="13"/>
        <v>9.5973141783132959E-2</v>
      </c>
      <c r="AI13" s="296">
        <f t="shared" si="22"/>
        <v>2.1878877963641163</v>
      </c>
      <c r="AL13" s="324">
        <v>1.25</v>
      </c>
      <c r="AM13" s="324">
        <v>-2</v>
      </c>
      <c r="AN13" s="324">
        <v>1.31</v>
      </c>
      <c r="AO13" s="573">
        <v>2.0499999999999998</v>
      </c>
      <c r="AP13" s="573">
        <v>2.6</v>
      </c>
      <c r="AQ13" s="324">
        <v>2.95</v>
      </c>
      <c r="AR13" s="324">
        <v>3.6</v>
      </c>
    </row>
    <row r="14" spans="1:45" ht="15" customHeight="1">
      <c r="A14" s="567">
        <v>2.2000000000000002</v>
      </c>
      <c r="B14" s="569">
        <v>11</v>
      </c>
      <c r="C14" s="569">
        <v>82</v>
      </c>
      <c r="D14" s="567">
        <v>0.87</v>
      </c>
      <c r="E14" s="567">
        <v>0.35</v>
      </c>
      <c r="F14" s="569">
        <v>22</v>
      </c>
      <c r="G14" s="569">
        <v>31</v>
      </c>
      <c r="H14" s="141">
        <v>4.1000000000000002E-2</v>
      </c>
      <c r="J14"/>
      <c r="K14" s="557">
        <v>2.2000000000000002</v>
      </c>
      <c r="L14" s="557">
        <f t="shared" ref="L14:L51" si="24">B14*100</f>
        <v>1100</v>
      </c>
      <c r="M14" s="558">
        <f t="shared" si="14"/>
        <v>13.414634146341463</v>
      </c>
      <c r="N14" s="557">
        <f t="shared" si="15"/>
        <v>18.5</v>
      </c>
      <c r="O14" s="557">
        <f t="shared" si="23"/>
        <v>8.5</v>
      </c>
      <c r="P14" s="557">
        <f t="shared" si="1"/>
        <v>40.700000000000003</v>
      </c>
      <c r="Q14" s="557">
        <f t="shared" si="2"/>
        <v>18.700000000000003</v>
      </c>
      <c r="R14" s="554" t="s">
        <v>610</v>
      </c>
      <c r="S14" s="21">
        <f t="shared" si="3"/>
        <v>1.2663678038649544</v>
      </c>
      <c r="T14" s="475">
        <f t="shared" si="4"/>
        <v>0.70949481927994318</v>
      </c>
      <c r="U14" s="475">
        <f t="shared" si="19"/>
        <v>34.805155632166631</v>
      </c>
      <c r="V14" s="476">
        <f t="shared" si="17"/>
        <v>2.3383162888938989</v>
      </c>
      <c r="W14" s="475">
        <f t="shared" si="5"/>
        <v>36.142425370889548</v>
      </c>
      <c r="X14" s="296">
        <f t="shared" si="20"/>
        <v>2.0778076583665559</v>
      </c>
      <c r="Y14" s="296">
        <f t="shared" si="18"/>
        <v>75.097008227576012</v>
      </c>
      <c r="Z14" s="552">
        <f t="shared" si="6"/>
        <v>27.761144204738372</v>
      </c>
      <c r="AA14" s="11">
        <f t="shared" si="7"/>
        <v>1</v>
      </c>
      <c r="AB14" s="296">
        <f t="shared" si="8"/>
        <v>1</v>
      </c>
      <c r="AC14" s="297">
        <f t="shared" si="9"/>
        <v>0.98316999999999999</v>
      </c>
      <c r="AD14" s="297">
        <f t="shared" si="10"/>
        <v>0.28374286199999998</v>
      </c>
      <c r="AE14" s="297">
        <f t="shared" si="11"/>
        <v>4.3797502546778361E-2</v>
      </c>
      <c r="AF14" s="297">
        <f t="shared" si="12"/>
        <v>0.11938681428877813</v>
      </c>
      <c r="AG14" s="553">
        <f t="shared" si="21"/>
        <v>2.7258817819866752</v>
      </c>
      <c r="AH14" s="297">
        <f t="shared" si="13"/>
        <v>0.10608741988125248</v>
      </c>
      <c r="AI14" s="296">
        <f t="shared" si="22"/>
        <v>2.4222253259291384</v>
      </c>
      <c r="AL14" s="324">
        <v>1.25</v>
      </c>
      <c r="AM14" s="324">
        <v>-2.2000000000000002</v>
      </c>
      <c r="AN14" s="324">
        <v>1.31</v>
      </c>
      <c r="AO14" s="573">
        <v>2.0499999999999998</v>
      </c>
      <c r="AP14" s="573">
        <v>2.6</v>
      </c>
      <c r="AQ14" s="324">
        <v>2.95</v>
      </c>
      <c r="AR14" s="324">
        <v>3.6</v>
      </c>
    </row>
    <row r="15" spans="1:45" ht="15" customHeight="1">
      <c r="A15" s="567">
        <v>2.4</v>
      </c>
      <c r="B15" s="569">
        <v>6</v>
      </c>
      <c r="C15" s="569">
        <v>90</v>
      </c>
      <c r="D15" s="567">
        <v>0.82</v>
      </c>
      <c r="E15" s="567">
        <v>0.37</v>
      </c>
      <c r="F15" s="568" t="s">
        <v>178</v>
      </c>
      <c r="G15" s="569">
        <v>28</v>
      </c>
      <c r="H15" s="568" t="s">
        <v>178</v>
      </c>
      <c r="J15"/>
      <c r="K15" s="557">
        <v>2.4</v>
      </c>
      <c r="L15" s="557">
        <f t="shared" si="24"/>
        <v>600</v>
      </c>
      <c r="M15" s="558">
        <f t="shared" si="14"/>
        <v>6.666666666666667</v>
      </c>
      <c r="N15" s="557">
        <f t="shared" si="15"/>
        <v>18.5</v>
      </c>
      <c r="O15" s="557">
        <f t="shared" si="23"/>
        <v>8.5</v>
      </c>
      <c r="P15" s="557">
        <f t="shared" si="1"/>
        <v>44.4</v>
      </c>
      <c r="Q15" s="557">
        <f t="shared" si="2"/>
        <v>20.399999999999999</v>
      </c>
      <c r="R15" s="555" t="s">
        <v>176</v>
      </c>
      <c r="S15" s="21">
        <f t="shared" si="3"/>
        <v>1.1999040076793857</v>
      </c>
      <c r="T15" s="475">
        <f t="shared" si="4"/>
        <v>0.7724161762768007</v>
      </c>
      <c r="U15" s="475">
        <f t="shared" si="19"/>
        <v>18.96771708964609</v>
      </c>
      <c r="V15" s="476">
        <f t="shared" si="17"/>
        <v>2.5480540812549486</v>
      </c>
      <c r="W15" s="475">
        <f t="shared" si="5"/>
        <v>20.483495777155607</v>
      </c>
      <c r="X15" s="296">
        <f t="shared" si="20"/>
        <v>3.0233924390400198</v>
      </c>
      <c r="Y15" s="296">
        <f t="shared" si="18"/>
        <v>61.929646257760439</v>
      </c>
      <c r="Z15" s="552">
        <f t="shared" si="6"/>
        <v>9.1401870002658256</v>
      </c>
      <c r="AA15" s="11">
        <f t="shared" si="7"/>
        <v>1</v>
      </c>
      <c r="AB15" s="296">
        <f t="shared" si="8"/>
        <v>1</v>
      </c>
      <c r="AC15" s="297">
        <f t="shared" si="9"/>
        <v>0.98163999999999996</v>
      </c>
      <c r="AD15" s="297">
        <f t="shared" si="10"/>
        <v>0.28330130400000003</v>
      </c>
      <c r="AE15" s="297">
        <f t="shared" si="11"/>
        <v>4.3729345281100437E-2</v>
      </c>
      <c r="AF15" s="297">
        <f t="shared" si="12"/>
        <v>0.10208913688658205</v>
      </c>
      <c r="AG15" s="553">
        <f t="shared" si="21"/>
        <v>2.3345681539555172</v>
      </c>
      <c r="AH15" s="297">
        <f t="shared" si="13"/>
        <v>9.0017378130369155E-2</v>
      </c>
      <c r="AI15" s="296">
        <f t="shared" si="22"/>
        <v>2.0585119112056347</v>
      </c>
      <c r="AL15" s="324">
        <v>1.25</v>
      </c>
      <c r="AM15" s="324">
        <v>-2.4</v>
      </c>
      <c r="AN15" s="324">
        <v>1.31</v>
      </c>
      <c r="AO15" s="573">
        <v>2.0499999999999998</v>
      </c>
      <c r="AP15" s="573">
        <v>2.6</v>
      </c>
      <c r="AQ15" s="324">
        <v>2.95</v>
      </c>
      <c r="AR15" s="324">
        <v>3.6</v>
      </c>
    </row>
    <row r="16" spans="1:45" ht="15" customHeight="1">
      <c r="A16" s="567">
        <v>2.6</v>
      </c>
      <c r="B16" s="569">
        <v>5</v>
      </c>
      <c r="C16" s="569">
        <v>19</v>
      </c>
      <c r="D16" s="567">
        <v>0.8</v>
      </c>
      <c r="E16" s="567">
        <v>0.38</v>
      </c>
      <c r="F16" s="568" t="s">
        <v>178</v>
      </c>
      <c r="G16" s="568" t="s">
        <v>178</v>
      </c>
      <c r="H16" s="568" t="s">
        <v>178</v>
      </c>
      <c r="J16"/>
      <c r="K16" s="557">
        <v>2.6</v>
      </c>
      <c r="L16" s="557">
        <f t="shared" si="24"/>
        <v>500</v>
      </c>
      <c r="M16" s="558">
        <f t="shared" si="14"/>
        <v>26.315789473684209</v>
      </c>
      <c r="N16" s="557">
        <f t="shared" si="15"/>
        <v>18.5</v>
      </c>
      <c r="O16" s="557">
        <f t="shared" si="23"/>
        <v>8.5</v>
      </c>
      <c r="P16" s="557">
        <f t="shared" si="1"/>
        <v>48.1</v>
      </c>
      <c r="Q16" s="557">
        <f t="shared" si="2"/>
        <v>22.1</v>
      </c>
      <c r="R16" s="180">
        <f>(10^2.24)/($R$13^2.56)</f>
        <v>4.997196443315155</v>
      </c>
      <c r="S16" s="21">
        <f t="shared" si="3"/>
        <v>5.8233656724240346</v>
      </c>
      <c r="T16" s="475">
        <f t="shared" si="4"/>
        <v>0.90221552625737433</v>
      </c>
      <c r="U16" s="475">
        <f t="shared" si="19"/>
        <v>17.641756000545389</v>
      </c>
      <c r="V16" s="476">
        <f t="shared" si="17"/>
        <v>2.9807184325632616</v>
      </c>
      <c r="W16" s="475">
        <f t="shared" si="5"/>
        <v>19.519535296022781</v>
      </c>
      <c r="X16" s="296">
        <f t="shared" si="20"/>
        <v>6.5318747654559637</v>
      </c>
      <c r="Y16" s="296">
        <f t="shared" si="18"/>
        <v>127.49916003351821</v>
      </c>
      <c r="Z16" s="552">
        <f t="shared" si="6"/>
        <v>2.7670752545685815</v>
      </c>
      <c r="AA16" s="11">
        <f t="shared" si="7"/>
        <v>1</v>
      </c>
      <c r="AB16" s="296">
        <f t="shared" si="8"/>
        <v>1</v>
      </c>
      <c r="AC16" s="297">
        <f t="shared" si="9"/>
        <v>0.98011000000000004</v>
      </c>
      <c r="AD16" s="297">
        <f t="shared" si="10"/>
        <v>0.28285974599999997</v>
      </c>
      <c r="AE16" s="297">
        <f t="shared" si="11"/>
        <v>4.3661188015422493E-2</v>
      </c>
      <c r="AF16" s="297">
        <f t="shared" si="12"/>
        <v>0.27275467473736958</v>
      </c>
      <c r="AG16" s="553">
        <f t="shared" si="21"/>
        <v>6.2470740521541499</v>
      </c>
      <c r="AH16" s="297">
        <f t="shared" si="13"/>
        <v>0.19670117741745888</v>
      </c>
      <c r="AI16" s="296">
        <f t="shared" si="22"/>
        <v>4.5051723592124402</v>
      </c>
      <c r="AL16" s="324">
        <v>1.25</v>
      </c>
      <c r="AM16" s="324">
        <v>-2.6</v>
      </c>
      <c r="AN16" s="324">
        <v>1.31</v>
      </c>
      <c r="AO16" s="573">
        <v>2.0499999999999998</v>
      </c>
      <c r="AP16" s="573">
        <v>2.6</v>
      </c>
      <c r="AQ16" s="324">
        <v>2.95</v>
      </c>
      <c r="AR16" s="324">
        <v>3.6</v>
      </c>
    </row>
    <row r="17" spans="1:44" ht="15" customHeight="1">
      <c r="A17" s="567">
        <v>2.8</v>
      </c>
      <c r="B17" s="569">
        <v>8</v>
      </c>
      <c r="C17" s="569">
        <v>13</v>
      </c>
      <c r="D17" s="567">
        <v>0.86</v>
      </c>
      <c r="E17" s="567">
        <v>0.4</v>
      </c>
      <c r="F17" s="568" t="s">
        <v>178</v>
      </c>
      <c r="G17" s="568" t="s">
        <v>178</v>
      </c>
      <c r="H17" s="568" t="s">
        <v>178</v>
      </c>
      <c r="J17"/>
      <c r="K17" s="557">
        <v>2.8</v>
      </c>
      <c r="L17" s="557">
        <f t="shared" si="24"/>
        <v>800</v>
      </c>
      <c r="M17" s="558">
        <f t="shared" si="14"/>
        <v>61.53846153846154</v>
      </c>
      <c r="N17" s="557">
        <f t="shared" si="15"/>
        <v>18.5</v>
      </c>
      <c r="O17" s="557">
        <f t="shared" si="23"/>
        <v>8.5</v>
      </c>
      <c r="P17" s="557">
        <f t="shared" si="1"/>
        <v>51.8</v>
      </c>
      <c r="Q17" s="557">
        <f t="shared" si="2"/>
        <v>23.799999999999997</v>
      </c>
      <c r="R17" s="554" t="s">
        <v>611</v>
      </c>
      <c r="S17" s="21">
        <f t="shared" si="3"/>
        <v>8.2248678880595474</v>
      </c>
      <c r="T17" s="475">
        <f t="shared" si="4"/>
        <v>0.8936697447887767</v>
      </c>
      <c r="U17" s="475">
        <f t="shared" si="19"/>
        <v>26.986838840290016</v>
      </c>
      <c r="V17" s="476">
        <f t="shared" si="17"/>
        <v>2.9522324866028939</v>
      </c>
      <c r="W17" s="475">
        <f t="shared" si="5"/>
        <v>28.855213943106136</v>
      </c>
      <c r="X17" s="296">
        <f t="shared" si="20"/>
        <v>6.2277212000445381</v>
      </c>
      <c r="Y17" s="296">
        <f t="shared" si="18"/>
        <v>179.70222760530282</v>
      </c>
      <c r="Z17" s="552">
        <f t="shared" si="6"/>
        <v>15.176899558603381</v>
      </c>
      <c r="AA17" s="11">
        <f t="shared" si="7"/>
        <v>1</v>
      </c>
      <c r="AB17" s="296">
        <f t="shared" si="8"/>
        <v>1</v>
      </c>
      <c r="AC17" s="297">
        <f t="shared" si="9"/>
        <v>0.97858000000000001</v>
      </c>
      <c r="AD17" s="297">
        <f t="shared" si="10"/>
        <v>0.28241818800000001</v>
      </c>
      <c r="AE17" s="297">
        <f t="shared" si="11"/>
        <v>4.359303074974457E-2</v>
      </c>
      <c r="AF17" s="297">
        <f t="shared" si="12"/>
        <v>0.61968870713241631</v>
      </c>
      <c r="AG17" s="553">
        <f t="shared" si="21"/>
        <v>14.215315991445429</v>
      </c>
      <c r="AH17" s="297">
        <f t="shared" si="13"/>
        <v>0.53087524786326501</v>
      </c>
      <c r="AI17" s="296">
        <f t="shared" si="22"/>
        <v>12.17798438724923</v>
      </c>
      <c r="AL17" s="324">
        <v>1.25</v>
      </c>
      <c r="AM17" s="324">
        <v>-2.8</v>
      </c>
      <c r="AN17" s="324">
        <v>1.31</v>
      </c>
      <c r="AO17" s="573">
        <v>2.0499999999999998</v>
      </c>
      <c r="AP17" s="573">
        <v>2.6</v>
      </c>
      <c r="AQ17" s="324">
        <v>2.95</v>
      </c>
      <c r="AR17" s="324">
        <v>3.6</v>
      </c>
    </row>
    <row r="18" spans="1:44" ht="15" customHeight="1">
      <c r="A18" s="527" t="s">
        <v>186</v>
      </c>
      <c r="B18" s="569">
        <v>36</v>
      </c>
      <c r="C18" s="569">
        <v>34</v>
      </c>
      <c r="D18" s="567">
        <v>0.89</v>
      </c>
      <c r="E18" s="567">
        <v>0.42</v>
      </c>
      <c r="F18" s="569">
        <v>58</v>
      </c>
      <c r="G18" s="569">
        <v>36</v>
      </c>
      <c r="H18" s="141">
        <v>0.126</v>
      </c>
      <c r="J18"/>
      <c r="K18" s="557">
        <v>3</v>
      </c>
      <c r="L18" s="557">
        <f t="shared" si="24"/>
        <v>3600</v>
      </c>
      <c r="M18" s="558">
        <f t="shared" si="14"/>
        <v>105.88235294117646</v>
      </c>
      <c r="N18" s="557">
        <f t="shared" si="15"/>
        <v>18.5</v>
      </c>
      <c r="O18" s="557">
        <f t="shared" si="23"/>
        <v>8.5</v>
      </c>
      <c r="P18" s="557">
        <f t="shared" si="1"/>
        <v>55.5</v>
      </c>
      <c r="Q18" s="557">
        <f t="shared" si="2"/>
        <v>25.5</v>
      </c>
      <c r="R18" s="555" t="s">
        <v>176</v>
      </c>
      <c r="S18" s="21">
        <f t="shared" si="3"/>
        <v>2.9872295934878395</v>
      </c>
      <c r="T18" s="475">
        <f t="shared" si="4"/>
        <v>0.68934390242029497</v>
      </c>
      <c r="U18" s="475">
        <f t="shared" si="19"/>
        <v>90.918631186223877</v>
      </c>
      <c r="V18" s="476">
        <f t="shared" si="17"/>
        <v>2.2711463465543522</v>
      </c>
      <c r="W18" s="475">
        <f t="shared" si="5"/>
        <v>92.342240730824088</v>
      </c>
      <c r="X18" s="296">
        <f t="shared" si="20"/>
        <v>1.8594934993694316</v>
      </c>
      <c r="Y18" s="296">
        <f t="shared" si="18"/>
        <v>171.70979635617454</v>
      </c>
      <c r="Z18" s="552">
        <f t="shared" si="6"/>
        <v>57.300139096320436</v>
      </c>
      <c r="AA18" s="11">
        <f t="shared" si="7"/>
        <v>0.75</v>
      </c>
      <c r="AB18" s="296">
        <f t="shared" si="8"/>
        <v>1</v>
      </c>
      <c r="AC18" s="297">
        <f t="shared" si="9"/>
        <v>0.97704999999999997</v>
      </c>
      <c r="AD18" s="297">
        <f t="shared" si="10"/>
        <v>0.28197662999999995</v>
      </c>
      <c r="AE18" s="297">
        <f t="shared" si="11"/>
        <v>4.3524873484066633E-2</v>
      </c>
      <c r="AF18" s="297">
        <f t="shared" si="12"/>
        <v>0.550834380884756</v>
      </c>
      <c r="AG18" s="553">
        <f t="shared" si="21"/>
        <v>12.655622792020353</v>
      </c>
      <c r="AH18" s="297">
        <f t="shared" si="13"/>
        <v>0.42529074422099455</v>
      </c>
      <c r="AI18" s="296">
        <f t="shared" si="22"/>
        <v>9.7712114976435913</v>
      </c>
      <c r="AL18" s="324">
        <v>1.25</v>
      </c>
      <c r="AM18" s="324">
        <v>-3</v>
      </c>
      <c r="AN18" s="324">
        <v>1.31</v>
      </c>
      <c r="AO18" s="573">
        <v>2.0499999999999998</v>
      </c>
      <c r="AP18" s="573">
        <v>2.6</v>
      </c>
      <c r="AQ18" s="324">
        <v>2.95</v>
      </c>
      <c r="AR18" s="324">
        <v>3.6</v>
      </c>
    </row>
    <row r="19" spans="1:44" ht="15" customHeight="1">
      <c r="A19" s="567">
        <v>3.2</v>
      </c>
      <c r="B19" s="569">
        <v>38</v>
      </c>
      <c r="C19" s="569">
        <v>71</v>
      </c>
      <c r="D19" s="567">
        <v>0.9</v>
      </c>
      <c r="E19" s="567">
        <v>0.43</v>
      </c>
      <c r="F19" s="569">
        <v>59</v>
      </c>
      <c r="G19" s="569">
        <v>36</v>
      </c>
      <c r="H19" s="141">
        <v>0.128</v>
      </c>
      <c r="J19"/>
      <c r="K19" s="557">
        <v>3.2</v>
      </c>
      <c r="L19" s="557">
        <f t="shared" si="24"/>
        <v>3800</v>
      </c>
      <c r="M19" s="558">
        <f t="shared" si="14"/>
        <v>53.521126760563384</v>
      </c>
      <c r="N19" s="557">
        <f t="shared" si="15"/>
        <v>18.5</v>
      </c>
      <c r="O19" s="557">
        <f t="shared" si="23"/>
        <v>8.5</v>
      </c>
      <c r="P19" s="557">
        <f t="shared" si="1"/>
        <v>59.2</v>
      </c>
      <c r="Q19" s="557">
        <f t="shared" si="2"/>
        <v>27.200000000000003</v>
      </c>
      <c r="R19" s="125">
        <f>($R$13/7.5)^(-3.3)</f>
        <v>7.9598374285110101</v>
      </c>
      <c r="S19" s="21">
        <f t="shared" si="3"/>
        <v>1.4307401293991493</v>
      </c>
      <c r="T19" s="475">
        <f t="shared" si="4"/>
        <v>0.62791301565608926</v>
      </c>
      <c r="U19" s="475">
        <f t="shared" si="19"/>
        <v>84.723918561533665</v>
      </c>
      <c r="V19" s="476">
        <f t="shared" si="17"/>
        <v>2.0663767301681197</v>
      </c>
      <c r="W19" s="475">
        <f t="shared" si="5"/>
        <v>86.064716246211489</v>
      </c>
      <c r="X19" s="296">
        <f t="shared" si="20"/>
        <v>1.3969919056420856</v>
      </c>
      <c r="Y19" s="296">
        <f t="shared" si="18"/>
        <v>120.23171195734035</v>
      </c>
      <c r="Z19" s="552">
        <f t="shared" si="6"/>
        <v>57.924943543580895</v>
      </c>
      <c r="AA19" s="11">
        <f t="shared" si="7"/>
        <v>0.75</v>
      </c>
      <c r="AB19" s="296">
        <f t="shared" si="8"/>
        <v>1</v>
      </c>
      <c r="AC19" s="297">
        <f t="shared" si="9"/>
        <v>0.97551999999999994</v>
      </c>
      <c r="AD19" s="297">
        <f t="shared" si="10"/>
        <v>0.28153507199999994</v>
      </c>
      <c r="AE19" s="297">
        <f t="shared" si="11"/>
        <v>4.3456716218388702E-2</v>
      </c>
      <c r="AF19" s="297">
        <f t="shared" si="12"/>
        <v>0.2416367246724328</v>
      </c>
      <c r="AG19" s="553">
        <f t="shared" si="21"/>
        <v>5.5603999956670505</v>
      </c>
      <c r="AH19" s="297">
        <f t="shared" si="13"/>
        <v>0.18006314779192392</v>
      </c>
      <c r="AI19" s="296">
        <f t="shared" si="22"/>
        <v>4.1435056180275822</v>
      </c>
      <c r="AL19" s="324">
        <v>1.25</v>
      </c>
      <c r="AM19" s="324">
        <v>-3.2</v>
      </c>
      <c r="AN19" s="324">
        <v>1.31</v>
      </c>
      <c r="AO19" s="573">
        <v>2.0499999999999998</v>
      </c>
      <c r="AP19" s="573">
        <v>2.6</v>
      </c>
      <c r="AQ19" s="324">
        <v>2.95</v>
      </c>
      <c r="AR19" s="324">
        <v>3.6</v>
      </c>
    </row>
    <row r="20" spans="1:44" ht="15" customHeight="1">
      <c r="A20" s="567">
        <v>3.4</v>
      </c>
      <c r="B20" s="569">
        <v>52</v>
      </c>
      <c r="C20" s="569">
        <v>32</v>
      </c>
      <c r="D20" s="567">
        <v>0.92</v>
      </c>
      <c r="E20" s="567">
        <v>0.45</v>
      </c>
      <c r="F20" s="569">
        <v>69</v>
      </c>
      <c r="G20" s="569">
        <v>38</v>
      </c>
      <c r="H20" s="141">
        <v>0.156</v>
      </c>
      <c r="J20"/>
      <c r="K20" s="557">
        <v>3.4</v>
      </c>
      <c r="L20" s="557">
        <f t="shared" si="24"/>
        <v>5200</v>
      </c>
      <c r="M20" s="558">
        <f t="shared" si="14"/>
        <v>162.5</v>
      </c>
      <c r="N20" s="557">
        <f t="shared" si="15"/>
        <v>18.5</v>
      </c>
      <c r="O20" s="557">
        <f t="shared" si="23"/>
        <v>8.5</v>
      </c>
      <c r="P20" s="557">
        <f t="shared" si="1"/>
        <v>62.9</v>
      </c>
      <c r="Q20" s="557">
        <f t="shared" si="2"/>
        <v>28.9</v>
      </c>
      <c r="R20" s="554" t="s">
        <v>612</v>
      </c>
      <c r="S20" s="21">
        <f t="shared" si="3"/>
        <v>3.1632633197718558</v>
      </c>
      <c r="T20" s="475">
        <f t="shared" si="4"/>
        <v>0.67271575697749431</v>
      </c>
      <c r="U20" s="475">
        <f t="shared" si="19"/>
        <v>118.40786096946853</v>
      </c>
      <c r="V20" s="476">
        <f t="shared" si="17"/>
        <v>2.2157191913017913</v>
      </c>
      <c r="W20" s="475">
        <f t="shared" si="5"/>
        <v>119.85767788075691</v>
      </c>
      <c r="X20" s="296">
        <f t="shared" si="20"/>
        <v>1.7061491198372032</v>
      </c>
      <c r="Y20" s="296">
        <f t="shared" si="18"/>
        <v>204.49507162198441</v>
      </c>
      <c r="Z20" s="552">
        <f t="shared" si="6"/>
        <v>66.046591868930676</v>
      </c>
      <c r="AA20" s="11">
        <f t="shared" si="7"/>
        <v>0.75</v>
      </c>
      <c r="AB20" s="296">
        <f t="shared" si="8"/>
        <v>1</v>
      </c>
      <c r="AC20" s="297">
        <f t="shared" si="9"/>
        <v>0.97399000000000002</v>
      </c>
      <c r="AD20" s="297">
        <f t="shared" si="10"/>
        <v>0.28109351400000004</v>
      </c>
      <c r="AE20" s="297">
        <f t="shared" si="11"/>
        <v>4.3388558952710786E-2</v>
      </c>
      <c r="AF20" s="297">
        <f t="shared" si="12"/>
        <v>0.87530092243660762</v>
      </c>
      <c r="AG20" s="553">
        <f t="shared" si="21"/>
        <v>20.1735421402356</v>
      </c>
      <c r="AH20" s="297">
        <f t="shared" si="13"/>
        <v>1.4135580534290351</v>
      </c>
      <c r="AI20" s="296">
        <f t="shared" si="22"/>
        <v>32.579050504297058</v>
      </c>
      <c r="AL20" s="324">
        <v>1.25</v>
      </c>
      <c r="AM20" s="324">
        <v>-3.4</v>
      </c>
      <c r="AN20" s="324">
        <v>1.31</v>
      </c>
      <c r="AO20" s="573">
        <v>2.0499999999999998</v>
      </c>
      <c r="AP20" s="573">
        <v>2.6</v>
      </c>
      <c r="AQ20" s="324">
        <v>2.95</v>
      </c>
      <c r="AR20" s="324">
        <v>3.6</v>
      </c>
    </row>
    <row r="21" spans="1:44" ht="15" customHeight="1">
      <c r="A21" s="567">
        <v>3.6</v>
      </c>
      <c r="B21" s="569">
        <v>36</v>
      </c>
      <c r="C21" s="569">
        <v>39</v>
      </c>
      <c r="D21" s="567">
        <v>0.89</v>
      </c>
      <c r="E21" s="567">
        <v>0.47</v>
      </c>
      <c r="F21" s="569">
        <v>55</v>
      </c>
      <c r="G21" s="569">
        <v>36</v>
      </c>
      <c r="H21" s="141">
        <v>0.11799999999999999</v>
      </c>
      <c r="J21"/>
      <c r="K21" s="557">
        <v>3.6</v>
      </c>
      <c r="L21" s="557">
        <f t="shared" si="24"/>
        <v>3600</v>
      </c>
      <c r="M21" s="558">
        <f t="shared" si="14"/>
        <v>92.307692307692307</v>
      </c>
      <c r="N21" s="557">
        <f t="shared" si="15"/>
        <v>18.5</v>
      </c>
      <c r="O21" s="557">
        <f t="shared" si="23"/>
        <v>8.5</v>
      </c>
      <c r="P21" s="557">
        <f t="shared" si="1"/>
        <v>66.600000000000009</v>
      </c>
      <c r="Q21" s="557">
        <f t="shared" si="2"/>
        <v>30.6</v>
      </c>
      <c r="R21" s="555" t="s">
        <v>176</v>
      </c>
      <c r="S21" s="21">
        <f t="shared" si="3"/>
        <v>2.6124325665843751</v>
      </c>
      <c r="T21" s="475">
        <f t="shared" si="4"/>
        <v>0.68804252534598886</v>
      </c>
      <c r="U21" s="475">
        <f t="shared" si="19"/>
        <v>79.806512566393764</v>
      </c>
      <c r="V21" s="476">
        <f t="shared" si="17"/>
        <v>2.266808419833235</v>
      </c>
      <c r="W21" s="475">
        <f t="shared" si="5"/>
        <v>81.310761657049156</v>
      </c>
      <c r="X21" s="296">
        <f t="shared" si="20"/>
        <v>1.8466484167854524</v>
      </c>
      <c r="Y21" s="296">
        <f t="shared" si="18"/>
        <v>150.15238928160909</v>
      </c>
      <c r="Z21" s="552">
        <f t="shared" si="6"/>
        <v>54.687157976748836</v>
      </c>
      <c r="AA21" s="11">
        <f t="shared" si="7"/>
        <v>0.75</v>
      </c>
      <c r="AB21" s="296">
        <f t="shared" si="8"/>
        <v>1</v>
      </c>
      <c r="AC21" s="297">
        <f t="shared" si="9"/>
        <v>0.97245999999999999</v>
      </c>
      <c r="AD21" s="297">
        <f t="shared" si="10"/>
        <v>0.28065195599999998</v>
      </c>
      <c r="AE21" s="297">
        <f t="shared" si="11"/>
        <v>4.3320401687032849E-2</v>
      </c>
      <c r="AF21" s="297">
        <f t="shared" si="12"/>
        <v>0.39483259590575331</v>
      </c>
      <c r="AG21" s="553">
        <f t="shared" si="21"/>
        <v>9.1142413396397259</v>
      </c>
      <c r="AH21" s="297">
        <f t="shared" si="13"/>
        <v>0.27204151678604671</v>
      </c>
      <c r="AI21" s="296">
        <f t="shared" si="22"/>
        <v>6.2797551775120599</v>
      </c>
      <c r="AL21" s="324">
        <v>1.25</v>
      </c>
      <c r="AM21" s="324">
        <v>-3.6</v>
      </c>
      <c r="AN21" s="324">
        <v>1.31</v>
      </c>
      <c r="AO21" s="573">
        <v>2.0499999999999998</v>
      </c>
      <c r="AP21" s="573">
        <v>2.6</v>
      </c>
      <c r="AQ21" s="324">
        <v>2.95</v>
      </c>
      <c r="AR21" s="324">
        <v>3.6</v>
      </c>
    </row>
    <row r="22" spans="1:44" ht="15" customHeight="1">
      <c r="A22" s="567">
        <v>3.8</v>
      </c>
      <c r="B22" s="569">
        <v>32</v>
      </c>
      <c r="C22" s="569">
        <v>37</v>
      </c>
      <c r="D22" s="567">
        <v>0.88</v>
      </c>
      <c r="E22" s="567">
        <v>0.49</v>
      </c>
      <c r="F22" s="569">
        <v>50</v>
      </c>
      <c r="G22" s="569">
        <v>35</v>
      </c>
      <c r="H22" s="141">
        <v>0.105</v>
      </c>
      <c r="J22"/>
      <c r="K22" s="557">
        <v>3.8</v>
      </c>
      <c r="L22" s="557">
        <f t="shared" si="24"/>
        <v>3200</v>
      </c>
      <c r="M22" s="558">
        <f t="shared" si="14"/>
        <v>86.486486486486484</v>
      </c>
      <c r="N22" s="557">
        <f t="shared" si="15"/>
        <v>18.5</v>
      </c>
      <c r="O22" s="557">
        <f t="shared" si="23"/>
        <v>8.5</v>
      </c>
      <c r="P22" s="557">
        <f t="shared" si="1"/>
        <v>70.3</v>
      </c>
      <c r="Q22" s="557">
        <f t="shared" si="2"/>
        <v>32.299999999999997</v>
      </c>
      <c r="R22" s="297">
        <f>(R16+R19)/2</f>
        <v>6.478516935913083</v>
      </c>
      <c r="S22" s="21">
        <f t="shared" si="3"/>
        <v>2.7634113968267404</v>
      </c>
      <c r="T22" s="475">
        <f t="shared" si="4"/>
        <v>0.70584736847016583</v>
      </c>
      <c r="U22" s="475">
        <f t="shared" si="19"/>
        <v>69.491361072550575</v>
      </c>
      <c r="V22" s="476">
        <f t="shared" si="17"/>
        <v>2.3261578962875196</v>
      </c>
      <c r="W22" s="475">
        <f t="shared" si="5"/>
        <v>71.052291092488687</v>
      </c>
      <c r="X22" s="296">
        <f t="shared" si="20"/>
        <v>2.0355126248531086</v>
      </c>
      <c r="Y22" s="296">
        <f t="shared" si="18"/>
        <v>144.6278355434988</v>
      </c>
      <c r="Z22" s="552">
        <f t="shared" si="6"/>
        <v>50.536215332187425</v>
      </c>
      <c r="AA22" s="11">
        <f t="shared" si="7"/>
        <v>0.75</v>
      </c>
      <c r="AB22" s="296">
        <f t="shared" si="8"/>
        <v>1</v>
      </c>
      <c r="AC22" s="297">
        <f t="shared" si="9"/>
        <v>0.97092999999999996</v>
      </c>
      <c r="AD22" s="297">
        <f t="shared" si="10"/>
        <v>0.28021039799999997</v>
      </c>
      <c r="AE22" s="297">
        <f t="shared" si="11"/>
        <v>4.3252244421354911E-2</v>
      </c>
      <c r="AF22" s="297">
        <f t="shared" si="12"/>
        <v>0.36134461608410168</v>
      </c>
      <c r="AG22" s="553">
        <f t="shared" si="21"/>
        <v>8.3543552691498046</v>
      </c>
      <c r="AH22" s="297">
        <f t="shared" si="13"/>
        <v>0.24892607708796058</v>
      </c>
      <c r="AI22" s="296">
        <f t="shared" si="22"/>
        <v>5.7552175712078979</v>
      </c>
      <c r="AL22" s="324">
        <v>1.25</v>
      </c>
      <c r="AM22" s="324">
        <v>-3.8</v>
      </c>
      <c r="AN22" s="324">
        <v>1.31</v>
      </c>
      <c r="AO22" s="573">
        <v>2.0499999999999998</v>
      </c>
      <c r="AP22" s="573">
        <v>2.6</v>
      </c>
      <c r="AQ22" s="324">
        <v>2.95</v>
      </c>
      <c r="AR22" s="324">
        <v>3.6</v>
      </c>
    </row>
    <row r="23" spans="1:44" ht="15" customHeight="1">
      <c r="A23" s="527" t="s">
        <v>188</v>
      </c>
      <c r="B23" s="569">
        <v>37</v>
      </c>
      <c r="C23" s="569">
        <v>40</v>
      </c>
      <c r="D23" s="567">
        <v>0.89</v>
      </c>
      <c r="E23" s="567">
        <v>0.51</v>
      </c>
      <c r="F23" s="569">
        <v>54</v>
      </c>
      <c r="G23" s="569">
        <v>36</v>
      </c>
      <c r="H23" s="141">
        <v>0.115</v>
      </c>
      <c r="J23"/>
      <c r="K23" s="557">
        <v>4</v>
      </c>
      <c r="L23" s="557">
        <f t="shared" si="24"/>
        <v>3700</v>
      </c>
      <c r="M23" s="558">
        <f t="shared" si="14"/>
        <v>92.5</v>
      </c>
      <c r="N23" s="557">
        <f t="shared" si="15"/>
        <v>18.5</v>
      </c>
      <c r="O23" s="557">
        <f t="shared" si="23"/>
        <v>8.5</v>
      </c>
      <c r="P23" s="557">
        <f t="shared" si="1"/>
        <v>74</v>
      </c>
      <c r="Q23" s="557">
        <f t="shared" si="2"/>
        <v>34</v>
      </c>
      <c r="R23" s="554" t="s">
        <v>612</v>
      </c>
      <c r="S23" s="21">
        <f t="shared" si="3"/>
        <v>2.5510204081632653</v>
      </c>
      <c r="T23" s="475">
        <f t="shared" si="4"/>
        <v>0.68985889013601454</v>
      </c>
      <c r="U23" s="475">
        <f t="shared" si="19"/>
        <v>76.320504770603776</v>
      </c>
      <c r="V23" s="476">
        <f t="shared" si="17"/>
        <v>2.2728629680592807</v>
      </c>
      <c r="W23" s="475">
        <f t="shared" si="5"/>
        <v>77.878066092452841</v>
      </c>
      <c r="X23" s="296">
        <f t="shared" si="20"/>
        <v>1.8646173322608952</v>
      </c>
      <c r="Y23" s="296">
        <f t="shared" si="18"/>
        <v>145.21279183894708</v>
      </c>
      <c r="Z23" s="552">
        <f t="shared" si="6"/>
        <v>53.962509526027247</v>
      </c>
      <c r="AA23" s="11">
        <f t="shared" si="7"/>
        <v>0.75</v>
      </c>
      <c r="AB23" s="296">
        <f t="shared" si="8"/>
        <v>1</v>
      </c>
      <c r="AC23" s="297">
        <f t="shared" si="9"/>
        <v>0.96940000000000004</v>
      </c>
      <c r="AD23" s="297">
        <f t="shared" si="10"/>
        <v>0.27976884000000002</v>
      </c>
      <c r="AE23" s="297">
        <f t="shared" si="11"/>
        <v>4.3184087155676988E-2</v>
      </c>
      <c r="AF23" s="297">
        <f t="shared" si="12"/>
        <v>0.36477218932078559</v>
      </c>
      <c r="AG23" s="553">
        <f t="shared" si="21"/>
        <v>8.4469121231113622</v>
      </c>
      <c r="AH23" s="297">
        <f t="shared" si="13"/>
        <v>0.25118494822635068</v>
      </c>
      <c r="AI23" s="296">
        <f t="shared" si="22"/>
        <v>5.816608958777767</v>
      </c>
      <c r="AL23" s="324">
        <v>1.25</v>
      </c>
      <c r="AM23" s="324">
        <v>-4</v>
      </c>
      <c r="AN23" s="324">
        <v>1.31</v>
      </c>
      <c r="AO23" s="573">
        <v>2.0499999999999998</v>
      </c>
      <c r="AP23" s="573">
        <v>2.6</v>
      </c>
      <c r="AQ23" s="324">
        <v>2.95</v>
      </c>
      <c r="AR23" s="324">
        <v>3.6</v>
      </c>
    </row>
    <row r="24" spans="1:44" ht="15" customHeight="1">
      <c r="A24" s="567">
        <v>4.2</v>
      </c>
      <c r="B24" s="569">
        <v>22</v>
      </c>
      <c r="C24" s="569">
        <v>33</v>
      </c>
      <c r="D24" s="567">
        <v>0.86</v>
      </c>
      <c r="E24" s="567">
        <v>0.52</v>
      </c>
      <c r="F24" s="569">
        <v>36</v>
      </c>
      <c r="G24" s="569">
        <v>33</v>
      </c>
      <c r="H24" s="141">
        <v>7.0000000000000007E-2</v>
      </c>
      <c r="J24"/>
      <c r="K24" s="557">
        <v>4.2</v>
      </c>
      <c r="L24" s="557">
        <f t="shared" si="24"/>
        <v>2200</v>
      </c>
      <c r="M24" s="558">
        <f t="shared" si="14"/>
        <v>66.666666666666671</v>
      </c>
      <c r="N24" s="557">
        <f t="shared" si="15"/>
        <v>18.5</v>
      </c>
      <c r="O24" s="557">
        <f t="shared" si="23"/>
        <v>8.5</v>
      </c>
      <c r="P24" s="557">
        <f t="shared" si="1"/>
        <v>77.7</v>
      </c>
      <c r="Q24" s="557">
        <f t="shared" si="2"/>
        <v>35.700000000000003</v>
      </c>
      <c r="R24" s="555" t="s">
        <v>176</v>
      </c>
      <c r="S24" s="21">
        <f t="shared" si="3"/>
        <v>3.1412461323406999</v>
      </c>
      <c r="T24" s="475">
        <f t="shared" si="4"/>
        <v>0.75543999662129913</v>
      </c>
      <c r="U24" s="475">
        <f t="shared" si="19"/>
        <v>46.210332706629274</v>
      </c>
      <c r="V24" s="476">
        <f t="shared" si="17"/>
        <v>2.4914666560900218</v>
      </c>
      <c r="W24" s="475">
        <f t="shared" si="5"/>
        <v>47.902149533329116</v>
      </c>
      <c r="X24" s="296">
        <f t="shared" si="20"/>
        <v>2.7256622778135089</v>
      </c>
      <c r="Y24" s="296">
        <f t="shared" si="18"/>
        <v>130.56508200917716</v>
      </c>
      <c r="Z24" s="552">
        <f t="shared" si="6"/>
        <v>38.361845802563238</v>
      </c>
      <c r="AA24" s="11">
        <f t="shared" si="7"/>
        <v>1</v>
      </c>
      <c r="AB24" s="296">
        <f t="shared" si="8"/>
        <v>1</v>
      </c>
      <c r="AC24" s="297">
        <f t="shared" si="9"/>
        <v>0.96787000000000001</v>
      </c>
      <c r="AD24" s="297">
        <f t="shared" si="10"/>
        <v>0.27932728199999995</v>
      </c>
      <c r="AE24" s="297">
        <f t="shared" si="11"/>
        <v>4.3115929889999051E-2</v>
      </c>
      <c r="AF24" s="297">
        <f t="shared" si="12"/>
        <v>0.2869970166146022</v>
      </c>
      <c r="AG24" s="553">
        <f t="shared" si="21"/>
        <v>6.6564032678133787</v>
      </c>
      <c r="AH24" s="297">
        <f t="shared" si="13"/>
        <v>0.20449031529749104</v>
      </c>
      <c r="AI24" s="296">
        <f t="shared" si="22"/>
        <v>4.7428019253951792</v>
      </c>
      <c r="AL24" s="324">
        <v>1.25</v>
      </c>
      <c r="AM24" s="324">
        <v>-4.2</v>
      </c>
      <c r="AN24" s="324">
        <v>1.31</v>
      </c>
      <c r="AO24" s="573">
        <v>2.0499999999999998</v>
      </c>
      <c r="AP24" s="573">
        <v>2.6</v>
      </c>
      <c r="AQ24" s="324">
        <v>2.95</v>
      </c>
      <c r="AR24" s="324">
        <v>3.6</v>
      </c>
    </row>
    <row r="25" spans="1:44" ht="15" customHeight="1">
      <c r="A25" s="567">
        <v>4.4000000000000004</v>
      </c>
      <c r="B25" s="569">
        <v>26</v>
      </c>
      <c r="C25" s="569">
        <v>43</v>
      </c>
      <c r="D25" s="567">
        <v>0.87</v>
      </c>
      <c r="E25" s="567">
        <v>0.54</v>
      </c>
      <c r="F25" s="569">
        <v>41</v>
      </c>
      <c r="G25" s="569">
        <v>34</v>
      </c>
      <c r="H25" s="141">
        <v>8.1000000000000003E-2</v>
      </c>
      <c r="J25"/>
      <c r="K25" s="557">
        <v>4.4000000000000004</v>
      </c>
      <c r="L25" s="557">
        <f t="shared" si="24"/>
        <v>2600</v>
      </c>
      <c r="M25" s="558">
        <f t="shared" si="14"/>
        <v>60.465116279069768</v>
      </c>
      <c r="N25" s="557">
        <f t="shared" si="15"/>
        <v>18.5</v>
      </c>
      <c r="O25" s="557">
        <f t="shared" si="23"/>
        <v>8.5</v>
      </c>
      <c r="P25" s="557">
        <f t="shared" si="1"/>
        <v>81.400000000000006</v>
      </c>
      <c r="Q25" s="557">
        <f t="shared" si="2"/>
        <v>37.400000000000006</v>
      </c>
      <c r="R25" s="297">
        <f>6.9*EXP(-R13/4)-0.058</f>
        <v>2.4803681440829526</v>
      </c>
      <c r="S25" s="21">
        <f t="shared" si="3"/>
        <v>2.4007431223326359</v>
      </c>
      <c r="T25" s="475">
        <f t="shared" si="4"/>
        <v>0.7217642191697452</v>
      </c>
      <c r="U25" s="475">
        <f t="shared" si="19"/>
        <v>51.22066274907538</v>
      </c>
      <c r="V25" s="476">
        <f t="shared" si="17"/>
        <v>2.3792140645190463</v>
      </c>
      <c r="W25" s="475">
        <f t="shared" si="5"/>
        <v>52.876091140949725</v>
      </c>
      <c r="X25" s="296">
        <f t="shared" si="20"/>
        <v>2.2295186768542372</v>
      </c>
      <c r="Y25" s="296">
        <f t="shared" si="18"/>
        <v>117.88823275779428</v>
      </c>
      <c r="Z25" s="552">
        <f t="shared" si="6"/>
        <v>42.483478093458132</v>
      </c>
      <c r="AA25" s="11">
        <f t="shared" si="7"/>
        <v>0.75</v>
      </c>
      <c r="AB25" s="296">
        <f t="shared" si="8"/>
        <v>1</v>
      </c>
      <c r="AC25" s="297">
        <f t="shared" si="9"/>
        <v>0.96633999999999998</v>
      </c>
      <c r="AD25" s="297">
        <f t="shared" si="10"/>
        <v>0.278885724</v>
      </c>
      <c r="AE25" s="297">
        <f t="shared" si="11"/>
        <v>4.3047772624321128E-2</v>
      </c>
      <c r="AF25" s="297">
        <f t="shared" si="12"/>
        <v>0.23236819419357552</v>
      </c>
      <c r="AG25" s="553">
        <f t="shared" si="21"/>
        <v>5.3979144570720985</v>
      </c>
      <c r="AH25" s="297">
        <f t="shared" si="13"/>
        <v>0.17514782610077556</v>
      </c>
      <c r="AI25" s="296">
        <f t="shared" si="22"/>
        <v>4.0686849846865378</v>
      </c>
      <c r="AL25" s="324">
        <v>1.25</v>
      </c>
      <c r="AM25" s="324">
        <v>-4.4000000000000004</v>
      </c>
      <c r="AN25" s="324">
        <v>1.31</v>
      </c>
      <c r="AO25" s="573">
        <v>2.0499999999999998</v>
      </c>
      <c r="AP25" s="573">
        <v>2.6</v>
      </c>
      <c r="AQ25" s="324">
        <v>2.95</v>
      </c>
      <c r="AR25" s="324">
        <v>3.6</v>
      </c>
    </row>
    <row r="26" spans="1:44" ht="15" customHeight="1">
      <c r="A26" s="567">
        <v>4.5999999999999996</v>
      </c>
      <c r="B26" s="569">
        <v>27</v>
      </c>
      <c r="C26" s="569">
        <v>45</v>
      </c>
      <c r="D26" s="567">
        <v>0.87</v>
      </c>
      <c r="E26" s="567">
        <v>0.56000000000000005</v>
      </c>
      <c r="F26" s="569">
        <v>41</v>
      </c>
      <c r="G26" s="569">
        <v>34</v>
      </c>
      <c r="H26" s="141">
        <v>8.3000000000000004E-2</v>
      </c>
      <c r="J26"/>
      <c r="K26" s="557">
        <v>4.5999999999999996</v>
      </c>
      <c r="L26" s="557">
        <f t="shared" si="24"/>
        <v>2700</v>
      </c>
      <c r="M26" s="558">
        <f t="shared" si="14"/>
        <v>60</v>
      </c>
      <c r="N26" s="557">
        <f t="shared" si="15"/>
        <v>18.5</v>
      </c>
      <c r="O26" s="557">
        <f t="shared" si="23"/>
        <v>8.5</v>
      </c>
      <c r="P26" s="557">
        <f t="shared" si="1"/>
        <v>85.1</v>
      </c>
      <c r="Q26" s="557">
        <f t="shared" si="2"/>
        <v>39.099999999999994</v>
      </c>
      <c r="R26" s="573"/>
      <c r="S26" s="21">
        <f t="shared" si="3"/>
        <v>2.2945428123446403</v>
      </c>
      <c r="T26" s="475">
        <f t="shared" si="4"/>
        <v>0.71765898084034108</v>
      </c>
      <c r="U26" s="475">
        <f t="shared" si="19"/>
        <v>51.301858410064696</v>
      </c>
      <c r="V26" s="476">
        <f t="shared" si="17"/>
        <v>2.3655299365686564</v>
      </c>
      <c r="W26" s="475">
        <f t="shared" si="5"/>
        <v>52.971439713631376</v>
      </c>
      <c r="X26" s="296">
        <f t="shared" si="20"/>
        <v>2.1771106383964103</v>
      </c>
      <c r="Y26" s="296">
        <f t="shared" si="18"/>
        <v>115.32468493172097</v>
      </c>
      <c r="Z26" s="552">
        <f t="shared" si="6"/>
        <v>42.928175440429555</v>
      </c>
      <c r="AA26" s="11">
        <f t="shared" si="7"/>
        <v>0.75</v>
      </c>
      <c r="AB26" s="296">
        <f t="shared" si="8"/>
        <v>1</v>
      </c>
      <c r="AC26" s="297">
        <f t="shared" si="9"/>
        <v>0.96480999999999995</v>
      </c>
      <c r="AD26" s="297">
        <f t="shared" si="10"/>
        <v>0.27844416600000005</v>
      </c>
      <c r="AE26" s="297">
        <f t="shared" si="11"/>
        <v>4.2979615358643204E-2</v>
      </c>
      <c r="AF26" s="297">
        <f t="shared" si="12"/>
        <v>0.22264277493766277</v>
      </c>
      <c r="AG26" s="553">
        <f t="shared" si="21"/>
        <v>5.1801946825214964</v>
      </c>
      <c r="AH26" s="297">
        <f t="shared" si="13"/>
        <v>0.16997914146239404</v>
      </c>
      <c r="AI26" s="296">
        <f t="shared" si="22"/>
        <v>3.9548781449997601</v>
      </c>
      <c r="AL26" s="324">
        <v>1.25</v>
      </c>
      <c r="AM26" s="324">
        <v>-4.5999999999999996</v>
      </c>
      <c r="AN26" s="324">
        <v>1.31</v>
      </c>
      <c r="AO26" s="573">
        <v>2.0499999999999998</v>
      </c>
      <c r="AP26" s="573">
        <v>2.6</v>
      </c>
      <c r="AQ26" s="324">
        <v>2.95</v>
      </c>
      <c r="AR26" s="324">
        <v>3.6</v>
      </c>
    </row>
    <row r="27" spans="1:44" ht="15" customHeight="1">
      <c r="A27" s="567">
        <v>4.8</v>
      </c>
      <c r="B27" s="569">
        <v>28</v>
      </c>
      <c r="C27" s="569">
        <v>42</v>
      </c>
      <c r="D27" s="567">
        <v>0.87</v>
      </c>
      <c r="E27" s="567">
        <v>0.57999999999999996</v>
      </c>
      <c r="F27" s="569">
        <v>42</v>
      </c>
      <c r="G27" s="569">
        <v>34</v>
      </c>
      <c r="H27" s="141">
        <v>8.4000000000000005E-2</v>
      </c>
      <c r="J27"/>
      <c r="K27" s="557">
        <v>4.8</v>
      </c>
      <c r="L27" s="557">
        <f t="shared" si="24"/>
        <v>2800</v>
      </c>
      <c r="M27" s="558">
        <f t="shared" si="14"/>
        <v>66.666666666666671</v>
      </c>
      <c r="N27" s="557">
        <f t="shared" si="15"/>
        <v>18.5</v>
      </c>
      <c r="O27" s="557">
        <f t="shared" si="23"/>
        <v>8.5</v>
      </c>
      <c r="P27" s="557">
        <f t="shared" si="1"/>
        <v>88.8</v>
      </c>
      <c r="Q27" s="557">
        <f t="shared" si="2"/>
        <v>40.799999999999997</v>
      </c>
      <c r="R27" s="573"/>
      <c r="S27" s="21">
        <f t="shared" si="3"/>
        <v>2.45893577259762</v>
      </c>
      <c r="T27" s="475">
        <f t="shared" si="4"/>
        <v>0.72273728356081612</v>
      </c>
      <c r="U27" s="475">
        <f t="shared" si="19"/>
        <v>51.826510898542793</v>
      </c>
      <c r="V27" s="476">
        <f t="shared" si="17"/>
        <v>2.3824576121258687</v>
      </c>
      <c r="W27" s="475">
        <f t="shared" si="5"/>
        <v>53.52398587928586</v>
      </c>
      <c r="X27" s="296">
        <f t="shared" si="20"/>
        <v>2.2421879932613287</v>
      </c>
      <c r="Y27" s="296">
        <f t="shared" si="18"/>
        <v>120.01083849002366</v>
      </c>
      <c r="Z27" s="552">
        <f t="shared" si="6"/>
        <v>43.360644686620418</v>
      </c>
      <c r="AA27" s="11">
        <f t="shared" si="7"/>
        <v>0.75</v>
      </c>
      <c r="AB27" s="296">
        <f t="shared" si="8"/>
        <v>1</v>
      </c>
      <c r="AC27" s="297">
        <f t="shared" si="9"/>
        <v>0.96328000000000003</v>
      </c>
      <c r="AD27" s="297">
        <f t="shared" si="10"/>
        <v>0.27800260800000004</v>
      </c>
      <c r="AE27" s="297">
        <f t="shared" si="11"/>
        <v>4.2911458092965274E-2</v>
      </c>
      <c r="AF27" s="297">
        <f t="shared" si="12"/>
        <v>0.24074754865062903</v>
      </c>
      <c r="AG27" s="553">
        <f t="shared" si="21"/>
        <v>5.6103325160627948</v>
      </c>
      <c r="AH27" s="297">
        <f t="shared" si="13"/>
        <v>0.17959156006384572</v>
      </c>
      <c r="AI27" s="296">
        <f t="shared" si="22"/>
        <v>4.1851656421175587</v>
      </c>
      <c r="AL27" s="324">
        <v>1.25</v>
      </c>
      <c r="AM27" s="324">
        <v>-4.8</v>
      </c>
      <c r="AN27" s="324">
        <v>1.31</v>
      </c>
      <c r="AO27" s="573">
        <v>2.0499999999999998</v>
      </c>
      <c r="AP27" s="573">
        <v>2.6</v>
      </c>
      <c r="AQ27" s="324">
        <v>2.95</v>
      </c>
      <c r="AR27" s="324">
        <v>3.6</v>
      </c>
    </row>
    <row r="28" spans="1:44" ht="15" customHeight="1">
      <c r="A28" s="527" t="s">
        <v>190</v>
      </c>
      <c r="B28" s="569">
        <v>26</v>
      </c>
      <c r="C28" s="569">
        <v>24</v>
      </c>
      <c r="D28" s="567">
        <v>0.95</v>
      </c>
      <c r="E28" s="567">
        <v>0.59</v>
      </c>
      <c r="F28" s="569">
        <v>38</v>
      </c>
      <c r="G28" s="569">
        <v>33</v>
      </c>
      <c r="H28" s="141">
        <v>7.5999999999999998E-2</v>
      </c>
      <c r="J28"/>
      <c r="K28" s="557">
        <v>5</v>
      </c>
      <c r="L28" s="557">
        <f t="shared" si="24"/>
        <v>2600</v>
      </c>
      <c r="M28" s="558">
        <f t="shared" si="14"/>
        <v>108.33333333333333</v>
      </c>
      <c r="N28" s="557">
        <f t="shared" si="15"/>
        <v>18.5</v>
      </c>
      <c r="O28" s="557">
        <f t="shared" si="23"/>
        <v>8.5</v>
      </c>
      <c r="P28" s="557">
        <f t="shared" si="1"/>
        <v>92.5</v>
      </c>
      <c r="Q28" s="557">
        <f t="shared" si="2"/>
        <v>42.5</v>
      </c>
      <c r="R28" s="573"/>
      <c r="S28" s="21">
        <f t="shared" si="3"/>
        <v>4.3203722166832836</v>
      </c>
      <c r="T28" s="475">
        <f t="shared" si="4"/>
        <v>0.77959554416348176</v>
      </c>
      <c r="U28" s="475">
        <f t="shared" si="19"/>
        <v>48.859303980142002</v>
      </c>
      <c r="V28" s="476">
        <f t="shared" si="17"/>
        <v>2.5719851472878101</v>
      </c>
      <c r="W28" s="475">
        <f t="shared" si="5"/>
        <v>50.661691066149238</v>
      </c>
      <c r="X28" s="296">
        <f t="shared" si="20"/>
        <v>3.15948535041586</v>
      </c>
      <c r="Y28" s="296">
        <f t="shared" si="18"/>
        <v>160.06487075079258</v>
      </c>
      <c r="Z28" s="552">
        <f t="shared" si="6"/>
        <v>40.651406274413716</v>
      </c>
      <c r="AA28" s="11">
        <f t="shared" si="7"/>
        <v>0.75</v>
      </c>
      <c r="AB28" s="296">
        <f t="shared" si="8"/>
        <v>1</v>
      </c>
      <c r="AC28" s="297">
        <f t="shared" si="9"/>
        <v>0.96174999999999999</v>
      </c>
      <c r="AD28" s="297">
        <f t="shared" si="10"/>
        <v>0.27756104999999998</v>
      </c>
      <c r="AE28" s="297">
        <f t="shared" si="11"/>
        <v>4.284330082728733E-2</v>
      </c>
      <c r="AF28" s="297">
        <f t="shared" si="12"/>
        <v>0.4613915207305358</v>
      </c>
      <c r="AG28" s="553">
        <f t="shared" si="21"/>
        <v>10.769280420071436</v>
      </c>
      <c r="AH28" s="297">
        <f t="shared" si="13"/>
        <v>0.3265051011757481</v>
      </c>
      <c r="AI28" s="296">
        <f t="shared" si="22"/>
        <v>7.6209137688054538</v>
      </c>
      <c r="AL28" s="324">
        <v>1.25</v>
      </c>
      <c r="AM28" s="324">
        <v>-5</v>
      </c>
      <c r="AN28" s="324">
        <v>1.31</v>
      </c>
      <c r="AO28" s="573">
        <v>2.0499999999999998</v>
      </c>
      <c r="AP28" s="573">
        <v>2.6</v>
      </c>
      <c r="AQ28" s="324">
        <v>2.95</v>
      </c>
      <c r="AR28" s="324">
        <v>3.6</v>
      </c>
    </row>
    <row r="29" spans="1:44" ht="15" customHeight="1">
      <c r="A29" s="567">
        <v>5.2</v>
      </c>
      <c r="B29" s="569">
        <v>38</v>
      </c>
      <c r="C29" s="569">
        <v>57</v>
      </c>
      <c r="D29" s="567">
        <v>0.9</v>
      </c>
      <c r="E29" s="567">
        <v>0.61</v>
      </c>
      <c r="F29" s="569">
        <v>51</v>
      </c>
      <c r="G29" s="569">
        <v>35</v>
      </c>
      <c r="H29" s="141">
        <v>0.106</v>
      </c>
      <c r="J29"/>
      <c r="K29" s="557">
        <v>5.2</v>
      </c>
      <c r="L29" s="557">
        <f t="shared" si="24"/>
        <v>3800</v>
      </c>
      <c r="M29" s="558">
        <f t="shared" si="14"/>
        <v>66.666666666666671</v>
      </c>
      <c r="N29" s="557">
        <f t="shared" si="15"/>
        <v>18.5</v>
      </c>
      <c r="O29" s="557">
        <f t="shared" si="23"/>
        <v>8.5</v>
      </c>
      <c r="P29" s="557">
        <f t="shared" si="1"/>
        <v>96.2</v>
      </c>
      <c r="Q29" s="557">
        <f t="shared" si="2"/>
        <v>44.2</v>
      </c>
      <c r="R29" s="573"/>
      <c r="S29" s="21">
        <f t="shared" si="3"/>
        <v>1.7999532012167685</v>
      </c>
      <c r="T29" s="475">
        <f t="shared" si="4"/>
        <v>0.67471684129506326</v>
      </c>
      <c r="U29" s="475">
        <f t="shared" si="19"/>
        <v>64.252065552079586</v>
      </c>
      <c r="V29" s="476">
        <f t="shared" si="17"/>
        <v>2.2223894711307626</v>
      </c>
      <c r="W29" s="475">
        <f t="shared" si="5"/>
        <v>65.920905312895513</v>
      </c>
      <c r="X29" s="296">
        <f t="shared" si="20"/>
        <v>1.7233931802708646</v>
      </c>
      <c r="Y29" s="296">
        <f t="shared" si="18"/>
        <v>113.60763865352554</v>
      </c>
      <c r="Z29" s="552">
        <f t="shared" si="6"/>
        <v>50.966782488189438</v>
      </c>
      <c r="AA29" s="11">
        <f t="shared" si="7"/>
        <v>0.75</v>
      </c>
      <c r="AB29" s="296">
        <f t="shared" si="8"/>
        <v>1</v>
      </c>
      <c r="AC29" s="297">
        <f t="shared" si="9"/>
        <v>0.96021999999999996</v>
      </c>
      <c r="AD29" s="297">
        <f t="shared" si="10"/>
        <v>0.27711949199999997</v>
      </c>
      <c r="AE29" s="297">
        <f t="shared" si="11"/>
        <v>4.2775143561609399E-2</v>
      </c>
      <c r="AF29" s="297">
        <f t="shared" si="12"/>
        <v>0.21636582610595695</v>
      </c>
      <c r="AG29" s="553">
        <f t="shared" si="21"/>
        <v>5.0582139086061382</v>
      </c>
      <c r="AH29" s="297">
        <f t="shared" si="13"/>
        <v>0.1666275029381375</v>
      </c>
      <c r="AI29" s="296">
        <f t="shared" si="22"/>
        <v>3.8954282572574539</v>
      </c>
      <c r="AL29" s="324">
        <v>1.25</v>
      </c>
      <c r="AM29" s="324">
        <v>-5.2</v>
      </c>
      <c r="AN29" s="324">
        <v>1.31</v>
      </c>
      <c r="AO29" s="573">
        <v>2.0499999999999998</v>
      </c>
      <c r="AP29" s="573">
        <v>2.6</v>
      </c>
      <c r="AQ29" s="324">
        <v>2.95</v>
      </c>
      <c r="AR29" s="324">
        <v>3.6</v>
      </c>
    </row>
    <row r="30" spans="1:44" ht="15" customHeight="1">
      <c r="A30" s="567">
        <v>5.4</v>
      </c>
      <c r="B30" s="569">
        <v>48</v>
      </c>
      <c r="C30" s="569">
        <v>60</v>
      </c>
      <c r="D30" s="567">
        <v>0.91</v>
      </c>
      <c r="E30" s="567">
        <v>0.63</v>
      </c>
      <c r="F30" s="569">
        <v>58</v>
      </c>
      <c r="G30" s="569">
        <v>36</v>
      </c>
      <c r="H30" s="141">
        <v>0.125</v>
      </c>
      <c r="J30"/>
      <c r="K30" s="557">
        <v>5.4</v>
      </c>
      <c r="L30" s="557">
        <f t="shared" si="24"/>
        <v>4800</v>
      </c>
      <c r="M30" s="558">
        <f t="shared" si="14"/>
        <v>80</v>
      </c>
      <c r="N30" s="557">
        <f t="shared" si="15"/>
        <v>18.5</v>
      </c>
      <c r="O30" s="557">
        <f t="shared" si="23"/>
        <v>8.5</v>
      </c>
      <c r="P30" s="557">
        <f t="shared" si="1"/>
        <v>99.9</v>
      </c>
      <c r="Q30" s="557">
        <f t="shared" si="2"/>
        <v>45.900000000000006</v>
      </c>
      <c r="R30" s="573"/>
      <c r="S30" s="21">
        <f t="shared" si="3"/>
        <v>1.702091444862875</v>
      </c>
      <c r="T30" s="475">
        <f t="shared" si="4"/>
        <v>0.65104655079249651</v>
      </c>
      <c r="U30" s="475">
        <f t="shared" si="19"/>
        <v>78.033804769765013</v>
      </c>
      <c r="V30" s="476">
        <f t="shared" si="17"/>
        <v>2.1434885027304289</v>
      </c>
      <c r="W30" s="475">
        <f t="shared" si="5"/>
        <v>79.692402905230111</v>
      </c>
      <c r="X30" s="296">
        <f t="shared" si="20"/>
        <v>1.5391546510711542</v>
      </c>
      <c r="Y30" s="296">
        <f t="shared" si="18"/>
        <v>122.65893258662129</v>
      </c>
      <c r="Z30" s="552">
        <f t="shared" si="6"/>
        <v>57.122103044059145</v>
      </c>
      <c r="AA30" s="11">
        <f t="shared" si="7"/>
        <v>0.75</v>
      </c>
      <c r="AB30" s="296">
        <f t="shared" si="8"/>
        <v>1</v>
      </c>
      <c r="AC30" s="297">
        <f t="shared" si="9"/>
        <v>0.95869000000000004</v>
      </c>
      <c r="AD30" s="297">
        <f t="shared" si="10"/>
        <v>0.27667793399999996</v>
      </c>
      <c r="AE30" s="297">
        <f t="shared" si="11"/>
        <v>4.2706986295931469E-2</v>
      </c>
      <c r="AF30" s="297">
        <f t="shared" si="12"/>
        <v>0.25162497682091711</v>
      </c>
      <c r="AG30" s="553">
        <f t="shared" si="21"/>
        <v>5.8918926069219841</v>
      </c>
      <c r="AH30" s="297">
        <f t="shared" si="13"/>
        <v>0.1853681047000823</v>
      </c>
      <c r="AI30" s="296">
        <f t="shared" si="22"/>
        <v>4.3404632538480383</v>
      </c>
      <c r="AL30" s="324">
        <v>1.25</v>
      </c>
      <c r="AM30" s="324">
        <v>-5.4</v>
      </c>
      <c r="AN30" s="324">
        <v>1.31</v>
      </c>
      <c r="AO30" s="573">
        <v>2.0499999999999998</v>
      </c>
      <c r="AP30" s="573">
        <v>2.6</v>
      </c>
      <c r="AQ30" s="324">
        <v>2.95</v>
      </c>
      <c r="AR30" s="324">
        <v>3.6</v>
      </c>
    </row>
    <row r="31" spans="1:44" ht="15" customHeight="1">
      <c r="A31" s="567">
        <v>5.6</v>
      </c>
      <c r="B31" s="569">
        <v>42</v>
      </c>
      <c r="C31" s="569">
        <v>42</v>
      </c>
      <c r="D31" s="567">
        <v>0.9</v>
      </c>
      <c r="E31" s="567">
        <v>0.65</v>
      </c>
      <c r="F31" s="569">
        <v>53</v>
      </c>
      <c r="G31" s="569">
        <v>35</v>
      </c>
      <c r="H31" s="141">
        <v>0.111</v>
      </c>
      <c r="J31"/>
      <c r="K31" s="557">
        <v>5.6</v>
      </c>
      <c r="L31" s="557">
        <f t="shared" si="24"/>
        <v>4200</v>
      </c>
      <c r="M31" s="558">
        <f t="shared" si="14"/>
        <v>100</v>
      </c>
      <c r="N31" s="557">
        <f t="shared" si="15"/>
        <v>18.5</v>
      </c>
      <c r="O31" s="557">
        <f t="shared" si="23"/>
        <v>8.5</v>
      </c>
      <c r="P31" s="557">
        <f t="shared" si="1"/>
        <v>103.6</v>
      </c>
      <c r="Q31" s="557">
        <f t="shared" si="2"/>
        <v>47.599999999999994</v>
      </c>
      <c r="R31" s="573"/>
      <c r="S31" s="21">
        <f t="shared" si="3"/>
        <v>2.4411678547016895</v>
      </c>
      <c r="T31" s="475">
        <f t="shared" si="4"/>
        <v>0.69553320826339893</v>
      </c>
      <c r="U31" s="475">
        <f t="shared" si="19"/>
        <v>68.649507825891376</v>
      </c>
      <c r="V31" s="476">
        <f t="shared" si="17"/>
        <v>2.2917773609155683</v>
      </c>
      <c r="W31" s="475">
        <f t="shared" si="5"/>
        <v>70.385688133176387</v>
      </c>
      <c r="X31" s="296">
        <f t="shared" si="20"/>
        <v>1.9226213959781155</v>
      </c>
      <c r="Y31" s="296">
        <f t="shared" si="18"/>
        <v>135.32502997548787</v>
      </c>
      <c r="Z31" s="552">
        <f t="shared" si="6"/>
        <v>52.773423726485163</v>
      </c>
      <c r="AA31" s="11">
        <f t="shared" si="7"/>
        <v>0.75</v>
      </c>
      <c r="AB31" s="296">
        <f t="shared" si="8"/>
        <v>0.99119718768004195</v>
      </c>
      <c r="AC31" s="297">
        <f t="shared" si="9"/>
        <v>0.95716000000000001</v>
      </c>
      <c r="AD31" s="297">
        <f t="shared" si="10"/>
        <v>0.27623637600000001</v>
      </c>
      <c r="AE31" s="297">
        <f t="shared" si="11"/>
        <v>4.3017504044833253E-2</v>
      </c>
      <c r="AF31" s="297">
        <f t="shared" si="12"/>
        <v>0.31047156158653666</v>
      </c>
      <c r="AG31" s="553">
        <f t="shared" si="21"/>
        <v>7.2173309093656446</v>
      </c>
      <c r="AH31" s="297">
        <f t="shared" si="13"/>
        <v>0.21772835539300217</v>
      </c>
      <c r="AI31" s="296">
        <f t="shared" si="22"/>
        <v>5.0613897813802398</v>
      </c>
      <c r="AL31" s="324">
        <v>1.25</v>
      </c>
      <c r="AM31" s="324">
        <v>-5.6</v>
      </c>
      <c r="AN31" s="324">
        <v>1.31</v>
      </c>
      <c r="AO31" s="573">
        <v>2.0499999999999998</v>
      </c>
      <c r="AP31" s="573">
        <v>2.6</v>
      </c>
      <c r="AQ31" s="324">
        <v>2.95</v>
      </c>
      <c r="AR31" s="324">
        <v>3.6</v>
      </c>
    </row>
    <row r="32" spans="1:44" ht="15" customHeight="1">
      <c r="A32" s="567">
        <v>5.8</v>
      </c>
      <c r="B32" s="569">
        <v>30</v>
      </c>
      <c r="C32" s="569">
        <v>56</v>
      </c>
      <c r="D32" s="567">
        <v>0.88</v>
      </c>
      <c r="E32" s="567">
        <v>0.67</v>
      </c>
      <c r="F32" s="569">
        <v>41</v>
      </c>
      <c r="G32" s="569">
        <v>34</v>
      </c>
      <c r="H32" s="141">
        <v>8.1000000000000003E-2</v>
      </c>
      <c r="J32"/>
      <c r="K32" s="557">
        <v>5.8</v>
      </c>
      <c r="L32" s="557">
        <f t="shared" si="24"/>
        <v>3000</v>
      </c>
      <c r="M32" s="558">
        <f t="shared" si="14"/>
        <v>53.571428571428569</v>
      </c>
      <c r="N32" s="557">
        <f t="shared" si="15"/>
        <v>18.5</v>
      </c>
      <c r="O32" s="557">
        <f t="shared" si="23"/>
        <v>8.5</v>
      </c>
      <c r="P32" s="557">
        <f t="shared" si="1"/>
        <v>107.3</v>
      </c>
      <c r="Q32" s="557">
        <f t="shared" si="2"/>
        <v>49.3</v>
      </c>
      <c r="R32" s="573"/>
      <c r="S32" s="21">
        <f t="shared" si="3"/>
        <v>1.8519524517381192</v>
      </c>
      <c r="T32" s="475">
        <f t="shared" si="4"/>
        <v>0.70662451957105343</v>
      </c>
      <c r="U32" s="475">
        <f t="shared" si="19"/>
        <v>47.680993251136385</v>
      </c>
      <c r="V32" s="476">
        <f t="shared" si="17"/>
        <v>2.3287483986170807</v>
      </c>
      <c r="W32" s="475">
        <f t="shared" si="5"/>
        <v>49.449642117540414</v>
      </c>
      <c r="X32" s="296">
        <f t="shared" si="20"/>
        <v>2.0444185410087918</v>
      </c>
      <c r="Y32" s="296">
        <f t="shared" si="18"/>
        <v>101.09576519134887</v>
      </c>
      <c r="Z32" s="552">
        <f t="shared" si="6"/>
        <v>42.626054475349122</v>
      </c>
      <c r="AA32" s="11">
        <f t="shared" si="7"/>
        <v>0.75</v>
      </c>
      <c r="AB32" s="296">
        <f t="shared" si="8"/>
        <v>0.98253961453697569</v>
      </c>
      <c r="AC32" s="297">
        <f t="shared" si="9"/>
        <v>0.95562999999999998</v>
      </c>
      <c r="AD32" s="297">
        <f t="shared" si="10"/>
        <v>0.275794818</v>
      </c>
      <c r="AE32" s="297">
        <f t="shared" si="11"/>
        <v>4.3327181046676835E-2</v>
      </c>
      <c r="AF32" s="297">
        <f t="shared" si="12"/>
        <v>0.17609080681052361</v>
      </c>
      <c r="AG32" s="553">
        <f t="shared" si="21"/>
        <v>4.0642110231177764</v>
      </c>
      <c r="AH32" s="297">
        <f t="shared" si="13"/>
        <v>0.14433685955394035</v>
      </c>
      <c r="AI32" s="296">
        <f t="shared" si="22"/>
        <v>3.3313235725731776</v>
      </c>
      <c r="AL32" s="324">
        <v>1.25</v>
      </c>
      <c r="AM32" s="324">
        <v>-5.8</v>
      </c>
      <c r="AN32" s="324">
        <v>1.31</v>
      </c>
      <c r="AO32" s="573">
        <v>2.0499999999999998</v>
      </c>
      <c r="AP32" s="573">
        <v>2.6</v>
      </c>
      <c r="AQ32" s="324">
        <v>2.95</v>
      </c>
      <c r="AR32" s="324">
        <v>3.6</v>
      </c>
    </row>
    <row r="33" spans="1:44" ht="15" customHeight="1">
      <c r="A33" s="527" t="s">
        <v>192</v>
      </c>
      <c r="B33" s="569">
        <v>32</v>
      </c>
      <c r="C33" s="569">
        <v>53</v>
      </c>
      <c r="D33" s="567">
        <v>0.88</v>
      </c>
      <c r="E33" s="567">
        <v>0.68</v>
      </c>
      <c r="F33" s="569">
        <v>42</v>
      </c>
      <c r="G33" s="569">
        <v>34</v>
      </c>
      <c r="H33" s="141">
        <v>8.5000000000000006E-2</v>
      </c>
      <c r="J33"/>
      <c r="K33" s="557">
        <v>6</v>
      </c>
      <c r="L33" s="557">
        <f t="shared" si="24"/>
        <v>3200</v>
      </c>
      <c r="M33" s="558">
        <f t="shared" si="14"/>
        <v>60.377358490566039</v>
      </c>
      <c r="N33" s="557">
        <f t="shared" si="15"/>
        <v>18.5</v>
      </c>
      <c r="O33" s="557">
        <f t="shared" si="23"/>
        <v>8.5</v>
      </c>
      <c r="P33" s="557">
        <f t="shared" si="1"/>
        <v>111</v>
      </c>
      <c r="Q33" s="557">
        <f t="shared" si="2"/>
        <v>51</v>
      </c>
      <c r="R33" s="573"/>
      <c r="S33" s="21">
        <f t="shared" si="3"/>
        <v>1.9545923758681139</v>
      </c>
      <c r="T33" s="475">
        <f t="shared" si="4"/>
        <v>0.70696739471399117</v>
      </c>
      <c r="U33" s="475">
        <f t="shared" si="19"/>
        <v>49.722878118225907</v>
      </c>
      <c r="V33" s="476">
        <f t="shared" si="17"/>
        <v>2.329891315740543</v>
      </c>
      <c r="W33" s="475">
        <f t="shared" si="5"/>
        <v>51.509617992335031</v>
      </c>
      <c r="X33" s="296">
        <f t="shared" si="20"/>
        <v>2.0483658999171546</v>
      </c>
      <c r="Y33" s="296">
        <f t="shared" si="18"/>
        <v>105.5105450132582</v>
      </c>
      <c r="Z33" s="552">
        <f t="shared" si="6"/>
        <v>43.990082757881908</v>
      </c>
      <c r="AA33" s="11">
        <f t="shared" si="7"/>
        <v>0.75</v>
      </c>
      <c r="AB33" s="296">
        <f t="shared" si="8"/>
        <v>0.97424739966422236</v>
      </c>
      <c r="AC33" s="297">
        <f t="shared" si="9"/>
        <v>0.95409999999999995</v>
      </c>
      <c r="AD33" s="297">
        <f t="shared" si="10"/>
        <v>0.27535325999999993</v>
      </c>
      <c r="AE33" s="297">
        <f t="shared" si="11"/>
        <v>4.3625997373507287E-2</v>
      </c>
      <c r="AF33" s="297">
        <f t="shared" si="12"/>
        <v>0.18923719699698108</v>
      </c>
      <c r="AG33" s="553">
        <f t="shared" si="21"/>
        <v>4.3377162332086634</v>
      </c>
      <c r="AH33" s="297">
        <f t="shared" si="13"/>
        <v>0.15182667952336013</v>
      </c>
      <c r="AI33" s="296">
        <f t="shared" si="22"/>
        <v>3.4801881599057665</v>
      </c>
      <c r="AL33" s="324">
        <v>1.25</v>
      </c>
      <c r="AM33" s="324">
        <v>-6</v>
      </c>
      <c r="AN33" s="324">
        <v>1.31</v>
      </c>
      <c r="AO33" s="573">
        <v>2.0499999999999998</v>
      </c>
      <c r="AP33" s="573">
        <v>2.6</v>
      </c>
      <c r="AQ33" s="324">
        <v>2.95</v>
      </c>
      <c r="AR33" s="324">
        <v>3.6</v>
      </c>
    </row>
    <row r="34" spans="1:44" ht="15" customHeight="1">
      <c r="A34" s="567">
        <v>6.2</v>
      </c>
      <c r="B34" s="569">
        <v>37</v>
      </c>
      <c r="C34" s="569">
        <v>37</v>
      </c>
      <c r="D34" s="567">
        <v>0.89</v>
      </c>
      <c r="E34" s="567">
        <v>0.7</v>
      </c>
      <c r="F34" s="569">
        <v>46</v>
      </c>
      <c r="G34" s="569">
        <v>35</v>
      </c>
      <c r="H34" s="141">
        <v>9.5000000000000001E-2</v>
      </c>
      <c r="J34"/>
      <c r="K34" s="557">
        <v>6.2</v>
      </c>
      <c r="L34" s="557">
        <f t="shared" si="24"/>
        <v>3700</v>
      </c>
      <c r="M34" s="558">
        <f t="shared" si="14"/>
        <v>100</v>
      </c>
      <c r="N34" s="557">
        <f t="shared" si="15"/>
        <v>18.5</v>
      </c>
      <c r="O34" s="557">
        <f t="shared" si="23"/>
        <v>8.5</v>
      </c>
      <c r="P34" s="557">
        <f t="shared" si="1"/>
        <v>114.7</v>
      </c>
      <c r="Q34" s="557">
        <f t="shared" si="2"/>
        <v>52.7</v>
      </c>
      <c r="R34" s="573"/>
      <c r="S34" s="21">
        <f t="shared" si="3"/>
        <v>2.7891668758541819</v>
      </c>
      <c r="T34" s="475">
        <f t="shared" si="4"/>
        <v>0.72492726869263291</v>
      </c>
      <c r="U34" s="475">
        <f t="shared" si="19"/>
        <v>57.041714684300665</v>
      </c>
      <c r="V34" s="476">
        <f t="shared" si="17"/>
        <v>2.3897575623182523</v>
      </c>
      <c r="W34" s="475">
        <f t="shared" si="5"/>
        <v>58.866578621569317</v>
      </c>
      <c r="X34" s="296">
        <f t="shared" si="20"/>
        <v>2.271051204452565</v>
      </c>
      <c r="Y34" s="296">
        <f t="shared" si="18"/>
        <v>133.6890142805166</v>
      </c>
      <c r="Z34" s="552">
        <f t="shared" si="6"/>
        <v>47.68156348640764</v>
      </c>
      <c r="AA34" s="11">
        <f t="shared" si="7"/>
        <v>0.75</v>
      </c>
      <c r="AB34" s="296">
        <f t="shared" si="8"/>
        <v>0.96629369437200952</v>
      </c>
      <c r="AC34" s="297">
        <f t="shared" si="9"/>
        <v>0.95257000000000003</v>
      </c>
      <c r="AD34" s="297">
        <f t="shared" si="10"/>
        <v>0.27491170199999998</v>
      </c>
      <c r="AE34" s="297">
        <f t="shared" si="11"/>
        <v>4.3914554633203595E-2</v>
      </c>
      <c r="AF34" s="297">
        <f t="shared" si="12"/>
        <v>0.30221333225960378</v>
      </c>
      <c r="AG34" s="553">
        <f t="shared" si="21"/>
        <v>6.8818489629199533</v>
      </c>
      <c r="AH34" s="297">
        <f t="shared" si="13"/>
        <v>0.21300537935170111</v>
      </c>
      <c r="AI34" s="296">
        <f t="shared" si="22"/>
        <v>4.8504506337552309</v>
      </c>
      <c r="AL34" s="324">
        <v>1.25</v>
      </c>
      <c r="AM34" s="324">
        <v>-6.2</v>
      </c>
      <c r="AN34" s="324">
        <v>1.31</v>
      </c>
      <c r="AO34" s="573">
        <v>2.0499999999999998</v>
      </c>
      <c r="AP34" s="573">
        <v>2.6</v>
      </c>
      <c r="AQ34" s="324">
        <v>2.95</v>
      </c>
      <c r="AR34" s="324">
        <v>3.6</v>
      </c>
    </row>
    <row r="35" spans="1:44" ht="15" customHeight="1">
      <c r="A35" s="567">
        <v>6.4</v>
      </c>
      <c r="B35" s="569">
        <v>41</v>
      </c>
      <c r="C35" s="569">
        <v>56</v>
      </c>
      <c r="D35" s="567">
        <v>0.9</v>
      </c>
      <c r="E35" s="567">
        <v>0.72</v>
      </c>
      <c r="F35" s="569">
        <v>49</v>
      </c>
      <c r="G35" s="569">
        <v>35</v>
      </c>
      <c r="H35" s="141">
        <v>0.10199999999999999</v>
      </c>
      <c r="J35"/>
      <c r="K35" s="557">
        <v>6.4</v>
      </c>
      <c r="L35" s="557">
        <f t="shared" si="24"/>
        <v>4100</v>
      </c>
      <c r="M35" s="558">
        <f t="shared" si="14"/>
        <v>73.214285714285708</v>
      </c>
      <c r="N35" s="557">
        <f t="shared" si="15"/>
        <v>18.5</v>
      </c>
      <c r="O35" s="557">
        <f t="shared" si="23"/>
        <v>8.5</v>
      </c>
      <c r="P35" s="557">
        <f t="shared" si="1"/>
        <v>118.4</v>
      </c>
      <c r="Q35" s="557">
        <f t="shared" si="2"/>
        <v>54.400000000000006</v>
      </c>
      <c r="R35" s="573"/>
      <c r="S35" s="21">
        <f t="shared" si="3"/>
        <v>1.838815695054393</v>
      </c>
      <c r="T35" s="475">
        <f t="shared" si="4"/>
        <v>0.6827028826771171</v>
      </c>
      <c r="U35" s="475">
        <f t="shared" si="19"/>
        <v>60.334403178451154</v>
      </c>
      <c r="V35" s="476">
        <f t="shared" si="17"/>
        <v>2.2490096089342213</v>
      </c>
      <c r="W35" s="475">
        <f t="shared" si="5"/>
        <v>62.128554609114353</v>
      </c>
      <c r="X35" s="296">
        <f t="shared" si="20"/>
        <v>1.7954699290350185</v>
      </c>
      <c r="Y35" s="296">
        <f t="shared" si="18"/>
        <v>111.54995153507481</v>
      </c>
      <c r="Z35" s="552">
        <f t="shared" si="6"/>
        <v>50.168970853462582</v>
      </c>
      <c r="AA35" s="11">
        <f t="shared" si="7"/>
        <v>0.75</v>
      </c>
      <c r="AB35" s="296">
        <f t="shared" si="8"/>
        <v>0.95865440989819661</v>
      </c>
      <c r="AC35" s="297">
        <f t="shared" si="9"/>
        <v>0.95104</v>
      </c>
      <c r="AD35" s="297">
        <f t="shared" si="10"/>
        <v>0.27447014399999997</v>
      </c>
      <c r="AE35" s="297">
        <f t="shared" si="11"/>
        <v>4.4193402262699501E-2</v>
      </c>
      <c r="AF35" s="297">
        <f t="shared" si="12"/>
        <v>0.20908955578931676</v>
      </c>
      <c r="AG35" s="553">
        <f t="shared" si="21"/>
        <v>4.7312391688339037</v>
      </c>
      <c r="AH35" s="297">
        <f t="shared" si="13"/>
        <v>0.16271731215848559</v>
      </c>
      <c r="AI35" s="296">
        <f t="shared" si="22"/>
        <v>3.6819367558814013</v>
      </c>
      <c r="AL35" s="324">
        <v>1.25</v>
      </c>
      <c r="AM35" s="324">
        <v>-6.4</v>
      </c>
      <c r="AN35" s="324">
        <v>1.31</v>
      </c>
      <c r="AO35" s="573">
        <v>2.0499999999999998</v>
      </c>
      <c r="AP35" s="573">
        <v>2.6</v>
      </c>
      <c r="AQ35" s="324">
        <v>2.95</v>
      </c>
      <c r="AR35" s="324">
        <v>3.6</v>
      </c>
    </row>
    <row r="36" spans="1:44" ht="15" customHeight="1">
      <c r="A36" s="567">
        <v>6.6</v>
      </c>
      <c r="B36" s="569">
        <v>33</v>
      </c>
      <c r="C36" s="569">
        <v>45</v>
      </c>
      <c r="D36" s="567">
        <v>0.88</v>
      </c>
      <c r="E36" s="567">
        <v>0.74</v>
      </c>
      <c r="F36" s="569">
        <v>41</v>
      </c>
      <c r="G36" s="569">
        <v>34</v>
      </c>
      <c r="H36" s="141">
        <v>8.3000000000000004E-2</v>
      </c>
      <c r="J36"/>
      <c r="K36" s="557">
        <v>6.6</v>
      </c>
      <c r="L36" s="557">
        <f t="shared" si="24"/>
        <v>3300</v>
      </c>
      <c r="M36" s="558">
        <f t="shared" si="14"/>
        <v>73.333333333333329</v>
      </c>
      <c r="N36" s="557">
        <f t="shared" si="15"/>
        <v>18.5</v>
      </c>
      <c r="O36" s="557">
        <f t="shared" si="23"/>
        <v>8.5</v>
      </c>
      <c r="P36" s="557">
        <f t="shared" si="1"/>
        <v>122.1</v>
      </c>
      <c r="Q36" s="557">
        <f t="shared" si="2"/>
        <v>56.099999999999994</v>
      </c>
      <c r="R36" s="573"/>
      <c r="S36" s="21">
        <f t="shared" si="3"/>
        <v>2.3076035537094723</v>
      </c>
      <c r="T36" s="475">
        <f t="shared" si="4"/>
        <v>0.72402418780699374</v>
      </c>
      <c r="U36" s="475">
        <f t="shared" si="19"/>
        <v>48.294445886618526</v>
      </c>
      <c r="V36" s="476">
        <f t="shared" si="17"/>
        <v>2.3867472926955076</v>
      </c>
      <c r="W36" s="475">
        <f t="shared" si="5"/>
        <v>50.149995728575831</v>
      </c>
      <c r="X36" s="296">
        <f t="shared" si="20"/>
        <v>2.2590901083709092</v>
      </c>
      <c r="Y36" s="296">
        <f t="shared" si="18"/>
        <v>113.29335928526901</v>
      </c>
      <c r="Z36" s="552">
        <f t="shared" si="6"/>
        <v>43.506145610487266</v>
      </c>
      <c r="AA36" s="11">
        <f t="shared" si="7"/>
        <v>0.75</v>
      </c>
      <c r="AB36" s="296">
        <f t="shared" si="8"/>
        <v>0.95130785775864091</v>
      </c>
      <c r="AC36" s="297">
        <f t="shared" si="9"/>
        <v>0.94950999999999997</v>
      </c>
      <c r="AD36" s="297">
        <f t="shared" si="10"/>
        <v>0.27402858600000002</v>
      </c>
      <c r="AE36" s="297">
        <f t="shared" si="11"/>
        <v>4.4463043542520023E-2</v>
      </c>
      <c r="AF36" s="297">
        <f t="shared" si="12"/>
        <v>0.21523724396623395</v>
      </c>
      <c r="AG36" s="553">
        <f t="shared" si="21"/>
        <v>4.8408122075674491</v>
      </c>
      <c r="AH36" s="297">
        <f t="shared" si="13"/>
        <v>0.16602299528681552</v>
      </c>
      <c r="AI36" s="296">
        <f t="shared" si="22"/>
        <v>3.7339548096397781</v>
      </c>
      <c r="AL36" s="324">
        <v>1.25</v>
      </c>
      <c r="AM36" s="324">
        <v>-6.6</v>
      </c>
      <c r="AN36" s="324">
        <v>1.31</v>
      </c>
      <c r="AO36" s="573">
        <v>2.0499999999999998</v>
      </c>
      <c r="AP36" s="573">
        <v>2.6</v>
      </c>
      <c r="AQ36" s="324">
        <v>2.95</v>
      </c>
      <c r="AR36" s="324">
        <v>3.6</v>
      </c>
    </row>
    <row r="37" spans="1:44" ht="15" customHeight="1">
      <c r="A37" s="567">
        <v>6.8</v>
      </c>
      <c r="B37" s="569">
        <v>26</v>
      </c>
      <c r="C37" s="569">
        <v>65</v>
      </c>
      <c r="D37" s="567">
        <v>0.87</v>
      </c>
      <c r="E37" s="567">
        <v>0.75</v>
      </c>
      <c r="F37" s="569">
        <v>33</v>
      </c>
      <c r="G37" s="569">
        <v>33</v>
      </c>
      <c r="H37" s="141">
        <v>6.3E-2</v>
      </c>
      <c r="J37"/>
      <c r="K37" s="557">
        <v>6.8</v>
      </c>
      <c r="L37" s="557">
        <f t="shared" si="24"/>
        <v>2600</v>
      </c>
      <c r="M37" s="558">
        <f t="shared" si="14"/>
        <v>40</v>
      </c>
      <c r="N37" s="557">
        <f t="shared" si="15"/>
        <v>18.5</v>
      </c>
      <c r="O37" s="557">
        <f t="shared" si="23"/>
        <v>8.5</v>
      </c>
      <c r="P37" s="557">
        <f t="shared" si="1"/>
        <v>125.8</v>
      </c>
      <c r="Q37" s="557">
        <f t="shared" si="2"/>
        <v>57.8</v>
      </c>
      <c r="R37" s="573"/>
      <c r="S37" s="21">
        <f t="shared" si="3"/>
        <v>1.6166841807452914</v>
      </c>
      <c r="T37" s="475">
        <f t="shared" si="4"/>
        <v>0.72226017271307008</v>
      </c>
      <c r="U37" s="475">
        <f t="shared" si="19"/>
        <v>36.760790607350074</v>
      </c>
      <c r="V37" s="476">
        <f t="shared" si="17"/>
        <v>2.3808672423832116</v>
      </c>
      <c r="W37" s="475">
        <f t="shared" si="5"/>
        <v>38.629882620285422</v>
      </c>
      <c r="X37" s="296">
        <f t="shared" si="20"/>
        <v>2.2359640992615333</v>
      </c>
      <c r="Y37" s="296">
        <f t="shared" si="18"/>
        <v>86.375030697645258</v>
      </c>
      <c r="Z37" s="552">
        <f t="shared" si="6"/>
        <v>36.244622298196532</v>
      </c>
      <c r="AA37" s="11">
        <f t="shared" si="7"/>
        <v>1</v>
      </c>
      <c r="AB37" s="296">
        <f t="shared" si="8"/>
        <v>1</v>
      </c>
      <c r="AC37" s="297">
        <f t="shared" si="9"/>
        <v>0.94798000000000004</v>
      </c>
      <c r="AD37" s="297">
        <f t="shared" si="10"/>
        <v>0.27358702800000007</v>
      </c>
      <c r="AE37" s="297">
        <f t="shared" si="11"/>
        <v>4.2229885436185971E-2</v>
      </c>
      <c r="AF37" s="297">
        <f t="shared" si="12"/>
        <v>0.13993045745829327</v>
      </c>
      <c r="AG37" s="553">
        <f t="shared" si="21"/>
        <v>3.3135410151596001</v>
      </c>
      <c r="AH37" s="297">
        <f t="shared" si="13"/>
        <v>0.12158724079104102</v>
      </c>
      <c r="AI37" s="296">
        <f t="shared" si="22"/>
        <v>2.8791752460416404</v>
      </c>
      <c r="AL37" s="324">
        <v>1.25</v>
      </c>
      <c r="AM37" s="324">
        <v>-6.8</v>
      </c>
      <c r="AN37" s="324">
        <v>1.31</v>
      </c>
      <c r="AO37" s="573">
        <v>2.0499999999999998</v>
      </c>
      <c r="AP37" s="573">
        <v>2.6</v>
      </c>
      <c r="AQ37" s="324">
        <v>2.95</v>
      </c>
      <c r="AR37" s="324">
        <v>3.6</v>
      </c>
    </row>
    <row r="38" spans="1:44" ht="15" customHeight="1">
      <c r="A38" s="527" t="s">
        <v>194</v>
      </c>
      <c r="B38" s="569">
        <v>20</v>
      </c>
      <c r="C38" s="569">
        <v>25</v>
      </c>
      <c r="D38" s="567">
        <v>0.93</v>
      </c>
      <c r="E38" s="567">
        <v>0.77</v>
      </c>
      <c r="F38" s="569">
        <v>23</v>
      </c>
      <c r="G38" s="569">
        <v>31</v>
      </c>
      <c r="H38" s="141">
        <v>4.3999999999999997E-2</v>
      </c>
      <c r="J38"/>
      <c r="K38" s="557">
        <v>7</v>
      </c>
      <c r="L38" s="557">
        <f t="shared" si="24"/>
        <v>2000</v>
      </c>
      <c r="M38" s="558">
        <f t="shared" si="14"/>
        <v>80</v>
      </c>
      <c r="N38" s="557">
        <f t="shared" si="15"/>
        <v>18.5</v>
      </c>
      <c r="O38" s="557">
        <f t="shared" si="23"/>
        <v>8.5</v>
      </c>
      <c r="P38" s="557">
        <f t="shared" si="1"/>
        <v>129.5</v>
      </c>
      <c r="Q38" s="557">
        <f t="shared" si="2"/>
        <v>59.5</v>
      </c>
      <c r="R38" s="573"/>
      <c r="S38" s="21">
        <f t="shared" si="3"/>
        <v>4.2769313017909649</v>
      </c>
      <c r="T38" s="475">
        <f t="shared" si="4"/>
        <v>0.82805632939910767</v>
      </c>
      <c r="U38" s="475">
        <f t="shared" si="19"/>
        <v>28.752152697770466</v>
      </c>
      <c r="V38" s="476">
        <f t="shared" si="17"/>
        <v>2.7335210979981492</v>
      </c>
      <c r="W38" s="475">
        <f t="shared" si="5"/>
        <v>30.742745466742015</v>
      </c>
      <c r="X38" s="296">
        <f t="shared" si="20"/>
        <v>4.2466628874648045</v>
      </c>
      <c r="Y38" s="296">
        <f t="shared" si="18"/>
        <v>130.55407623239017</v>
      </c>
      <c r="Z38" s="552">
        <f t="shared" si="6"/>
        <v>28.308919844780618</v>
      </c>
      <c r="AA38" s="11">
        <f t="shared" si="7"/>
        <v>1</v>
      </c>
      <c r="AB38" s="296">
        <f t="shared" si="8"/>
        <v>1</v>
      </c>
      <c r="AC38" s="297">
        <f t="shared" si="9"/>
        <v>0.94645000000000001</v>
      </c>
      <c r="AD38" s="297">
        <f t="shared" si="10"/>
        <v>0.27314546999999995</v>
      </c>
      <c r="AE38" s="297">
        <f t="shared" si="11"/>
        <v>4.216172817050802E-2</v>
      </c>
      <c r="AF38" s="297">
        <f t="shared" si="12"/>
        <v>0.28694467556989178</v>
      </c>
      <c r="AG38" s="553">
        <f t="shared" si="21"/>
        <v>6.8058091549152522</v>
      </c>
      <c r="AH38" s="297">
        <f t="shared" si="13"/>
        <v>0.20446139839048427</v>
      </c>
      <c r="AI38" s="296">
        <f t="shared" si="22"/>
        <v>4.8494548791646617</v>
      </c>
      <c r="AL38" s="324">
        <v>1.25</v>
      </c>
      <c r="AM38" s="324">
        <v>-7</v>
      </c>
      <c r="AN38" s="324">
        <v>1.31</v>
      </c>
      <c r="AO38" s="573">
        <v>2.0499999999999998</v>
      </c>
      <c r="AP38" s="573">
        <v>2.6</v>
      </c>
      <c r="AQ38" s="324">
        <v>2.95</v>
      </c>
      <c r="AR38" s="324">
        <v>3.6</v>
      </c>
    </row>
    <row r="39" spans="1:44" ht="15" customHeight="1">
      <c r="A39" s="567">
        <v>7.2</v>
      </c>
      <c r="B39" s="569">
        <v>10</v>
      </c>
      <c r="C39" s="569">
        <v>25</v>
      </c>
      <c r="D39" s="567">
        <v>0.9</v>
      </c>
      <c r="E39" s="567">
        <v>0.79</v>
      </c>
      <c r="F39" s="568" t="s">
        <v>178</v>
      </c>
      <c r="G39" s="568" t="s">
        <v>178</v>
      </c>
      <c r="H39" s="568" t="s">
        <v>178</v>
      </c>
      <c r="J39"/>
      <c r="K39" s="557">
        <v>7.2</v>
      </c>
      <c r="L39" s="557">
        <f t="shared" si="24"/>
        <v>1000</v>
      </c>
      <c r="M39" s="558">
        <f t="shared" si="14"/>
        <v>40</v>
      </c>
      <c r="N39" s="557">
        <f t="shared" si="15"/>
        <v>18.5</v>
      </c>
      <c r="O39" s="557">
        <f t="shared" si="23"/>
        <v>8.5</v>
      </c>
      <c r="P39" s="557">
        <f t="shared" si="1"/>
        <v>133.20000000000002</v>
      </c>
      <c r="Q39" s="557">
        <f t="shared" si="2"/>
        <v>61.2</v>
      </c>
      <c r="R39" s="573"/>
      <c r="S39" s="21">
        <f t="shared" si="3"/>
        <v>4.6146746654360875</v>
      </c>
      <c r="T39" s="475">
        <f t="shared" si="4"/>
        <v>0.90887316298555121</v>
      </c>
      <c r="U39" s="475">
        <f t="shared" si="19"/>
        <v>13.543621623082563</v>
      </c>
      <c r="V39" s="476">
        <f t="shared" si="17"/>
        <v>3.0029105432857723</v>
      </c>
      <c r="W39" s="475">
        <f t="shared" si="5"/>
        <v>15.624851895572871</v>
      </c>
      <c r="X39" s="296">
        <f t="shared" si="20"/>
        <v>6.7764610147600557</v>
      </c>
      <c r="Y39" s="296">
        <f t="shared" si="18"/>
        <v>105.88119973174932</v>
      </c>
      <c r="Z39" s="552">
        <f t="shared" si="6"/>
        <v>8.0372030691964795</v>
      </c>
      <c r="AA39" s="11">
        <f t="shared" si="7"/>
        <v>1</v>
      </c>
      <c r="AB39" s="296">
        <f t="shared" si="8"/>
        <v>1</v>
      </c>
      <c r="AC39" s="297">
        <f t="shared" si="9"/>
        <v>0.94491999999999998</v>
      </c>
      <c r="AD39" s="297">
        <f t="shared" si="10"/>
        <v>0.27270391200000005</v>
      </c>
      <c r="AE39" s="297">
        <f t="shared" si="11"/>
        <v>4.209357090483011E-2</v>
      </c>
      <c r="AF39" s="297">
        <f t="shared" si="12"/>
        <v>0.1903924849287035</v>
      </c>
      <c r="AG39" s="553">
        <f t="shared" si="21"/>
        <v>4.5230775350270065</v>
      </c>
      <c r="AH39" s="297">
        <f t="shared" si="13"/>
        <v>0.15247235656982899</v>
      </c>
      <c r="AI39" s="296">
        <f t="shared" si="22"/>
        <v>3.622224327666467</v>
      </c>
      <c r="AL39" s="324">
        <v>1.25</v>
      </c>
      <c r="AM39" s="324">
        <v>-7.2</v>
      </c>
      <c r="AN39" s="324">
        <v>1.31</v>
      </c>
      <c r="AO39" s="573">
        <v>2.0499999999999998</v>
      </c>
      <c r="AP39" s="573">
        <v>2.6</v>
      </c>
      <c r="AQ39" s="324">
        <v>2.95</v>
      </c>
      <c r="AR39" s="324">
        <v>3.6</v>
      </c>
    </row>
    <row r="40" spans="1:44" ht="15" customHeight="1">
      <c r="A40" s="567">
        <v>7.4</v>
      </c>
      <c r="B40" s="569">
        <v>40</v>
      </c>
      <c r="C40" s="569">
        <v>46</v>
      </c>
      <c r="D40" s="567">
        <v>0.9</v>
      </c>
      <c r="E40" s="567">
        <v>0.81</v>
      </c>
      <c r="F40" s="569">
        <v>46</v>
      </c>
      <c r="G40" s="569">
        <v>34</v>
      </c>
      <c r="H40" s="141">
        <v>9.2999999999999999E-2</v>
      </c>
      <c r="J40"/>
      <c r="K40" s="557">
        <v>7.4</v>
      </c>
      <c r="L40" s="557">
        <f t="shared" si="24"/>
        <v>4000</v>
      </c>
      <c r="M40" s="558">
        <f t="shared" si="14"/>
        <v>86.956521739130437</v>
      </c>
      <c r="N40" s="557">
        <f t="shared" si="15"/>
        <v>18.5</v>
      </c>
      <c r="O40" s="557">
        <f t="shared" si="23"/>
        <v>8.5</v>
      </c>
      <c r="P40" s="557">
        <f t="shared" si="1"/>
        <v>136.9</v>
      </c>
      <c r="Q40" s="557">
        <f t="shared" si="2"/>
        <v>62.900000000000006</v>
      </c>
      <c r="R40" s="573"/>
      <c r="S40" s="21">
        <f t="shared" si="3"/>
        <v>2.2509518712725645</v>
      </c>
      <c r="T40" s="475">
        <f t="shared" si="4"/>
        <v>0.71151398289344436</v>
      </c>
      <c r="U40" s="475">
        <f t="shared" si="19"/>
        <v>53.727772017716113</v>
      </c>
      <c r="V40" s="476">
        <f t="shared" si="17"/>
        <v>2.345046609645542</v>
      </c>
      <c r="W40" s="475">
        <f t="shared" si="5"/>
        <v>55.631769322788557</v>
      </c>
      <c r="X40" s="296">
        <f t="shared" si="20"/>
        <v>2.1017655460848665</v>
      </c>
      <c r="Y40" s="296">
        <f t="shared" si="18"/>
        <v>116.92493603037802</v>
      </c>
      <c r="Z40" s="552">
        <f t="shared" si="6"/>
        <v>47.380488127951651</v>
      </c>
      <c r="AA40" s="11">
        <f t="shared" si="7"/>
        <v>0.75</v>
      </c>
      <c r="AB40" s="296">
        <f t="shared" si="8"/>
        <v>0.92448344381246006</v>
      </c>
      <c r="AC40" s="297">
        <f t="shared" si="9"/>
        <v>0.94338999999999995</v>
      </c>
      <c r="AD40" s="297">
        <f t="shared" si="10"/>
        <v>0.27226235399999993</v>
      </c>
      <c r="AE40" s="297">
        <f t="shared" si="11"/>
        <v>4.5458265283631623E-2</v>
      </c>
      <c r="AF40" s="297">
        <f t="shared" si="12"/>
        <v>0.22866350625113452</v>
      </c>
      <c r="AG40" s="553">
        <f t="shared" si="21"/>
        <v>5.0301854860588024</v>
      </c>
      <c r="AH40" s="297">
        <f t="shared" si="13"/>
        <v>0.17318133019290641</v>
      </c>
      <c r="AI40" s="296">
        <f t="shared" si="22"/>
        <v>3.8096774945625707</v>
      </c>
      <c r="AL40" s="324">
        <v>1.25</v>
      </c>
      <c r="AM40" s="324">
        <v>-7.4</v>
      </c>
      <c r="AN40" s="324">
        <v>1.31</v>
      </c>
      <c r="AO40" s="573">
        <v>2.0499999999999998</v>
      </c>
      <c r="AP40" s="573">
        <v>2.6</v>
      </c>
      <c r="AQ40" s="324">
        <v>2.95</v>
      </c>
      <c r="AR40" s="324">
        <v>3.6</v>
      </c>
    </row>
    <row r="41" spans="1:44" ht="15" customHeight="1">
      <c r="A41" s="567">
        <v>7.6</v>
      </c>
      <c r="B41" s="569">
        <v>35</v>
      </c>
      <c r="C41" s="569">
        <v>52</v>
      </c>
      <c r="D41" s="567">
        <v>0.89</v>
      </c>
      <c r="E41" s="567">
        <v>0.83</v>
      </c>
      <c r="F41" s="569">
        <v>41</v>
      </c>
      <c r="G41" s="569">
        <v>34</v>
      </c>
      <c r="H41" s="141">
        <v>8.1000000000000003E-2</v>
      </c>
      <c r="J41"/>
      <c r="K41" s="557">
        <v>7.6</v>
      </c>
      <c r="L41" s="557">
        <f t="shared" si="24"/>
        <v>3500</v>
      </c>
      <c r="M41" s="558">
        <f t="shared" si="14"/>
        <v>67.307692307692307</v>
      </c>
      <c r="N41" s="557">
        <f t="shared" si="15"/>
        <v>18.5</v>
      </c>
      <c r="O41" s="557">
        <f t="shared" si="23"/>
        <v>8.5</v>
      </c>
      <c r="P41" s="557">
        <f t="shared" si="1"/>
        <v>140.6</v>
      </c>
      <c r="Q41" s="557">
        <f t="shared" si="2"/>
        <v>64.599999999999994</v>
      </c>
      <c r="R41" s="573"/>
      <c r="S41" s="21">
        <f t="shared" si="3"/>
        <v>2.0035629072957168</v>
      </c>
      <c r="T41" s="475">
        <f t="shared" si="4"/>
        <v>0.71689226386924443</v>
      </c>
      <c r="U41" s="475">
        <f t="shared" si="19"/>
        <v>45.952014753470401</v>
      </c>
      <c r="V41" s="476">
        <f t="shared" si="17"/>
        <v>2.3629742128980333</v>
      </c>
      <c r="W41" s="475">
        <f t="shared" si="5"/>
        <v>47.875231183290587</v>
      </c>
      <c r="X41" s="296">
        <f t="shared" si="20"/>
        <v>2.1675079483894102</v>
      </c>
      <c r="Y41" s="296">
        <f t="shared" si="18"/>
        <v>103.7699441207629</v>
      </c>
      <c r="Z41" s="552">
        <f t="shared" si="6"/>
        <v>43.17081783328041</v>
      </c>
      <c r="AA41" s="11">
        <f t="shared" si="7"/>
        <v>0.75</v>
      </c>
      <c r="AB41" s="296">
        <f t="shared" si="8"/>
        <v>0.91834035651281998</v>
      </c>
      <c r="AC41" s="297">
        <f t="shared" si="9"/>
        <v>0.94186000000000003</v>
      </c>
      <c r="AD41" s="297">
        <f t="shared" si="10"/>
        <v>0.27182079600000003</v>
      </c>
      <c r="AE41" s="297">
        <f t="shared" si="11"/>
        <v>4.5688133028147636E-2</v>
      </c>
      <c r="AF41" s="297">
        <f t="shared" si="12"/>
        <v>0.18391965521521281</v>
      </c>
      <c r="AG41" s="553">
        <f t="shared" si="21"/>
        <v>4.0255454321563811</v>
      </c>
      <c r="AH41" s="297">
        <f t="shared" si="13"/>
        <v>0.14883055787725818</v>
      </c>
      <c r="AI41" s="296">
        <f t="shared" si="22"/>
        <v>3.2575320551086286</v>
      </c>
      <c r="AL41" s="324">
        <v>1.25</v>
      </c>
      <c r="AM41" s="324">
        <v>-7.6</v>
      </c>
      <c r="AN41" s="324">
        <v>1.31</v>
      </c>
      <c r="AO41" s="573">
        <v>2.0499999999999998</v>
      </c>
      <c r="AP41" s="573">
        <v>2.6</v>
      </c>
      <c r="AQ41" s="324">
        <v>2.95</v>
      </c>
      <c r="AR41" s="324">
        <v>3.6</v>
      </c>
    </row>
    <row r="42" spans="1:44" ht="15" customHeight="1">
      <c r="A42" s="567">
        <v>7.8</v>
      </c>
      <c r="B42" s="569">
        <v>44</v>
      </c>
      <c r="C42" s="569">
        <v>35</v>
      </c>
      <c r="D42" s="567">
        <v>0.91</v>
      </c>
      <c r="E42" s="567">
        <v>0.85</v>
      </c>
      <c r="F42" s="569">
        <v>48</v>
      </c>
      <c r="G42" s="569">
        <v>35</v>
      </c>
      <c r="H42" s="141">
        <v>9.9000000000000005E-2</v>
      </c>
      <c r="J42"/>
      <c r="K42" s="557">
        <v>7.8</v>
      </c>
      <c r="L42" s="557">
        <f t="shared" si="24"/>
        <v>4400</v>
      </c>
      <c r="M42" s="558">
        <f t="shared" si="14"/>
        <v>125.71428571428571</v>
      </c>
      <c r="N42" s="557">
        <f t="shared" si="15"/>
        <v>18.5</v>
      </c>
      <c r="O42" s="557">
        <f t="shared" si="23"/>
        <v>8.5</v>
      </c>
      <c r="P42" s="557">
        <f t="shared" si="1"/>
        <v>144.29999999999998</v>
      </c>
      <c r="Q42" s="557">
        <f t="shared" si="2"/>
        <v>66.3</v>
      </c>
      <c r="R42" s="573"/>
      <c r="S42" s="21">
        <f t="shared" si="3"/>
        <v>2.9540213293767348</v>
      </c>
      <c r="T42" s="475">
        <f t="shared" si="4"/>
        <v>0.72952336869245626</v>
      </c>
      <c r="U42" s="475">
        <f t="shared" si="19"/>
        <v>57.435586125938123</v>
      </c>
      <c r="V42" s="476">
        <f t="shared" si="17"/>
        <v>2.4050778956416776</v>
      </c>
      <c r="W42" s="475">
        <f t="shared" si="5"/>
        <v>59.383081268446503</v>
      </c>
      <c r="X42" s="296">
        <f t="shared" si="20"/>
        <v>2.3332155757103514</v>
      </c>
      <c r="Y42" s="296">
        <f t="shared" si="18"/>
        <v>138.553530149213</v>
      </c>
      <c r="Z42" s="552">
        <f t="shared" si="6"/>
        <v>49.357930210730871</v>
      </c>
      <c r="AA42" s="11">
        <f t="shared" si="7"/>
        <v>0.75</v>
      </c>
      <c r="AB42" s="296">
        <f t="shared" si="8"/>
        <v>0.91239609368087293</v>
      </c>
      <c r="AC42" s="297">
        <f t="shared" si="9"/>
        <v>0.94033</v>
      </c>
      <c r="AD42" s="297">
        <f t="shared" si="10"/>
        <v>0.27137923799999997</v>
      </c>
      <c r="AE42" s="297">
        <f t="shared" si="11"/>
        <v>4.5911089928940198E-2</v>
      </c>
      <c r="AF42" s="297">
        <f t="shared" si="12"/>
        <v>0.32736356707421266</v>
      </c>
      <c r="AG42" s="553">
        <f t="shared" si="21"/>
        <v>7.1303810818017199</v>
      </c>
      <c r="AH42" s="297">
        <f t="shared" si="13"/>
        <v>0.22765267181281482</v>
      </c>
      <c r="AI42" s="296">
        <f t="shared" si="22"/>
        <v>4.9585551587899301</v>
      </c>
      <c r="AL42" s="324">
        <v>1.25</v>
      </c>
      <c r="AM42" s="324">
        <v>-7.8</v>
      </c>
      <c r="AN42" s="324">
        <v>1.31</v>
      </c>
      <c r="AO42" s="573">
        <v>2.0499999999999998</v>
      </c>
      <c r="AP42" s="573">
        <v>2.6</v>
      </c>
      <c r="AQ42" s="324">
        <v>2.95</v>
      </c>
      <c r="AR42" s="324">
        <v>3.6</v>
      </c>
    </row>
    <row r="43" spans="1:44" ht="15" customHeight="1">
      <c r="A43" s="527" t="s">
        <v>196</v>
      </c>
      <c r="B43" s="569">
        <v>37</v>
      </c>
      <c r="C43" s="569">
        <v>62</v>
      </c>
      <c r="D43" s="567">
        <v>0.89</v>
      </c>
      <c r="E43" s="567">
        <v>0.86</v>
      </c>
      <c r="F43" s="569">
        <v>41</v>
      </c>
      <c r="G43" s="569">
        <v>34</v>
      </c>
      <c r="H43" s="141">
        <v>8.3000000000000004E-2</v>
      </c>
      <c r="J43"/>
      <c r="K43" s="557">
        <v>8</v>
      </c>
      <c r="L43" s="557">
        <f t="shared" si="24"/>
        <v>3700</v>
      </c>
      <c r="M43" s="558">
        <f t="shared" si="14"/>
        <v>59.677419354838712</v>
      </c>
      <c r="N43" s="557">
        <f t="shared" si="15"/>
        <v>18.5</v>
      </c>
      <c r="O43" s="557">
        <f t="shared" si="23"/>
        <v>8.5</v>
      </c>
      <c r="P43" s="557">
        <f t="shared" si="1"/>
        <v>148</v>
      </c>
      <c r="Q43" s="557">
        <f t="shared" si="2"/>
        <v>68</v>
      </c>
      <c r="R43" s="573"/>
      <c r="S43" s="21">
        <f t="shared" si="3"/>
        <v>1.6801075268817203</v>
      </c>
      <c r="T43" s="475">
        <f t="shared" si="4"/>
        <v>0.70103252870335186</v>
      </c>
      <c r="U43" s="475">
        <f t="shared" si="19"/>
        <v>46.546781576791531</v>
      </c>
      <c r="V43" s="476">
        <f t="shared" si="17"/>
        <v>2.310108429011398</v>
      </c>
      <c r="W43" s="475">
        <f t="shared" si="5"/>
        <v>48.486230809157846</v>
      </c>
      <c r="X43" s="296">
        <f t="shared" si="20"/>
        <v>1.9815949488547524</v>
      </c>
      <c r="Y43" s="296">
        <f t="shared" si="18"/>
        <v>96.08007006043286</v>
      </c>
      <c r="Z43" s="552">
        <f t="shared" si="6"/>
        <v>44.028519669115866</v>
      </c>
      <c r="AA43" s="11">
        <f t="shared" si="7"/>
        <v>0.75</v>
      </c>
      <c r="AB43" s="296">
        <f t="shared" si="8"/>
        <v>0.90663936409511059</v>
      </c>
      <c r="AC43" s="297">
        <f t="shared" si="9"/>
        <v>0.93879999999999997</v>
      </c>
      <c r="AD43" s="297">
        <f t="shared" si="10"/>
        <v>0.27093767999999996</v>
      </c>
      <c r="AE43" s="297">
        <f t="shared" si="11"/>
        <v>4.6127427837703246E-2</v>
      </c>
      <c r="AF43" s="297">
        <f t="shared" si="12"/>
        <v>0.16248650102958129</v>
      </c>
      <c r="AG43" s="553">
        <f t="shared" si="21"/>
        <v>3.5225571562602815</v>
      </c>
      <c r="AH43" s="297">
        <f t="shared" si="13"/>
        <v>0.13623205822782683</v>
      </c>
      <c r="AI43" s="296">
        <f t="shared" si="22"/>
        <v>2.9533851032654943</v>
      </c>
      <c r="AL43" s="324">
        <v>1.25</v>
      </c>
      <c r="AM43" s="324">
        <v>-8</v>
      </c>
      <c r="AN43" s="324">
        <v>1.31</v>
      </c>
      <c r="AO43" s="573">
        <v>2.0499999999999998</v>
      </c>
      <c r="AP43" s="573">
        <v>2.6</v>
      </c>
      <c r="AQ43" s="324">
        <v>2.95</v>
      </c>
      <c r="AR43" s="324">
        <v>3.6</v>
      </c>
    </row>
    <row r="44" spans="1:44" ht="15" customHeight="1">
      <c r="A44" s="567">
        <v>8.1999999999999993</v>
      </c>
      <c r="B44" s="569">
        <v>49</v>
      </c>
      <c r="C44" s="569">
        <v>46</v>
      </c>
      <c r="D44" s="567">
        <v>0.92</v>
      </c>
      <c r="E44" s="567">
        <v>0.88</v>
      </c>
      <c r="F44" s="569">
        <v>51</v>
      </c>
      <c r="G44" s="569">
        <v>35</v>
      </c>
      <c r="H44" s="141">
        <v>0.105</v>
      </c>
      <c r="J44"/>
      <c r="K44" s="557">
        <v>8.1999999999999993</v>
      </c>
      <c r="L44" s="557">
        <f t="shared" si="24"/>
        <v>4900</v>
      </c>
      <c r="M44" s="558">
        <f t="shared" si="14"/>
        <v>106.52173913043478</v>
      </c>
      <c r="N44" s="557">
        <f t="shared" si="15"/>
        <v>18.5</v>
      </c>
      <c r="O44" s="557">
        <f t="shared" si="23"/>
        <v>8.5</v>
      </c>
      <c r="P44" s="557">
        <f t="shared" si="1"/>
        <v>151.69999999999999</v>
      </c>
      <c r="Q44" s="557">
        <f t="shared" si="2"/>
        <v>69.699999999999989</v>
      </c>
      <c r="R44" s="573"/>
      <c r="S44" s="21">
        <f t="shared" si="3"/>
        <v>2.2433658178808158</v>
      </c>
      <c r="T44" s="475">
        <f t="shared" si="4"/>
        <v>0.69886398367559754</v>
      </c>
      <c r="U44" s="475">
        <f t="shared" si="19"/>
        <v>61.107865674551455</v>
      </c>
      <c r="V44" s="476">
        <f t="shared" si="17"/>
        <v>2.3028799455853948</v>
      </c>
      <c r="W44" s="475">
        <f t="shared" si="5"/>
        <v>63.060156646652935</v>
      </c>
      <c r="X44" s="296">
        <f t="shared" si="20"/>
        <v>1.9580111597421599</v>
      </c>
      <c r="Y44" s="296">
        <f t="shared" si="18"/>
        <v>123.47249044923518</v>
      </c>
      <c r="Z44" s="552">
        <f t="shared" si="6"/>
        <v>51.726259604647595</v>
      </c>
      <c r="AA44" s="11">
        <f t="shared" si="7"/>
        <v>0.75</v>
      </c>
      <c r="AB44" s="296">
        <f t="shared" si="8"/>
        <v>0.90105977998333042</v>
      </c>
      <c r="AC44" s="297">
        <f t="shared" si="9"/>
        <v>0.93727000000000005</v>
      </c>
      <c r="AD44" s="297">
        <f t="shared" si="10"/>
        <v>0.27049612200000006</v>
      </c>
      <c r="AE44" s="297">
        <f t="shared" si="11"/>
        <v>4.6337419008107193E-2</v>
      </c>
      <c r="AF44" s="297">
        <f t="shared" si="12"/>
        <v>0.25506267991865778</v>
      </c>
      <c r="AG44" s="553">
        <f t="shared" si="21"/>
        <v>5.5044645424474767</v>
      </c>
      <c r="AH44" s="297">
        <f t="shared" si="13"/>
        <v>0.187199248247406</v>
      </c>
      <c r="AI44" s="296">
        <f t="shared" si="22"/>
        <v>4.0399153050508403</v>
      </c>
      <c r="AL44" s="324">
        <v>1.25</v>
      </c>
      <c r="AM44" s="324">
        <v>-8.1999999999999993</v>
      </c>
      <c r="AN44" s="324">
        <v>1.31</v>
      </c>
      <c r="AO44" s="573">
        <v>2.0499999999999998</v>
      </c>
      <c r="AP44" s="573">
        <v>2.6</v>
      </c>
      <c r="AQ44" s="324">
        <v>2.95</v>
      </c>
      <c r="AR44" s="324">
        <v>3.6</v>
      </c>
    </row>
    <row r="45" spans="1:44" ht="15" customHeight="1">
      <c r="A45" s="567">
        <v>8.4</v>
      </c>
      <c r="B45" s="569">
        <v>56</v>
      </c>
      <c r="C45" s="569">
        <v>40</v>
      </c>
      <c r="D45" s="567">
        <v>0.93</v>
      </c>
      <c r="E45" s="567">
        <v>0.9</v>
      </c>
      <c r="F45" s="569">
        <v>55</v>
      </c>
      <c r="G45" s="569">
        <v>36</v>
      </c>
      <c r="H45" s="141">
        <v>0.11600000000000001</v>
      </c>
      <c r="J45"/>
      <c r="K45" s="557">
        <v>8.4</v>
      </c>
      <c r="L45" s="557">
        <f t="shared" si="24"/>
        <v>5600</v>
      </c>
      <c r="M45" s="558">
        <f t="shared" si="14"/>
        <v>140</v>
      </c>
      <c r="N45" s="557">
        <f t="shared" si="15"/>
        <v>18.5</v>
      </c>
      <c r="O45" s="557">
        <f t="shared" si="23"/>
        <v>8.5</v>
      </c>
      <c r="P45" s="557">
        <f t="shared" si="1"/>
        <v>155.4</v>
      </c>
      <c r="Q45" s="557">
        <f t="shared" si="2"/>
        <v>71.400000000000006</v>
      </c>
      <c r="R45" s="573"/>
      <c r="S45" s="21">
        <f t="shared" si="3"/>
        <v>2.5713551041398817</v>
      </c>
      <c r="T45" s="475">
        <f t="shared" si="4"/>
        <v>0.69993125469993678</v>
      </c>
      <c r="U45" s="475">
        <f t="shared" si="19"/>
        <v>68.923476163690708</v>
      </c>
      <c r="V45" s="476">
        <f t="shared" si="17"/>
        <v>2.3064375156664836</v>
      </c>
      <c r="W45" s="475">
        <f t="shared" si="5"/>
        <v>70.890692891427818</v>
      </c>
      <c r="X45" s="296">
        <f t="shared" si="20"/>
        <v>1.9695642992803322</v>
      </c>
      <c r="Y45" s="296">
        <f t="shared" si="18"/>
        <v>139.62377787020225</v>
      </c>
      <c r="Z45" s="552">
        <f t="shared" si="6"/>
        <v>55.208368793795472</v>
      </c>
      <c r="AA45" s="11">
        <f t="shared" si="7"/>
        <v>0.75</v>
      </c>
      <c r="AB45" s="296">
        <f t="shared" si="8"/>
        <v>0.89564776476012919</v>
      </c>
      <c r="AC45" s="297">
        <f t="shared" si="9"/>
        <v>0.93574000000000002</v>
      </c>
      <c r="AD45" s="297">
        <f t="shared" si="10"/>
        <v>0.270054564</v>
      </c>
      <c r="AE45" s="297">
        <f t="shared" si="11"/>
        <v>4.6541317860516761E-2</v>
      </c>
      <c r="AF45" s="297">
        <f t="shared" si="12"/>
        <v>0.3331401906261437</v>
      </c>
      <c r="AG45" s="553">
        <f t="shared" si="21"/>
        <v>7.1579449388295586</v>
      </c>
      <c r="AH45" s="297">
        <f t="shared" si="13"/>
        <v>0.23113719688657178</v>
      </c>
      <c r="AI45" s="296">
        <f t="shared" si="22"/>
        <v>4.9662795879412895</v>
      </c>
      <c r="AL45" s="324">
        <v>1.25</v>
      </c>
      <c r="AM45" s="324">
        <v>-8.4</v>
      </c>
      <c r="AN45" s="324">
        <v>1.31</v>
      </c>
      <c r="AO45" s="573">
        <v>2.0499999999999998</v>
      </c>
      <c r="AP45" s="573">
        <v>2.6</v>
      </c>
      <c r="AQ45" s="324">
        <v>2.95</v>
      </c>
      <c r="AR45" s="324">
        <v>3.6</v>
      </c>
    </row>
    <row r="46" spans="1:44" ht="15" customHeight="1">
      <c r="A46" s="567">
        <v>8.6</v>
      </c>
      <c r="B46" s="569">
        <v>55</v>
      </c>
      <c r="C46" s="569">
        <v>46</v>
      </c>
      <c r="D46" s="567">
        <v>0.93</v>
      </c>
      <c r="E46" s="567">
        <v>0.92</v>
      </c>
      <c r="F46" s="569">
        <v>54</v>
      </c>
      <c r="G46" s="569">
        <v>35</v>
      </c>
      <c r="H46" s="141">
        <v>0.113</v>
      </c>
      <c r="J46"/>
      <c r="K46" s="557">
        <v>8.6</v>
      </c>
      <c r="L46" s="557">
        <f t="shared" si="24"/>
        <v>5500</v>
      </c>
      <c r="M46" s="558">
        <f t="shared" si="14"/>
        <v>119.56521739130434</v>
      </c>
      <c r="N46" s="557">
        <f t="shared" si="15"/>
        <v>18.5</v>
      </c>
      <c r="O46" s="557">
        <f t="shared" si="23"/>
        <v>8.5</v>
      </c>
      <c r="P46" s="557">
        <f t="shared" si="1"/>
        <v>159.1</v>
      </c>
      <c r="Q46" s="557">
        <f t="shared" si="2"/>
        <v>73.099999999999994</v>
      </c>
      <c r="R46" s="573"/>
      <c r="S46" s="21">
        <f t="shared" si="3"/>
        <v>2.2386717105975467</v>
      </c>
      <c r="T46" s="475">
        <f t="shared" si="4"/>
        <v>0.69091837800079858</v>
      </c>
      <c r="U46" s="475">
        <f t="shared" si="19"/>
        <v>66.318765250324105</v>
      </c>
      <c r="V46" s="476">
        <f t="shared" si="17"/>
        <v>2.2763945933360139</v>
      </c>
      <c r="W46" s="475">
        <f t="shared" si="5"/>
        <v>68.294334077923679</v>
      </c>
      <c r="X46" s="296">
        <f t="shared" si="20"/>
        <v>1.8752316219988749</v>
      </c>
      <c r="Y46" s="296">
        <f t="shared" si="18"/>
        <v>128.06769486627786</v>
      </c>
      <c r="Z46" s="552">
        <f t="shared" si="6"/>
        <v>54.354664067010702</v>
      </c>
      <c r="AA46" s="11">
        <f t="shared" si="7"/>
        <v>0.75</v>
      </c>
      <c r="AB46" s="296">
        <f t="shared" si="8"/>
        <v>0.89039447213071388</v>
      </c>
      <c r="AC46" s="297">
        <f t="shared" si="9"/>
        <v>0.93420999999999998</v>
      </c>
      <c r="AD46" s="297">
        <f t="shared" si="10"/>
        <v>0.26961300599999999</v>
      </c>
      <c r="AE46" s="297">
        <f t="shared" si="11"/>
        <v>4.6739362549608351E-2</v>
      </c>
      <c r="AF46" s="297">
        <f t="shared" si="12"/>
        <v>0.27534474212273802</v>
      </c>
      <c r="AG46" s="553">
        <f t="shared" si="21"/>
        <v>5.8910675521193054</v>
      </c>
      <c r="AH46" s="297">
        <f t="shared" si="13"/>
        <v>0.19810674572663728</v>
      </c>
      <c r="AI46" s="296">
        <f t="shared" si="22"/>
        <v>4.2385418824736902</v>
      </c>
      <c r="AL46" s="324">
        <v>1.25</v>
      </c>
      <c r="AM46" s="324">
        <v>-8.6</v>
      </c>
      <c r="AN46" s="324">
        <v>1.31</v>
      </c>
      <c r="AO46" s="573">
        <v>2.0499999999999998</v>
      </c>
      <c r="AP46" s="573">
        <v>2.6</v>
      </c>
      <c r="AQ46" s="324">
        <v>2.95</v>
      </c>
      <c r="AR46" s="324">
        <v>3.6</v>
      </c>
    </row>
    <row r="47" spans="1:44" ht="15" customHeight="1">
      <c r="A47" s="567">
        <v>8.8000000000000007</v>
      </c>
      <c r="B47" s="569">
        <v>66</v>
      </c>
      <c r="C47" s="569">
        <v>49</v>
      </c>
      <c r="D47" s="567">
        <v>0.94</v>
      </c>
      <c r="E47" s="567">
        <v>0.94</v>
      </c>
      <c r="F47" s="569">
        <v>59</v>
      </c>
      <c r="G47" s="569">
        <v>36</v>
      </c>
      <c r="H47" s="141">
        <v>0.128</v>
      </c>
      <c r="J47"/>
      <c r="K47" s="557">
        <v>8.8000000000000007</v>
      </c>
      <c r="L47" s="557">
        <f t="shared" si="24"/>
        <v>6600</v>
      </c>
      <c r="M47" s="558">
        <f t="shared" si="14"/>
        <v>134.69387755102042</v>
      </c>
      <c r="N47" s="557">
        <f t="shared" si="15"/>
        <v>18.5</v>
      </c>
      <c r="O47" s="557">
        <f t="shared" si="23"/>
        <v>8.5</v>
      </c>
      <c r="P47" s="557">
        <f t="shared" si="1"/>
        <v>162.80000000000001</v>
      </c>
      <c r="Q47" s="557">
        <f t="shared" si="2"/>
        <v>74.800000000000011</v>
      </c>
      <c r="R47" s="573"/>
      <c r="S47" s="21">
        <f t="shared" si="3"/>
        <v>2.0924295897443055</v>
      </c>
      <c r="T47" s="475">
        <f t="shared" si="4"/>
        <v>0.6693761918967901</v>
      </c>
      <c r="U47" s="475">
        <f t="shared" si="19"/>
        <v>78.181549007288581</v>
      </c>
      <c r="V47" s="476">
        <f t="shared" si="17"/>
        <v>2.2045873063226424</v>
      </c>
      <c r="W47" s="475">
        <f t="shared" si="5"/>
        <v>80.158799392298619</v>
      </c>
      <c r="X47" s="296">
        <f t="shared" si="20"/>
        <v>1.6780818878769672</v>
      </c>
      <c r="Y47" s="296">
        <f t="shared" si="18"/>
        <v>134.51302941417956</v>
      </c>
      <c r="Z47" s="552">
        <f t="shared" si="6"/>
        <v>59.251147016236104</v>
      </c>
      <c r="AA47" s="11">
        <f t="shared" si="7"/>
        <v>0.75</v>
      </c>
      <c r="AB47" s="296">
        <f t="shared" si="8"/>
        <v>0.88529171493220016</v>
      </c>
      <c r="AC47" s="297">
        <f t="shared" si="9"/>
        <v>0.93267999999999995</v>
      </c>
      <c r="AD47" s="297">
        <f t="shared" si="10"/>
        <v>0.26917144799999992</v>
      </c>
      <c r="AE47" s="297">
        <f t="shared" si="11"/>
        <v>4.6931776360957599E-2</v>
      </c>
      <c r="AF47" s="297">
        <f t="shared" si="12"/>
        <v>0.30634766029114746</v>
      </c>
      <c r="AG47" s="553">
        <f t="shared" si="21"/>
        <v>6.5275104427114155</v>
      </c>
      <c r="AH47" s="297">
        <f t="shared" si="13"/>
        <v>0.21536011356479459</v>
      </c>
      <c r="AI47" s="296">
        <f t="shared" si="22"/>
        <v>4.5887910124781044</v>
      </c>
      <c r="AL47" s="324">
        <v>1.25</v>
      </c>
      <c r="AM47" s="324">
        <v>-8.8000000000000007</v>
      </c>
      <c r="AN47" s="324">
        <v>1.31</v>
      </c>
      <c r="AO47" s="573">
        <v>2.0499999999999998</v>
      </c>
      <c r="AP47" s="573">
        <v>2.6</v>
      </c>
      <c r="AQ47" s="324">
        <v>2.95</v>
      </c>
      <c r="AR47" s="324">
        <v>3.6</v>
      </c>
    </row>
    <row r="48" spans="1:44" ht="15" customHeight="1">
      <c r="A48" s="527" t="s">
        <v>197</v>
      </c>
      <c r="B48" s="569">
        <v>50</v>
      </c>
      <c r="C48" s="569">
        <v>34</v>
      </c>
      <c r="D48" s="567">
        <v>0.92</v>
      </c>
      <c r="E48" s="567">
        <v>0.96</v>
      </c>
      <c r="F48" s="569">
        <v>49</v>
      </c>
      <c r="G48" s="569">
        <v>35</v>
      </c>
      <c r="H48" s="141">
        <v>0.10199999999999999</v>
      </c>
      <c r="J48"/>
      <c r="K48" s="557">
        <v>9</v>
      </c>
      <c r="L48" s="557">
        <f t="shared" si="24"/>
        <v>5000</v>
      </c>
      <c r="M48" s="558">
        <f t="shared" si="14"/>
        <v>147.05882352941177</v>
      </c>
      <c r="N48" s="557">
        <f t="shared" si="15"/>
        <v>18.5</v>
      </c>
      <c r="O48" s="557">
        <f t="shared" si="23"/>
        <v>8.5</v>
      </c>
      <c r="P48" s="557">
        <f t="shared" si="1"/>
        <v>166.5</v>
      </c>
      <c r="Q48" s="557">
        <f t="shared" si="2"/>
        <v>76.5</v>
      </c>
      <c r="R48" s="573"/>
      <c r="S48" s="21">
        <f t="shared" si="3"/>
        <v>3.0424914353866095</v>
      </c>
      <c r="T48" s="475">
        <f t="shared" si="4"/>
        <v>0.73010365978438208</v>
      </c>
      <c r="U48" s="475">
        <f t="shared" si="19"/>
        <v>58.776122894144322</v>
      </c>
      <c r="V48" s="476">
        <f t="shared" si="17"/>
        <v>2.4070121992812763</v>
      </c>
      <c r="W48" s="475">
        <f t="shared" si="5"/>
        <v>60.800789173626072</v>
      </c>
      <c r="X48" s="296">
        <f t="shared" si="20"/>
        <v>2.3412187645957339</v>
      </c>
      <c r="Y48" s="296">
        <f t="shared" si="18"/>
        <v>142.34794851552249</v>
      </c>
      <c r="Z48" s="552">
        <f t="shared" si="6"/>
        <v>50.971192926107875</v>
      </c>
      <c r="AA48" s="11">
        <f t="shared" si="7"/>
        <v>0.75</v>
      </c>
      <c r="AB48" s="296">
        <f t="shared" si="8"/>
        <v>0.88033190234827263</v>
      </c>
      <c r="AC48" s="297">
        <f t="shared" si="9"/>
        <v>0.93115000000000003</v>
      </c>
      <c r="AD48" s="297">
        <f t="shared" si="10"/>
        <v>0.26872988999999997</v>
      </c>
      <c r="AE48" s="297">
        <f t="shared" si="11"/>
        <v>4.7118768958708653E-2</v>
      </c>
      <c r="AF48" s="297">
        <f t="shared" si="12"/>
        <v>0.34824805784529977</v>
      </c>
      <c r="AG48" s="553">
        <f t="shared" si="21"/>
        <v>7.3908564578687992</v>
      </c>
      <c r="AH48" s="297">
        <f t="shared" si="13"/>
        <v>0.24049631318575543</v>
      </c>
      <c r="AI48" s="296">
        <f t="shared" si="22"/>
        <v>5.1040449167190323</v>
      </c>
      <c r="AL48" s="324">
        <v>1.25</v>
      </c>
      <c r="AM48" s="324">
        <v>-9</v>
      </c>
      <c r="AN48" s="324">
        <v>1.31</v>
      </c>
      <c r="AO48" s="573">
        <v>2.0499999999999998</v>
      </c>
      <c r="AP48" s="573">
        <v>2.6</v>
      </c>
      <c r="AQ48" s="324">
        <v>2.95</v>
      </c>
      <c r="AR48" s="324">
        <v>3.6</v>
      </c>
    </row>
    <row r="49" spans="1:49" ht="15" customHeight="1">
      <c r="A49" s="567">
        <v>9.1999999999999993</v>
      </c>
      <c r="B49" s="569">
        <v>64</v>
      </c>
      <c r="C49" s="569">
        <v>44</v>
      </c>
      <c r="D49" s="567">
        <v>0.94</v>
      </c>
      <c r="E49" s="567">
        <v>0.97</v>
      </c>
      <c r="F49" s="569">
        <v>57</v>
      </c>
      <c r="G49" s="569">
        <v>36</v>
      </c>
      <c r="H49" s="141">
        <v>0.123</v>
      </c>
      <c r="J49"/>
      <c r="K49" s="557">
        <v>9.1999999999999993</v>
      </c>
      <c r="L49" s="557">
        <f t="shared" si="24"/>
        <v>6400</v>
      </c>
      <c r="M49" s="558">
        <f t="shared" si="14"/>
        <v>145.45454545454547</v>
      </c>
      <c r="N49" s="557">
        <f t="shared" si="15"/>
        <v>18.5</v>
      </c>
      <c r="O49" s="557">
        <f t="shared" si="23"/>
        <v>8.5</v>
      </c>
      <c r="P49" s="557">
        <f t="shared" si="1"/>
        <v>170.2</v>
      </c>
      <c r="Q49" s="557">
        <f t="shared" si="2"/>
        <v>78.199999999999989</v>
      </c>
      <c r="R49" s="573"/>
      <c r="S49" s="21">
        <f t="shared" si="3"/>
        <v>2.3348188618341754</v>
      </c>
      <c r="T49" s="475">
        <f t="shared" si="4"/>
        <v>0.68484409828191906</v>
      </c>
      <c r="U49" s="475">
        <f t="shared" si="19"/>
        <v>73.724329132155148</v>
      </c>
      <c r="V49" s="476">
        <f t="shared" si="17"/>
        <v>2.2561469942730654</v>
      </c>
      <c r="W49" s="475">
        <f t="shared" si="5"/>
        <v>75.738499862883714</v>
      </c>
      <c r="X49" s="296">
        <f t="shared" si="20"/>
        <v>1.8157002203180248</v>
      </c>
      <c r="Y49" s="296">
        <f t="shared" si="18"/>
        <v>137.51841088759465</v>
      </c>
      <c r="Z49" s="552">
        <f t="shared" si="6"/>
        <v>57.732055431961584</v>
      </c>
      <c r="AA49" s="11">
        <f t="shared" si="7"/>
        <v>0.75</v>
      </c>
      <c r="AB49" s="296">
        <f t="shared" si="8"/>
        <v>0.87550798434989729</v>
      </c>
      <c r="AC49" s="297">
        <f t="shared" si="9"/>
        <v>0.92835999999999996</v>
      </c>
      <c r="AD49" s="297">
        <f t="shared" si="10"/>
        <v>0.26792469600000002</v>
      </c>
      <c r="AE49" s="297">
        <f t="shared" si="11"/>
        <v>4.723642670814486E-2</v>
      </c>
      <c r="AF49" s="297">
        <f t="shared" si="12"/>
        <v>0.32186079943432394</v>
      </c>
      <c r="AG49" s="553">
        <f t="shared" si="21"/>
        <v>6.8138261478365862</v>
      </c>
      <c r="AH49" s="297">
        <f t="shared" si="13"/>
        <v>0.22437794945871806</v>
      </c>
      <c r="AI49" s="296">
        <f t="shared" si="22"/>
        <v>4.7501042118418564</v>
      </c>
      <c r="AL49" s="324">
        <v>1.25</v>
      </c>
      <c r="AM49" s="324">
        <v>-9.1999999999999993</v>
      </c>
      <c r="AN49" s="324">
        <v>1.31</v>
      </c>
      <c r="AO49" s="573">
        <v>2.0499999999999998</v>
      </c>
      <c r="AP49" s="573">
        <v>2.6</v>
      </c>
      <c r="AQ49" s="324">
        <v>2.95</v>
      </c>
      <c r="AR49" s="324">
        <v>3.6</v>
      </c>
    </row>
    <row r="50" spans="1:49" ht="15" customHeight="1">
      <c r="A50" s="567">
        <v>9.4</v>
      </c>
      <c r="B50" s="569">
        <v>68</v>
      </c>
      <c r="C50" s="569">
        <v>42</v>
      </c>
      <c r="D50" s="567">
        <v>0.95</v>
      </c>
      <c r="E50" s="567">
        <v>0.99</v>
      </c>
      <c r="F50" s="569">
        <v>59</v>
      </c>
      <c r="G50" s="569">
        <v>36</v>
      </c>
      <c r="H50" s="141">
        <v>0.127</v>
      </c>
      <c r="J50"/>
      <c r="K50" s="557">
        <v>9.4</v>
      </c>
      <c r="L50" s="557">
        <f t="shared" si="24"/>
        <v>6800</v>
      </c>
      <c r="M50" s="558">
        <f t="shared" si="14"/>
        <v>161.9047619047619</v>
      </c>
      <c r="N50" s="557">
        <f t="shared" si="15"/>
        <v>18.5</v>
      </c>
      <c r="O50" s="557">
        <f t="shared" si="23"/>
        <v>8.5</v>
      </c>
      <c r="P50" s="557">
        <f t="shared" si="1"/>
        <v>173.9</v>
      </c>
      <c r="Q50" s="557">
        <f t="shared" si="2"/>
        <v>79.900000000000006</v>
      </c>
      <c r="R50" s="573"/>
      <c r="S50" s="21">
        <f t="shared" si="3"/>
        <v>2.4434397595080348</v>
      </c>
      <c r="T50" s="475">
        <f t="shared" si="4"/>
        <v>0.68472678955350563</v>
      </c>
      <c r="U50" s="475">
        <f t="shared" si="19"/>
        <v>77.265713044167882</v>
      </c>
      <c r="V50" s="476">
        <f t="shared" si="17"/>
        <v>2.2557559651783525</v>
      </c>
      <c r="W50" s="475">
        <f t="shared" si="5"/>
        <v>79.29352842552052</v>
      </c>
      <c r="X50" s="296">
        <f t="shared" si="20"/>
        <v>1.8145818004449232</v>
      </c>
      <c r="Y50" s="296">
        <f t="shared" si="18"/>
        <v>143.88459357401172</v>
      </c>
      <c r="Z50" s="552">
        <f t="shared" si="6"/>
        <v>59.16154452124988</v>
      </c>
      <c r="AA50" s="11">
        <f t="shared" si="7"/>
        <v>0.75</v>
      </c>
      <c r="AB50" s="296">
        <f t="shared" si="8"/>
        <v>0.87081340239323546</v>
      </c>
      <c r="AC50" s="297">
        <f t="shared" si="9"/>
        <v>0.92301999999999995</v>
      </c>
      <c r="AD50" s="297">
        <f t="shared" si="10"/>
        <v>0.26638357199999996</v>
      </c>
      <c r="AE50" s="297">
        <f t="shared" si="11"/>
        <v>4.72179073045388E-2</v>
      </c>
      <c r="AF50" s="297">
        <f t="shared" si="12"/>
        <v>0.35702938107270843</v>
      </c>
      <c r="AG50" s="553">
        <f t="shared" si="21"/>
        <v>7.5613131003454939</v>
      </c>
      <c r="AH50" s="297">
        <f t="shared" si="13"/>
        <v>0.24611396057021506</v>
      </c>
      <c r="AI50" s="296">
        <f t="shared" si="22"/>
        <v>5.2123013199815711</v>
      </c>
      <c r="AL50" s="324">
        <v>1.25</v>
      </c>
      <c r="AM50" s="324">
        <v>-9.4</v>
      </c>
      <c r="AN50" s="324">
        <v>1.31</v>
      </c>
      <c r="AO50" s="573">
        <v>2.0499999999999998</v>
      </c>
      <c r="AP50" s="573">
        <v>2.6</v>
      </c>
      <c r="AQ50" s="324">
        <v>2.95</v>
      </c>
      <c r="AR50" s="324">
        <v>3.6</v>
      </c>
    </row>
    <row r="51" spans="1:49" ht="15.75" customHeight="1" thickBot="1">
      <c r="A51" s="567">
        <v>9.6</v>
      </c>
      <c r="B51" s="569">
        <v>72</v>
      </c>
      <c r="C51" s="570" t="s">
        <v>178</v>
      </c>
      <c r="D51" s="567">
        <v>0.95</v>
      </c>
      <c r="E51" s="567">
        <v>1.01</v>
      </c>
      <c r="F51" s="569">
        <v>60</v>
      </c>
      <c r="G51" s="569">
        <v>36</v>
      </c>
      <c r="H51" s="141">
        <v>0.13200000000000001</v>
      </c>
      <c r="J51"/>
      <c r="K51" s="557">
        <v>9.6</v>
      </c>
      <c r="L51" s="557">
        <f t="shared" si="24"/>
        <v>7200</v>
      </c>
      <c r="M51" s="557"/>
      <c r="N51" s="557">
        <f t="shared" si="15"/>
        <v>18.5</v>
      </c>
      <c r="O51" s="557">
        <f t="shared" si="23"/>
        <v>8.5</v>
      </c>
      <c r="P51" s="557">
        <f t="shared" si="1"/>
        <v>177.6</v>
      </c>
      <c r="Q51" s="557">
        <f t="shared" si="2"/>
        <v>81.599999999999994</v>
      </c>
      <c r="R51" s="573"/>
      <c r="S51" s="21">
        <f t="shared" si="3"/>
        <v>0</v>
      </c>
      <c r="T51" s="475" t="e">
        <f t="shared" si="4"/>
        <v>#NUM!</v>
      </c>
      <c r="U51" s="475" t="e">
        <f t="shared" si="19"/>
        <v>#NUM!</v>
      </c>
      <c r="V51" s="476"/>
      <c r="W51" s="475" t="e">
        <f t="shared" si="5"/>
        <v>#NUM!</v>
      </c>
      <c r="X51" s="296">
        <f t="shared" si="20"/>
        <v>-17.88</v>
      </c>
      <c r="Y51" s="490" t="e">
        <f t="shared" si="18"/>
        <v>#NUM!</v>
      </c>
      <c r="Z51" s="552">
        <f t="shared" si="6"/>
        <v>60.49816952558632</v>
      </c>
      <c r="AA51" s="11">
        <f t="shared" si="7"/>
        <v>0.75</v>
      </c>
      <c r="AB51" s="296">
        <f t="shared" si="8"/>
        <v>0.86624204555342388</v>
      </c>
      <c r="AC51" s="297">
        <f t="shared" si="9"/>
        <v>0.91767999999999994</v>
      </c>
      <c r="AD51" s="297">
        <f t="shared" si="10"/>
        <v>0.26484244800000001</v>
      </c>
      <c r="AE51" s="297">
        <f t="shared" si="11"/>
        <v>4.7192472937804215E-2</v>
      </c>
      <c r="AF51" s="297" t="e">
        <f>IF(Y51&lt;160,93*(Y51/1000)^3+0.08,0)</f>
        <v>#NUM!</v>
      </c>
      <c r="AG51" s="553"/>
      <c r="AH51" s="11" t="e">
        <f t="shared" si="13"/>
        <v>#NUM!</v>
      </c>
      <c r="AI51" s="11"/>
      <c r="AL51" s="324">
        <v>1.25</v>
      </c>
      <c r="AM51" s="324">
        <v>-9.6</v>
      </c>
      <c r="AN51" s="324">
        <v>1.31</v>
      </c>
      <c r="AO51" s="573">
        <v>2.0499999999999998</v>
      </c>
      <c r="AP51" s="573">
        <v>2.6</v>
      </c>
      <c r="AQ51" s="324">
        <v>2.95</v>
      </c>
      <c r="AR51" s="324">
        <v>3.6</v>
      </c>
    </row>
    <row r="52" spans="1:49">
      <c r="T52" s="550"/>
      <c r="AR52" s="207"/>
      <c r="AS52" s="207"/>
      <c r="AT52" s="207"/>
      <c r="AU52" s="207"/>
      <c r="AV52" s="207"/>
      <c r="AW52" s="207"/>
    </row>
    <row r="56" spans="1:49">
      <c r="M56" s="695" t="s">
        <v>600</v>
      </c>
      <c r="N56" s="695"/>
      <c r="O56" s="695"/>
      <c r="P56" s="695" t="s">
        <v>601</v>
      </c>
      <c r="Q56" s="695"/>
      <c r="R56" s="695"/>
      <c r="S56" s="695" t="s">
        <v>602</v>
      </c>
      <c r="T56" s="695"/>
      <c r="U56" s="695"/>
      <c r="V56" s="695" t="s">
        <v>603</v>
      </c>
      <c r="W56" s="695"/>
      <c r="X56" s="695"/>
      <c r="Y56" s="697" t="s">
        <v>604</v>
      </c>
      <c r="Z56" s="698"/>
      <c r="AA56" s="699"/>
      <c r="AB56" s="695" t="s">
        <v>605</v>
      </c>
      <c r="AC56" s="695"/>
      <c r="AD56" s="695"/>
      <c r="AE56" s="695" t="s">
        <v>606</v>
      </c>
      <c r="AF56" s="695"/>
      <c r="AG56" s="695"/>
      <c r="AH56" s="695" t="s">
        <v>607</v>
      </c>
      <c r="AI56" s="695"/>
      <c r="AJ56" s="695"/>
    </row>
    <row r="57" spans="1:49">
      <c r="K57" s="543" t="s">
        <v>594</v>
      </c>
      <c r="L57" s="543" t="s">
        <v>598</v>
      </c>
      <c r="M57" s="543" t="s">
        <v>529</v>
      </c>
      <c r="N57" s="543" t="s">
        <v>599</v>
      </c>
      <c r="O57" s="543" t="s">
        <v>598</v>
      </c>
      <c r="P57" s="543" t="s">
        <v>529</v>
      </c>
      <c r="Q57" s="543" t="s">
        <v>599</v>
      </c>
      <c r="R57" s="543" t="s">
        <v>598</v>
      </c>
      <c r="S57" s="543" t="s">
        <v>529</v>
      </c>
      <c r="T57" s="543" t="s">
        <v>599</v>
      </c>
      <c r="U57" s="543" t="s">
        <v>598</v>
      </c>
      <c r="V57" s="543" t="s">
        <v>529</v>
      </c>
      <c r="W57" s="543" t="s">
        <v>599</v>
      </c>
      <c r="X57" s="543" t="s">
        <v>598</v>
      </c>
      <c r="Y57" s="543" t="s">
        <v>529</v>
      </c>
      <c r="Z57" s="543" t="s">
        <v>599</v>
      </c>
      <c r="AA57" s="543" t="s">
        <v>598</v>
      </c>
      <c r="AB57" s="543" t="s">
        <v>529</v>
      </c>
      <c r="AC57" s="543" t="s">
        <v>599</v>
      </c>
      <c r="AD57" s="543" t="s">
        <v>598</v>
      </c>
      <c r="AE57" s="543" t="s">
        <v>529</v>
      </c>
      <c r="AF57" s="543" t="s">
        <v>599</v>
      </c>
      <c r="AG57" s="543" t="s">
        <v>598</v>
      </c>
      <c r="AH57" s="543" t="s">
        <v>529</v>
      </c>
      <c r="AI57" s="543" t="s">
        <v>599</v>
      </c>
      <c r="AJ57" s="543" t="s">
        <v>598</v>
      </c>
    </row>
    <row r="58" spans="1:49">
      <c r="K58" s="540" t="s">
        <v>176</v>
      </c>
      <c r="L58" s="540" t="s">
        <v>176</v>
      </c>
      <c r="M58" s="540" t="s">
        <v>176</v>
      </c>
      <c r="N58" s="540" t="s">
        <v>176</v>
      </c>
      <c r="O58" s="540" t="s">
        <v>176</v>
      </c>
      <c r="P58" s="540" t="s">
        <v>176</v>
      </c>
      <c r="Q58" s="540" t="s">
        <v>176</v>
      </c>
      <c r="R58" s="540" t="s">
        <v>176</v>
      </c>
      <c r="S58" s="540" t="s">
        <v>176</v>
      </c>
      <c r="T58" s="540" t="s">
        <v>176</v>
      </c>
      <c r="U58" s="540" t="s">
        <v>176</v>
      </c>
      <c r="V58" s="540" t="s">
        <v>176</v>
      </c>
      <c r="W58" s="540" t="s">
        <v>176</v>
      </c>
      <c r="X58" s="540" t="s">
        <v>176</v>
      </c>
      <c r="Y58" s="540" t="s">
        <v>176</v>
      </c>
      <c r="Z58" s="540" t="s">
        <v>176</v>
      </c>
      <c r="AA58" s="540" t="s">
        <v>176</v>
      </c>
      <c r="AB58" s="540" t="s">
        <v>176</v>
      </c>
      <c r="AC58" s="540" t="s">
        <v>176</v>
      </c>
      <c r="AD58" s="540" t="s">
        <v>176</v>
      </c>
      <c r="AE58" s="540" t="s">
        <v>176</v>
      </c>
      <c r="AF58" s="540" t="s">
        <v>176</v>
      </c>
      <c r="AG58" s="540" t="s">
        <v>176</v>
      </c>
      <c r="AH58" s="540" t="s">
        <v>176</v>
      </c>
      <c r="AI58" s="540" t="s">
        <v>176</v>
      </c>
      <c r="AJ58" s="540" t="s">
        <v>176</v>
      </c>
    </row>
    <row r="59" spans="1:49">
      <c r="K59" s="278">
        <f t="shared" ref="K59:K106" si="25">((L4-P4)/$R$4)*(($R$4/Q4)^$R$10)</f>
        <v>431.43243243243239</v>
      </c>
      <c r="L59" s="11" t="e">
        <f t="shared" ref="L59:L106" si="26">((3.47-LOG(K59))^2+(LOG(S4)+1.22)^2)^0.5</f>
        <v>#VALUE!</v>
      </c>
      <c r="M59" s="11" t="e">
        <f>((L59-1.64)*0.3)+0.5</f>
        <v>#VALUE!</v>
      </c>
      <c r="N59" s="11" t="e">
        <f t="shared" ref="N59:N106" si="27">((L4-P4)/$R$4)*(($R$4/Q4)^M59)</f>
        <v>#VALUE!</v>
      </c>
      <c r="O59" s="296" t="e">
        <f t="shared" ref="O59:O106" si="28">((3.47-LOG(N59))^2+(LOG(S4)+1.22)^2)^0.5</f>
        <v>#VALUE!</v>
      </c>
      <c r="P59" s="11" t="e">
        <f>((O59-1.64)*0.3)+0.5</f>
        <v>#VALUE!</v>
      </c>
      <c r="Q59" s="296" t="e">
        <f t="shared" ref="Q59:Q106" si="29">(($L4-$P4)/$R$4)*(($R$4/$Q4)^P59)</f>
        <v>#VALUE!</v>
      </c>
      <c r="R59" s="296" t="e">
        <f t="shared" ref="R59:R106" si="30">((3.47-LOG(Q59))^2+(LOG($S4)+1.22)^2)^0.5</f>
        <v>#VALUE!</v>
      </c>
      <c r="S59" s="296" t="e">
        <f>((R59-1.64)*0.3)+0.5</f>
        <v>#VALUE!</v>
      </c>
      <c r="T59" s="296" t="e">
        <f t="shared" ref="T59:T106" si="31">(($L4-$P4)/$R$4)*(($R$4/$Q4)^S59)</f>
        <v>#VALUE!</v>
      </c>
      <c r="U59" s="296" t="e">
        <f t="shared" ref="U59:U106" si="32">((3.47-LOG(T59))^2+(LOG($S4)+1.22)^2)^0.5</f>
        <v>#VALUE!</v>
      </c>
      <c r="V59" s="296" t="e">
        <f t="shared" ref="V59:V106" si="33">((U59-1.64)*0.3)+0.5</f>
        <v>#VALUE!</v>
      </c>
      <c r="W59" s="296" t="e">
        <f t="shared" ref="W59:W106" si="34">(($L4-$P4)/$R$4)*(($R$4/$Q4)^V59)</f>
        <v>#VALUE!</v>
      </c>
      <c r="X59" s="296" t="e">
        <f t="shared" ref="X59:X106" si="35">((3.47-LOG(W59))^2+(LOG($S4)+1.22)^2)^0.5</f>
        <v>#VALUE!</v>
      </c>
      <c r="Y59" s="296" t="e">
        <f t="shared" ref="Y59:Y106" si="36">((X59-1.64)*0.3)+0.5</f>
        <v>#VALUE!</v>
      </c>
      <c r="Z59" s="296" t="e">
        <f t="shared" ref="Z59:Z106" si="37">(($L4-$P4)/$R$4)*(($R$4/$Q4)^Y59)</f>
        <v>#VALUE!</v>
      </c>
      <c r="AA59" s="296" t="e">
        <f t="shared" ref="AA59:AA106" si="38">((3.47-LOG(Z59))^2+(LOG($S4)+1.22)^2)^0.5</f>
        <v>#VALUE!</v>
      </c>
      <c r="AB59" s="296" t="e">
        <f t="shared" ref="AB59:AB106" si="39">((AA59-1.64)*0.3)+0.5</f>
        <v>#VALUE!</v>
      </c>
      <c r="AC59" s="296" t="e">
        <f t="shared" ref="AC59:AC106" si="40">(($L4-$P4)/$R$4)*(($R$4/$Q4)^AB59)</f>
        <v>#VALUE!</v>
      </c>
      <c r="AD59" s="296" t="e">
        <f t="shared" ref="AD59:AD106" si="41">((3.47-LOG(AC59))^2+(LOG($S4)+1.22)^2)^0.5</f>
        <v>#VALUE!</v>
      </c>
      <c r="AE59" s="296" t="e">
        <f t="shared" ref="AE59:AE106" si="42">((AD59-1.64)*0.3)+0.5</f>
        <v>#VALUE!</v>
      </c>
      <c r="AF59" s="296" t="e">
        <f t="shared" ref="AF59:AF106" si="43">(($L4-$P4)/$R$4)*(($R$4/$Q4)^AE59)</f>
        <v>#VALUE!</v>
      </c>
      <c r="AG59" s="296" t="e">
        <f t="shared" ref="AG59:AG106" si="44">((3.47-LOG(AF59))^2+(LOG($S4)+1.22)^2)^0.5</f>
        <v>#VALUE!</v>
      </c>
      <c r="AH59" s="475" t="e">
        <f t="shared" ref="AH59:AH106" si="45">((AG59-1.64)*0.3)+0.5</f>
        <v>#VALUE!</v>
      </c>
      <c r="AI59" s="475" t="e">
        <f t="shared" ref="AI59:AI106" si="46">(($L4-$P4)/$R$4)*(($R$4/$Q4)^AH59)</f>
        <v>#VALUE!</v>
      </c>
      <c r="AJ59" s="475" t="e">
        <f t="shared" ref="AJ59:AJ106" si="47">((3.47-LOG(AI59))^2+(LOG($S4)+1.22)^2)^0.5</f>
        <v>#VALUE!</v>
      </c>
    </row>
    <row r="60" spans="1:49">
      <c r="K60" s="278">
        <f t="shared" si="25"/>
        <v>350.3513513513513</v>
      </c>
      <c r="L60" s="296">
        <f t="shared" si="26"/>
        <v>2.0295651271845845</v>
      </c>
      <c r="M60" s="296">
        <f t="shared" ref="M60:M106" si="48">((L60-1.64)*0.3)+0.5</f>
        <v>0.61686953815537537</v>
      </c>
      <c r="N60" s="11">
        <f t="shared" si="27"/>
        <v>129.20282915307666</v>
      </c>
      <c r="O60" s="296">
        <f t="shared" si="28"/>
        <v>2.2602506714431607</v>
      </c>
      <c r="P60" s="11">
        <f t="shared" ref="P60:P106" si="49">((O60-1.64)*0.3)+0.5</f>
        <v>0.6860752014329482</v>
      </c>
      <c r="Q60" s="296">
        <f t="shared" si="29"/>
        <v>154.71327959644458</v>
      </c>
      <c r="R60" s="296">
        <f t="shared" si="30"/>
        <v>2.2140914548390209</v>
      </c>
      <c r="S60" s="296">
        <f>((R60-1.64)*0.3)+0.5</f>
        <v>0.67222743645170624</v>
      </c>
      <c r="T60" s="296">
        <f t="shared" si="31"/>
        <v>149.23441207023748</v>
      </c>
      <c r="U60" s="296">
        <f t="shared" si="32"/>
        <v>2.2231839796447512</v>
      </c>
      <c r="V60" s="296">
        <f t="shared" si="33"/>
        <v>0.6749551938934254</v>
      </c>
      <c r="W60" s="296">
        <f t="shared" si="34"/>
        <v>150.29808272517334</v>
      </c>
      <c r="X60" s="296">
        <f t="shared" si="35"/>
        <v>2.2213871316249318</v>
      </c>
      <c r="Y60" s="296">
        <f t="shared" si="36"/>
        <v>0.67441613948747958</v>
      </c>
      <c r="Z60" s="296">
        <f t="shared" si="37"/>
        <v>150.08728272371104</v>
      </c>
      <c r="AA60" s="296">
        <f t="shared" si="38"/>
        <v>2.2217419971359211</v>
      </c>
      <c r="AB60" s="296">
        <f t="shared" si="39"/>
        <v>0.67452259914077639</v>
      </c>
      <c r="AC60" s="296">
        <f t="shared" si="40"/>
        <v>150.12889087697425</v>
      </c>
      <c r="AD60" s="296">
        <f t="shared" si="41"/>
        <v>2.2216719048011795</v>
      </c>
      <c r="AE60" s="296">
        <f t="shared" si="42"/>
        <v>0.67450157144035383</v>
      </c>
      <c r="AF60" s="296">
        <f t="shared" si="43"/>
        <v>150.12067160266824</v>
      </c>
      <c r="AG60" s="296">
        <f t="shared" si="44"/>
        <v>2.2216857489589867</v>
      </c>
      <c r="AH60" s="475">
        <f t="shared" si="45"/>
        <v>0.67450572468769598</v>
      </c>
      <c r="AI60" s="475">
        <f t="shared" si="46"/>
        <v>150.12229498176211</v>
      </c>
      <c r="AJ60" s="475">
        <f t="shared" si="47"/>
        <v>2.221683014542442</v>
      </c>
    </row>
    <row r="61" spans="1:49">
      <c r="K61" s="278">
        <f t="shared" si="25"/>
        <v>269.27027027027026</v>
      </c>
      <c r="L61" s="296">
        <f t="shared" si="26"/>
        <v>1.8817753363538294</v>
      </c>
      <c r="M61" s="296">
        <f t="shared" si="48"/>
        <v>0.57253260090614888</v>
      </c>
      <c r="N61" s="11">
        <f t="shared" si="27"/>
        <v>105.21922605961755</v>
      </c>
      <c r="O61" s="296">
        <f t="shared" si="28"/>
        <v>2.1345488649169808</v>
      </c>
      <c r="P61" s="11">
        <f t="shared" si="49"/>
        <v>0.64836465947509425</v>
      </c>
      <c r="Q61" s="296">
        <f t="shared" si="29"/>
        <v>124.30546623097999</v>
      </c>
      <c r="R61" s="296">
        <f t="shared" si="30"/>
        <v>2.0861201792247521</v>
      </c>
      <c r="S61" s="296">
        <f t="shared" ref="S61:S106" si="50">((R61-1.64)*0.3)+0.5</f>
        <v>0.63383605376742569</v>
      </c>
      <c r="T61" s="296">
        <f t="shared" si="31"/>
        <v>120.39822957663978</v>
      </c>
      <c r="U61" s="296">
        <f t="shared" si="32"/>
        <v>2.095291571680348</v>
      </c>
      <c r="V61" s="296">
        <f t="shared" si="33"/>
        <v>0.63658747150410444</v>
      </c>
      <c r="W61" s="296">
        <f t="shared" si="34"/>
        <v>121.1286330184585</v>
      </c>
      <c r="X61" s="296">
        <f t="shared" si="35"/>
        <v>2.0935507300137286</v>
      </c>
      <c r="Y61" s="296">
        <f t="shared" si="36"/>
        <v>0.63606521900411861</v>
      </c>
      <c r="Z61" s="296">
        <f t="shared" si="37"/>
        <v>120.98965368184497</v>
      </c>
      <c r="AA61" s="296">
        <f t="shared" si="38"/>
        <v>2.0938810208213812</v>
      </c>
      <c r="AB61" s="296">
        <f t="shared" si="39"/>
        <v>0.6361643062464144</v>
      </c>
      <c r="AC61" s="296">
        <f t="shared" si="40"/>
        <v>121.01601004193367</v>
      </c>
      <c r="AD61" s="296">
        <f t="shared" si="41"/>
        <v>2.0938183494513014</v>
      </c>
      <c r="AE61" s="296">
        <f t="shared" si="42"/>
        <v>0.63614550483539045</v>
      </c>
      <c r="AF61" s="296">
        <f t="shared" si="43"/>
        <v>121.01100858587981</v>
      </c>
      <c r="AG61" s="296">
        <f t="shared" si="44"/>
        <v>2.093830240910751</v>
      </c>
      <c r="AH61" s="475">
        <f t="shared" si="45"/>
        <v>0.63614907227322526</v>
      </c>
      <c r="AI61" s="475">
        <f t="shared" si="46"/>
        <v>121.01195756171913</v>
      </c>
      <c r="AJ61" s="475">
        <f t="shared" si="47"/>
        <v>2.0938279845818473</v>
      </c>
    </row>
    <row r="62" spans="1:49">
      <c r="K62" s="278">
        <f t="shared" si="25"/>
        <v>167.91891891891888</v>
      </c>
      <c r="L62" s="296">
        <f t="shared" si="26"/>
        <v>2.0999036372192919</v>
      </c>
      <c r="M62" s="296">
        <f t="shared" si="48"/>
        <v>0.63797109116578754</v>
      </c>
      <c r="N62" s="11">
        <f t="shared" si="27"/>
        <v>84.083423083421948</v>
      </c>
      <c r="O62" s="296">
        <f t="shared" si="28"/>
        <v>2.2907942621136201</v>
      </c>
      <c r="P62" s="11">
        <f t="shared" si="49"/>
        <v>0.69523827863408605</v>
      </c>
      <c r="Q62" s="296">
        <f t="shared" si="29"/>
        <v>93.805253546819358</v>
      </c>
      <c r="R62" s="296">
        <f t="shared" si="30"/>
        <v>2.259013463563142</v>
      </c>
      <c r="S62" s="296">
        <f t="shared" si="50"/>
        <v>0.68570403906894262</v>
      </c>
      <c r="T62" s="296">
        <f t="shared" si="31"/>
        <v>92.112005504696825</v>
      </c>
      <c r="U62" s="296">
        <f t="shared" si="32"/>
        <v>2.2642663147707833</v>
      </c>
      <c r="V62" s="296">
        <f t="shared" si="33"/>
        <v>0.68727989443123505</v>
      </c>
      <c r="W62" s="296">
        <f t="shared" si="34"/>
        <v>92.389748648853995</v>
      </c>
      <c r="X62" s="296">
        <f t="shared" si="35"/>
        <v>2.2633970371397965</v>
      </c>
      <c r="Y62" s="296">
        <f t="shared" si="36"/>
        <v>0.68701911114193892</v>
      </c>
      <c r="Z62" s="296">
        <f t="shared" si="37"/>
        <v>92.343728059525546</v>
      </c>
      <c r="AA62" s="296">
        <f t="shared" si="38"/>
        <v>2.2635408620253945</v>
      </c>
      <c r="AB62" s="296">
        <f t="shared" si="39"/>
        <v>0.68706225860761838</v>
      </c>
      <c r="AC62" s="296">
        <f t="shared" si="40"/>
        <v>92.351340736714903</v>
      </c>
      <c r="AD62" s="296">
        <f t="shared" si="41"/>
        <v>2.2635170649208445</v>
      </c>
      <c r="AE62" s="296">
        <f t="shared" si="42"/>
        <v>0.68705511947625331</v>
      </c>
      <c r="AF62" s="296">
        <f t="shared" si="43"/>
        <v>92.350081108342735</v>
      </c>
      <c r="AG62" s="296">
        <f t="shared" si="44"/>
        <v>2.2635210023412995</v>
      </c>
      <c r="AH62" s="475">
        <f t="shared" si="45"/>
        <v>0.68705630070238988</v>
      </c>
      <c r="AI62" s="475">
        <f t="shared" si="46"/>
        <v>92.350289522701743</v>
      </c>
      <c r="AJ62" s="475">
        <f t="shared" si="47"/>
        <v>2.2635203508631325</v>
      </c>
    </row>
    <row r="63" spans="1:49">
      <c r="K63" s="278">
        <f t="shared" si="25"/>
        <v>90.891891891891902</v>
      </c>
      <c r="L63" s="296">
        <f t="shared" si="26"/>
        <v>2.2894513592964287</v>
      </c>
      <c r="M63" s="296">
        <f t="shared" si="48"/>
        <v>0.69483540778892861</v>
      </c>
      <c r="N63" s="11">
        <f t="shared" si="27"/>
        <v>54.311513141210739</v>
      </c>
      <c r="O63" s="296">
        <f t="shared" si="28"/>
        <v>2.4428735934765013</v>
      </c>
      <c r="P63" s="11">
        <f t="shared" si="49"/>
        <v>0.74086207804295046</v>
      </c>
      <c r="Q63" s="296">
        <f t="shared" si="29"/>
        <v>58.697762649047753</v>
      </c>
      <c r="R63" s="296">
        <f t="shared" si="30"/>
        <v>2.4190328483959185</v>
      </c>
      <c r="S63" s="296">
        <f t="shared" si="50"/>
        <v>0.73370985451877557</v>
      </c>
      <c r="T63" s="296">
        <f t="shared" si="31"/>
        <v>57.993617015363341</v>
      </c>
      <c r="U63" s="296">
        <f t="shared" si="32"/>
        <v>2.4227221133967594</v>
      </c>
      <c r="V63" s="296">
        <f t="shared" si="33"/>
        <v>0.73481663401902786</v>
      </c>
      <c r="W63" s="296">
        <f t="shared" si="34"/>
        <v>58.102025883404828</v>
      </c>
      <c r="X63" s="296">
        <f t="shared" si="35"/>
        <v>2.4221508393515894</v>
      </c>
      <c r="Y63" s="296">
        <f t="shared" si="36"/>
        <v>0.7346452518054768</v>
      </c>
      <c r="Z63" s="296">
        <f t="shared" si="37"/>
        <v>58.085225773138703</v>
      </c>
      <c r="AA63" s="296">
        <f t="shared" si="38"/>
        <v>2.4222392908444688</v>
      </c>
      <c r="AB63" s="296">
        <f t="shared" si="39"/>
        <v>0.73467178725334059</v>
      </c>
      <c r="AC63" s="296">
        <f t="shared" si="40"/>
        <v>58.087826649640881</v>
      </c>
      <c r="AD63" s="296">
        <f t="shared" si="41"/>
        <v>2.4222255955097345</v>
      </c>
      <c r="AE63" s="296">
        <f t="shared" si="42"/>
        <v>0.73466767865292038</v>
      </c>
      <c r="AF63" s="296">
        <f t="shared" si="43"/>
        <v>58.087423936841745</v>
      </c>
      <c r="AG63" s="296">
        <f t="shared" si="44"/>
        <v>2.4222277160136629</v>
      </c>
      <c r="AH63" s="475">
        <f t="shared" si="45"/>
        <v>0.73466831480409889</v>
      </c>
      <c r="AI63" s="475">
        <f t="shared" si="46"/>
        <v>58.087486290306437</v>
      </c>
      <c r="AJ63" s="475">
        <f t="shared" si="47"/>
        <v>2.4222273876873612</v>
      </c>
    </row>
    <row r="64" spans="1:49">
      <c r="K64" s="278">
        <f t="shared" si="25"/>
        <v>53.054054054054049</v>
      </c>
      <c r="L64" s="296">
        <f t="shared" si="26"/>
        <v>2.5694012473805903</v>
      </c>
      <c r="M64" s="296">
        <f t="shared" si="48"/>
        <v>0.77882037421417705</v>
      </c>
      <c r="N64" s="11">
        <f t="shared" si="27"/>
        <v>38.031650295585102</v>
      </c>
      <c r="O64" s="296">
        <f t="shared" si="28"/>
        <v>2.6697128673413189</v>
      </c>
      <c r="P64" s="11">
        <f t="shared" si="49"/>
        <v>0.80891386020239575</v>
      </c>
      <c r="Q64" s="296">
        <f t="shared" si="29"/>
        <v>39.793825265795618</v>
      </c>
      <c r="R64" s="296">
        <f t="shared" si="30"/>
        <v>2.655824707683784</v>
      </c>
      <c r="S64" s="296">
        <f t="shared" si="50"/>
        <v>0.80474741230513525</v>
      </c>
      <c r="T64" s="296">
        <f t="shared" si="31"/>
        <v>39.545065785843803</v>
      </c>
      <c r="U64" s="296">
        <f t="shared" si="32"/>
        <v>2.6577431710659387</v>
      </c>
      <c r="V64" s="296">
        <f t="shared" si="33"/>
        <v>0.80532295131978171</v>
      </c>
      <c r="W64" s="296">
        <f t="shared" si="34"/>
        <v>39.579335790424736</v>
      </c>
      <c r="X64" s="296">
        <f t="shared" si="35"/>
        <v>2.6574780773320472</v>
      </c>
      <c r="Y64" s="296">
        <f t="shared" si="36"/>
        <v>0.80524342319961417</v>
      </c>
      <c r="Z64" s="296">
        <f t="shared" si="37"/>
        <v>39.574598585138077</v>
      </c>
      <c r="AA64" s="296">
        <f t="shared" si="38"/>
        <v>2.657514706451849</v>
      </c>
      <c r="AB64" s="296">
        <f t="shared" si="39"/>
        <v>0.80525441193555469</v>
      </c>
      <c r="AC64" s="296">
        <f t="shared" si="40"/>
        <v>39.575253111020899</v>
      </c>
      <c r="AD64" s="296">
        <f t="shared" si="41"/>
        <v>2.6575096452213227</v>
      </c>
      <c r="AE64" s="296">
        <f t="shared" si="42"/>
        <v>0.80525289356639684</v>
      </c>
      <c r="AF64" s="296">
        <f t="shared" si="43"/>
        <v>39.575162671228597</v>
      </c>
      <c r="AG64" s="296">
        <f t="shared" si="44"/>
        <v>2.6575103445565307</v>
      </c>
      <c r="AH64" s="475">
        <f t="shared" si="45"/>
        <v>0.80525310336695921</v>
      </c>
      <c r="AI64" s="475">
        <f t="shared" si="46"/>
        <v>39.575175167728872</v>
      </c>
      <c r="AJ64" s="475">
        <f t="shared" si="47"/>
        <v>2.6575102479259214</v>
      </c>
    </row>
    <row r="65" spans="11:36">
      <c r="K65" s="278">
        <f t="shared" si="25"/>
        <v>91.664092664092664</v>
      </c>
      <c r="L65" s="296">
        <f t="shared" si="26"/>
        <v>2.1778600711890488</v>
      </c>
      <c r="M65" s="296">
        <f t="shared" si="48"/>
        <v>0.66135802135671462</v>
      </c>
      <c r="N65" s="11">
        <f t="shared" si="27"/>
        <v>58.012010268964907</v>
      </c>
      <c r="O65" s="296">
        <f t="shared" si="28"/>
        <v>2.3198475112652699</v>
      </c>
      <c r="P65" s="11">
        <f t="shared" si="49"/>
        <v>0.70395425337958095</v>
      </c>
      <c r="Q65" s="296">
        <f t="shared" si="29"/>
        <v>61.448195602167289</v>
      </c>
      <c r="R65" s="296">
        <f t="shared" si="30"/>
        <v>2.3015262110781811</v>
      </c>
      <c r="S65" s="296">
        <f t="shared" si="50"/>
        <v>0.69845786332345439</v>
      </c>
      <c r="T65" s="296">
        <f t="shared" si="31"/>
        <v>60.993618807135043</v>
      </c>
      <c r="U65" s="296">
        <f t="shared" si="32"/>
        <v>2.3038832475851048</v>
      </c>
      <c r="V65" s="296">
        <f t="shared" si="33"/>
        <v>0.69916497427553148</v>
      </c>
      <c r="W65" s="296">
        <f t="shared" si="34"/>
        <v>61.051911130341125</v>
      </c>
      <c r="X65" s="296">
        <f t="shared" si="35"/>
        <v>2.3035798968347514</v>
      </c>
      <c r="Y65" s="296">
        <f t="shared" si="36"/>
        <v>0.6990739690504254</v>
      </c>
      <c r="Z65" s="296">
        <f t="shared" si="37"/>
        <v>61.04440578211468</v>
      </c>
      <c r="AA65" s="296">
        <f t="shared" si="38"/>
        <v>2.3036189361465751</v>
      </c>
      <c r="AB65" s="296">
        <f t="shared" si="39"/>
        <v>0.69908568084397249</v>
      </c>
      <c r="AC65" s="296">
        <f t="shared" si="40"/>
        <v>61.045371620954484</v>
      </c>
      <c r="AD65" s="296">
        <f t="shared" si="41"/>
        <v>2.3036139120031991</v>
      </c>
      <c r="AE65" s="296">
        <f t="shared" si="42"/>
        <v>0.69908417360095976</v>
      </c>
      <c r="AF65" s="296">
        <f t="shared" si="43"/>
        <v>61.045247321984284</v>
      </c>
      <c r="AG65" s="296">
        <f t="shared" si="44"/>
        <v>2.3036145585821117</v>
      </c>
      <c r="AH65" s="475">
        <f t="shared" si="45"/>
        <v>0.69908436757463355</v>
      </c>
      <c r="AI65" s="475">
        <f t="shared" si="46"/>
        <v>61.045263318546432</v>
      </c>
      <c r="AJ65" s="475">
        <f t="shared" si="47"/>
        <v>2.3036144753710439</v>
      </c>
    </row>
    <row r="66" spans="11:36">
      <c r="K66" s="278">
        <f t="shared" si="25"/>
        <v>66.567567567567565</v>
      </c>
      <c r="L66" s="296">
        <f t="shared" si="26"/>
        <v>2.193031506385922</v>
      </c>
      <c r="M66" s="296">
        <f t="shared" si="48"/>
        <v>0.66590945191577666</v>
      </c>
      <c r="N66" s="11">
        <f t="shared" si="27"/>
        <v>44.322703812629463</v>
      </c>
      <c r="O66" s="296">
        <f t="shared" si="28"/>
        <v>2.3285908314323076</v>
      </c>
      <c r="P66" s="11">
        <f t="shared" si="49"/>
        <v>0.70657724942969224</v>
      </c>
      <c r="Q66" s="296">
        <f t="shared" si="29"/>
        <v>46.57229582151281</v>
      </c>
      <c r="R66" s="296">
        <f t="shared" si="30"/>
        <v>2.3117931109093588</v>
      </c>
      <c r="S66" s="296">
        <f t="shared" si="50"/>
        <v>0.70153793327280767</v>
      </c>
      <c r="T66" s="296">
        <f t="shared" si="31"/>
        <v>46.287456738985725</v>
      </c>
      <c r="U66" s="296">
        <f t="shared" si="32"/>
        <v>2.3138703604607063</v>
      </c>
      <c r="V66" s="296">
        <f t="shared" si="33"/>
        <v>0.70216110813821186</v>
      </c>
      <c r="W66" s="296">
        <f t="shared" si="34"/>
        <v>46.322586063975272</v>
      </c>
      <c r="X66" s="296">
        <f t="shared" si="35"/>
        <v>2.3136134172162723</v>
      </c>
      <c r="Y66" s="296">
        <f t="shared" si="36"/>
        <v>0.70208402516488166</v>
      </c>
      <c r="Z66" s="296">
        <f t="shared" si="37"/>
        <v>46.318239333759159</v>
      </c>
      <c r="AA66" s="296">
        <f t="shared" si="38"/>
        <v>2.3136451985499384</v>
      </c>
      <c r="AB66" s="296">
        <f t="shared" si="39"/>
        <v>0.70209355956498154</v>
      </c>
      <c r="AC66" s="296">
        <f t="shared" si="40"/>
        <v>46.31877695911556</v>
      </c>
      <c r="AD66" s="296">
        <f t="shared" si="41"/>
        <v>2.3136412674985918</v>
      </c>
      <c r="AE66" s="296">
        <f t="shared" si="42"/>
        <v>0.70209238024957754</v>
      </c>
      <c r="AF66" s="296">
        <f t="shared" si="43"/>
        <v>46.318710459589397</v>
      </c>
      <c r="AG66" s="296">
        <f t="shared" si="44"/>
        <v>2.313641753732349</v>
      </c>
      <c r="AH66" s="475">
        <f t="shared" si="45"/>
        <v>0.70209252611970474</v>
      </c>
      <c r="AI66" s="475">
        <f t="shared" si="46"/>
        <v>46.31871868494472</v>
      </c>
      <c r="AJ66" s="475">
        <f t="shared" si="47"/>
        <v>2.313641693589843</v>
      </c>
    </row>
    <row r="67" spans="11:36">
      <c r="K67" s="278">
        <f t="shared" si="25"/>
        <v>56.647058823529406</v>
      </c>
      <c r="L67" s="296">
        <f t="shared" si="26"/>
        <v>2.4195342986502824</v>
      </c>
      <c r="M67" s="296">
        <f t="shared" si="48"/>
        <v>0.73386028959508476</v>
      </c>
      <c r="N67" s="11">
        <f t="shared" si="27"/>
        <v>34.37093759178186</v>
      </c>
      <c r="O67" s="296">
        <f t="shared" si="28"/>
        <v>2.5780384106007794</v>
      </c>
      <c r="P67" s="11">
        <f t="shared" si="49"/>
        <v>0.78141152318023388</v>
      </c>
      <c r="Q67" s="296">
        <f t="shared" si="29"/>
        <v>37.580305603822488</v>
      </c>
      <c r="R67" s="296">
        <f t="shared" si="30"/>
        <v>2.5490864444190935</v>
      </c>
      <c r="S67" s="296">
        <f t="shared" si="50"/>
        <v>0.77272593332572814</v>
      </c>
      <c r="T67" s="296">
        <f t="shared" si="31"/>
        <v>36.972504598843649</v>
      </c>
      <c r="U67" s="296">
        <f t="shared" si="32"/>
        <v>2.5543553104132348</v>
      </c>
      <c r="V67" s="296">
        <f t="shared" si="33"/>
        <v>0.77430659312397054</v>
      </c>
      <c r="W67" s="296">
        <f t="shared" si="34"/>
        <v>37.082379752933669</v>
      </c>
      <c r="X67" s="296">
        <f t="shared" si="35"/>
        <v>2.553395795548965</v>
      </c>
      <c r="Y67" s="296">
        <f t="shared" si="36"/>
        <v>0.77401873866468951</v>
      </c>
      <c r="Z67" s="296">
        <f t="shared" si="37"/>
        <v>37.062346064530878</v>
      </c>
      <c r="AA67" s="296">
        <f t="shared" si="38"/>
        <v>2.5535705115206997</v>
      </c>
      <c r="AB67" s="296">
        <f t="shared" si="39"/>
        <v>0.77407115345620991</v>
      </c>
      <c r="AC67" s="296">
        <f t="shared" si="40"/>
        <v>37.065993149088662</v>
      </c>
      <c r="AD67" s="296">
        <f t="shared" si="41"/>
        <v>2.5535386971539169</v>
      </c>
      <c r="AE67" s="296">
        <f t="shared" si="42"/>
        <v>0.77406160914617517</v>
      </c>
      <c r="AF67" s="296">
        <f t="shared" si="43"/>
        <v>37.065329017734058</v>
      </c>
      <c r="AG67" s="296">
        <f t="shared" si="44"/>
        <v>2.5535444902693145</v>
      </c>
      <c r="AH67" s="475">
        <f t="shared" si="45"/>
        <v>0.77406334708079438</v>
      </c>
      <c r="AI67" s="475">
        <f t="shared" si="46"/>
        <v>37.065449949305972</v>
      </c>
      <c r="AJ67" s="475">
        <f t="shared" si="47"/>
        <v>2.5535434353933431</v>
      </c>
    </row>
    <row r="68" spans="11:36">
      <c r="K68" s="278">
        <f t="shared" si="25"/>
        <v>56.64705882352942</v>
      </c>
      <c r="L68" s="296">
        <f t="shared" si="26"/>
        <v>2.1057708574581615</v>
      </c>
      <c r="M68" s="296">
        <f t="shared" si="48"/>
        <v>0.6397312572374485</v>
      </c>
      <c r="N68" s="11">
        <f t="shared" si="27"/>
        <v>29.917973017486819</v>
      </c>
      <c r="O68" s="296">
        <f t="shared" si="28"/>
        <v>2.3373269930822458</v>
      </c>
      <c r="P68" s="11">
        <f t="shared" si="49"/>
        <v>0.7091980979246737</v>
      </c>
      <c r="Q68" s="296">
        <f t="shared" si="29"/>
        <v>33.836890685919172</v>
      </c>
      <c r="R68" s="296">
        <f t="shared" si="30"/>
        <v>2.2918892596790656</v>
      </c>
      <c r="S68" s="296">
        <f t="shared" si="50"/>
        <v>0.69556677790371968</v>
      </c>
      <c r="T68" s="296">
        <f t="shared" si="31"/>
        <v>33.029382263335911</v>
      </c>
      <c r="U68" s="296">
        <f t="shared" si="32"/>
        <v>2.3007782151953933</v>
      </c>
      <c r="V68" s="296">
        <f t="shared" si="33"/>
        <v>0.69823346455861801</v>
      </c>
      <c r="W68" s="296">
        <f t="shared" si="34"/>
        <v>33.185823794750739</v>
      </c>
      <c r="X68" s="296">
        <f t="shared" si="35"/>
        <v>2.2990382125478801</v>
      </c>
      <c r="Y68" s="296">
        <f t="shared" si="36"/>
        <v>0.69771146376436399</v>
      </c>
      <c r="Z68" s="296">
        <f t="shared" si="37"/>
        <v>33.155142331430596</v>
      </c>
      <c r="AA68" s="296">
        <f t="shared" si="38"/>
        <v>2.2993787755086732</v>
      </c>
      <c r="AB68" s="296">
        <f t="shared" si="39"/>
        <v>0.69781363265260199</v>
      </c>
      <c r="AC68" s="296">
        <f t="shared" si="40"/>
        <v>33.161145243983349</v>
      </c>
      <c r="AD68" s="296">
        <f t="shared" si="41"/>
        <v>2.2993121170850972</v>
      </c>
      <c r="AE68" s="296">
        <f t="shared" si="42"/>
        <v>0.69779363512552917</v>
      </c>
      <c r="AF68" s="296">
        <f t="shared" si="43"/>
        <v>33.159970207747499</v>
      </c>
      <c r="AG68" s="296">
        <f t="shared" si="44"/>
        <v>2.2993251640857362</v>
      </c>
      <c r="AH68" s="475">
        <f t="shared" si="45"/>
        <v>0.6977975492257209</v>
      </c>
      <c r="AI68" s="475">
        <f t="shared" si="46"/>
        <v>33.160200193385357</v>
      </c>
      <c r="AJ68" s="475">
        <f t="shared" si="47"/>
        <v>2.2993226104043178</v>
      </c>
    </row>
    <row r="69" spans="11:36">
      <c r="K69" s="278">
        <f t="shared" si="25"/>
        <v>56.647058823529406</v>
      </c>
      <c r="L69" s="296">
        <f t="shared" si="26"/>
        <v>2.1671743220308568</v>
      </c>
      <c r="M69" s="296">
        <f t="shared" si="48"/>
        <v>0.658152296609257</v>
      </c>
      <c r="N69" s="11">
        <f t="shared" si="27"/>
        <v>31.934350764290752</v>
      </c>
      <c r="O69" s="296">
        <f t="shared" si="28"/>
        <v>2.3692416163099144</v>
      </c>
      <c r="P69" s="11">
        <f t="shared" si="49"/>
        <v>0.71877248489297429</v>
      </c>
      <c r="Q69" s="296">
        <f t="shared" si="29"/>
        <v>35.350795415647362</v>
      </c>
      <c r="R69" s="296">
        <f t="shared" si="30"/>
        <v>2.3327482198057861</v>
      </c>
      <c r="S69" s="296">
        <f t="shared" si="50"/>
        <v>0.70782446594173587</v>
      </c>
      <c r="T69" s="296">
        <f t="shared" si="31"/>
        <v>34.707816946205782</v>
      </c>
      <c r="U69" s="296">
        <f t="shared" si="32"/>
        <v>2.3393194300683962</v>
      </c>
      <c r="V69" s="296">
        <f t="shared" si="33"/>
        <v>0.70979582902051885</v>
      </c>
      <c r="W69" s="296">
        <f t="shared" si="34"/>
        <v>34.822725774277835</v>
      </c>
      <c r="X69" s="296">
        <f t="shared" si="35"/>
        <v>2.338135537120912</v>
      </c>
      <c r="Y69" s="296">
        <f t="shared" si="36"/>
        <v>0.70944066113627358</v>
      </c>
      <c r="Z69" s="296">
        <f t="shared" si="37"/>
        <v>34.801995325836543</v>
      </c>
      <c r="AA69" s="296">
        <f t="shared" si="38"/>
        <v>2.3383488107335082</v>
      </c>
      <c r="AB69" s="296">
        <f t="shared" si="39"/>
        <v>0.70950464322005247</v>
      </c>
      <c r="AC69" s="296">
        <f t="shared" si="40"/>
        <v>34.805728922226351</v>
      </c>
      <c r="AD69" s="296">
        <f t="shared" si="41"/>
        <v>2.3383103896634552</v>
      </c>
      <c r="AE69" s="296">
        <f t="shared" si="42"/>
        <v>0.7094931168990366</v>
      </c>
      <c r="AF69" s="296">
        <f t="shared" si="43"/>
        <v>34.805056288256729</v>
      </c>
      <c r="AG69" s="296">
        <f t="shared" si="44"/>
        <v>2.3383173111664441</v>
      </c>
      <c r="AH69" s="475">
        <f t="shared" si="45"/>
        <v>0.70949519334993327</v>
      </c>
      <c r="AI69" s="475">
        <f t="shared" si="46"/>
        <v>34.805177461382378</v>
      </c>
      <c r="AJ69" s="475">
        <f t="shared" si="47"/>
        <v>2.3383160642664773</v>
      </c>
    </row>
    <row r="70" spans="11:36">
      <c r="K70" s="278">
        <f t="shared" si="25"/>
        <v>27.235294117647062</v>
      </c>
      <c r="L70" s="296">
        <f t="shared" si="26"/>
        <v>2.4142222624582956</v>
      </c>
      <c r="M70" s="296">
        <f t="shared" si="48"/>
        <v>0.73226667873748874</v>
      </c>
      <c r="N70" s="11">
        <f t="shared" si="27"/>
        <v>17.794961857914142</v>
      </c>
      <c r="O70" s="296">
        <f t="shared" si="28"/>
        <v>2.5719375524846066</v>
      </c>
      <c r="P70" s="11">
        <f t="shared" si="49"/>
        <v>0.779581265745382</v>
      </c>
      <c r="Q70" s="296">
        <f t="shared" si="29"/>
        <v>19.184992112175649</v>
      </c>
      <c r="R70" s="296">
        <f t="shared" si="30"/>
        <v>2.5438000102931513</v>
      </c>
      <c r="S70" s="296">
        <f t="shared" si="50"/>
        <v>0.77114000308794539</v>
      </c>
      <c r="T70" s="296">
        <f t="shared" si="31"/>
        <v>18.929277235368751</v>
      </c>
      <c r="U70" s="296">
        <f t="shared" si="32"/>
        <v>2.5488120355651036</v>
      </c>
      <c r="V70" s="296">
        <f t="shared" si="33"/>
        <v>0.77264361066953113</v>
      </c>
      <c r="W70" s="296">
        <f t="shared" si="34"/>
        <v>18.974575874914944</v>
      </c>
      <c r="X70" s="296">
        <f t="shared" si="35"/>
        <v>2.5479190100341067</v>
      </c>
      <c r="Y70" s="296">
        <f t="shared" si="36"/>
        <v>0.77237570301023206</v>
      </c>
      <c r="Z70" s="296">
        <f t="shared" si="37"/>
        <v>18.96649678899125</v>
      </c>
      <c r="AA70" s="296">
        <f t="shared" si="38"/>
        <v>2.5480781182241157</v>
      </c>
      <c r="AB70" s="296">
        <f t="shared" si="39"/>
        <v>0.7724234354672348</v>
      </c>
      <c r="AC70" s="296">
        <f t="shared" si="40"/>
        <v>18.967935968221294</v>
      </c>
      <c r="AD70" s="296">
        <f t="shared" si="41"/>
        <v>2.5480497700488001</v>
      </c>
      <c r="AE70" s="296">
        <f t="shared" si="42"/>
        <v>0.77241493101463998</v>
      </c>
      <c r="AF70" s="296">
        <f t="shared" si="43"/>
        <v>18.967679542846955</v>
      </c>
      <c r="AG70" s="296">
        <f t="shared" si="44"/>
        <v>2.548054820811763</v>
      </c>
      <c r="AH70" s="475">
        <f t="shared" si="45"/>
        <v>0.77241644624352901</v>
      </c>
      <c r="AI70" s="475">
        <f t="shared" si="46"/>
        <v>18.967725229617777</v>
      </c>
      <c r="AJ70" s="475">
        <f t="shared" si="47"/>
        <v>2.5480539209226687</v>
      </c>
    </row>
    <row r="71" spans="11:36">
      <c r="K71" s="278">
        <f t="shared" si="25"/>
        <v>20.447963800904976</v>
      </c>
      <c r="L71" s="296">
        <f t="shared" si="26"/>
        <v>2.9332078322206945</v>
      </c>
      <c r="M71" s="296">
        <f t="shared" si="48"/>
        <v>0.88796234966620835</v>
      </c>
      <c r="N71" s="11">
        <f t="shared" si="27"/>
        <v>17.266221916830709</v>
      </c>
      <c r="O71" s="296">
        <f t="shared" si="28"/>
        <v>2.9876954114141081</v>
      </c>
      <c r="P71" s="11">
        <f t="shared" si="49"/>
        <v>0.90430862342423246</v>
      </c>
      <c r="Q71" s="296">
        <f t="shared" si="29"/>
        <v>17.697587238646555</v>
      </c>
      <c r="R71" s="296">
        <f t="shared" si="30"/>
        <v>2.9796949463486126</v>
      </c>
      <c r="S71" s="296">
        <f t="shared" si="50"/>
        <v>0.90190848390458389</v>
      </c>
      <c r="T71" s="296">
        <f t="shared" si="31"/>
        <v>17.633580785179422</v>
      </c>
      <c r="U71" s="296">
        <f t="shared" si="32"/>
        <v>2.9808685942306017</v>
      </c>
      <c r="V71" s="296">
        <f t="shared" si="33"/>
        <v>0.9022605782691806</v>
      </c>
      <c r="W71" s="296">
        <f t="shared" si="34"/>
        <v>17.642955860393648</v>
      </c>
      <c r="X71" s="296">
        <f t="shared" si="35"/>
        <v>2.9806964000019809</v>
      </c>
      <c r="Y71" s="296">
        <f t="shared" si="36"/>
        <v>0.90220892000059427</v>
      </c>
      <c r="Z71" s="296">
        <f t="shared" si="37"/>
        <v>17.641580064491141</v>
      </c>
      <c r="AA71" s="296">
        <f t="shared" si="38"/>
        <v>2.9807216633457108</v>
      </c>
      <c r="AB71" s="296">
        <f t="shared" si="39"/>
        <v>0.90221649900371326</v>
      </c>
      <c r="AC71" s="296">
        <f t="shared" si="40"/>
        <v>17.641781906612529</v>
      </c>
      <c r="AD71" s="296">
        <f t="shared" si="41"/>
        <v>2.9807179568429945</v>
      </c>
      <c r="AE71" s="296">
        <f t="shared" si="42"/>
        <v>0.90221538705289839</v>
      </c>
      <c r="AF71" s="296">
        <f t="shared" si="43"/>
        <v>17.641752293271121</v>
      </c>
      <c r="AG71" s="296">
        <f t="shared" si="44"/>
        <v>2.9807185006410255</v>
      </c>
      <c r="AH71" s="475">
        <f t="shared" si="45"/>
        <v>0.9022155501923077</v>
      </c>
      <c r="AI71" s="475">
        <f t="shared" si="46"/>
        <v>17.641756637977291</v>
      </c>
      <c r="AJ71" s="475">
        <f t="shared" si="47"/>
        <v>2.9807184208579143</v>
      </c>
    </row>
    <row r="72" spans="11:36">
      <c r="K72" s="278">
        <f t="shared" si="25"/>
        <v>31.436974789915968</v>
      </c>
      <c r="L72" s="296">
        <f t="shared" si="26"/>
        <v>2.9068480453232475</v>
      </c>
      <c r="M72" s="296">
        <f t="shared" si="48"/>
        <v>0.88005441359697434</v>
      </c>
      <c r="N72" s="11">
        <f t="shared" si="27"/>
        <v>26.464512867731653</v>
      </c>
      <c r="O72" s="296">
        <f t="shared" si="28"/>
        <v>2.9581008501770989</v>
      </c>
      <c r="P72" s="11">
        <f t="shared" si="49"/>
        <v>0.89543025505312968</v>
      </c>
      <c r="Q72" s="296">
        <f t="shared" si="29"/>
        <v>27.055125835516993</v>
      </c>
      <c r="R72" s="296">
        <f t="shared" si="30"/>
        <v>2.9514746169072841</v>
      </c>
      <c r="S72" s="296">
        <f t="shared" si="50"/>
        <v>0.89344238507218532</v>
      </c>
      <c r="T72" s="296">
        <f t="shared" si="31"/>
        <v>26.978032545783226</v>
      </c>
      <c r="U72" s="296">
        <f t="shared" si="32"/>
        <v>2.9523303766543672</v>
      </c>
      <c r="V72" s="296">
        <f t="shared" si="33"/>
        <v>0.89369911299631011</v>
      </c>
      <c r="W72" s="296">
        <f t="shared" si="34"/>
        <v>26.98797656489328</v>
      </c>
      <c r="X72" s="296">
        <f t="shared" si="35"/>
        <v>2.9522198423386756</v>
      </c>
      <c r="Y72" s="296">
        <f t="shared" si="36"/>
        <v>0.89366595270160265</v>
      </c>
      <c r="Z72" s="296">
        <f t="shared" si="37"/>
        <v>26.986691938297863</v>
      </c>
      <c r="AA72" s="296">
        <f t="shared" si="38"/>
        <v>2.9522341192622674</v>
      </c>
      <c r="AB72" s="296">
        <f t="shared" si="39"/>
        <v>0.89367023577868032</v>
      </c>
      <c r="AC72" s="296">
        <f t="shared" si="40"/>
        <v>26.986857860848719</v>
      </c>
      <c r="AD72" s="296">
        <f t="shared" si="41"/>
        <v>2.9522322752103398</v>
      </c>
      <c r="AE72" s="296">
        <f t="shared" si="42"/>
        <v>0.89366968256310197</v>
      </c>
      <c r="AF72" s="296">
        <f t="shared" si="43"/>
        <v>26.98683642971778</v>
      </c>
      <c r="AG72" s="296">
        <f t="shared" si="44"/>
        <v>2.9522325133937599</v>
      </c>
      <c r="AH72" s="475">
        <f t="shared" si="45"/>
        <v>0.89366975401812798</v>
      </c>
      <c r="AI72" s="475">
        <f t="shared" si="46"/>
        <v>26.986839197827624</v>
      </c>
      <c r="AJ72" s="475">
        <f t="shared" si="47"/>
        <v>2.9522324826292556</v>
      </c>
    </row>
    <row r="73" spans="11:36">
      <c r="K73" s="278">
        <f t="shared" si="25"/>
        <v>139</v>
      </c>
      <c r="L73" s="296">
        <f t="shared" si="26"/>
        <v>2.1528644538817674</v>
      </c>
      <c r="M73" s="296">
        <f t="shared" si="48"/>
        <v>0.65385933616453018</v>
      </c>
      <c r="N73" s="11">
        <f t="shared" si="27"/>
        <v>86.615222300139706</v>
      </c>
      <c r="O73" s="296">
        <f t="shared" si="28"/>
        <v>2.2852140157300305</v>
      </c>
      <c r="P73" s="11">
        <f t="shared" si="49"/>
        <v>0.69356420471900915</v>
      </c>
      <c r="Q73" s="296">
        <f t="shared" si="29"/>
        <v>91.444474492240872</v>
      </c>
      <c r="R73" s="296">
        <f t="shared" si="30"/>
        <v>2.2694804298280467</v>
      </c>
      <c r="S73" s="296">
        <f t="shared" si="50"/>
        <v>0.68884412894841396</v>
      </c>
      <c r="T73" s="296">
        <f t="shared" si="31"/>
        <v>90.856560748484554</v>
      </c>
      <c r="U73" s="296">
        <f t="shared" si="32"/>
        <v>2.2713437284706939</v>
      </c>
      <c r="V73" s="296">
        <f t="shared" si="33"/>
        <v>0.68940311854120817</v>
      </c>
      <c r="W73" s="296">
        <f t="shared" si="34"/>
        <v>90.925988468576151</v>
      </c>
      <c r="X73" s="296">
        <f t="shared" si="35"/>
        <v>2.2711229610057844</v>
      </c>
      <c r="Y73" s="296">
        <f t="shared" si="36"/>
        <v>0.68933688830173534</v>
      </c>
      <c r="Z73" s="296">
        <f t="shared" si="37"/>
        <v>90.917759759410714</v>
      </c>
      <c r="AA73" s="296">
        <f t="shared" si="38"/>
        <v>2.2711491165804216</v>
      </c>
      <c r="AB73" s="296">
        <f t="shared" si="39"/>
        <v>0.68934473497412652</v>
      </c>
      <c r="AC73" s="296">
        <f t="shared" si="40"/>
        <v>90.918734622402724</v>
      </c>
      <c r="AD73" s="296">
        <f t="shared" si="41"/>
        <v>2.2711460177612448</v>
      </c>
      <c r="AE73" s="296">
        <f t="shared" si="42"/>
        <v>0.68934380532837347</v>
      </c>
      <c r="AF73" s="296">
        <f t="shared" si="43"/>
        <v>90.918619123567268</v>
      </c>
      <c r="AG73" s="296">
        <f t="shared" si="44"/>
        <v>2.271146384898008</v>
      </c>
      <c r="AH73" s="475">
        <f t="shared" si="45"/>
        <v>0.68934391546940244</v>
      </c>
      <c r="AI73" s="475">
        <f t="shared" si="46"/>
        <v>90.918632807439238</v>
      </c>
      <c r="AJ73" s="475">
        <f t="shared" si="47"/>
        <v>2.2711463414009834</v>
      </c>
    </row>
    <row r="74" spans="11:36">
      <c r="K74" s="278">
        <f t="shared" si="25"/>
        <v>137.52941176470588</v>
      </c>
      <c r="L74" s="296">
        <f t="shared" si="26"/>
        <v>1.9145071733868095</v>
      </c>
      <c r="M74" s="296">
        <f t="shared" si="48"/>
        <v>0.58235215201604285</v>
      </c>
      <c r="N74" s="11">
        <f t="shared" si="27"/>
        <v>79.844407969788563</v>
      </c>
      <c r="O74" s="296">
        <f t="shared" si="28"/>
        <v>2.0856712809283655</v>
      </c>
      <c r="P74" s="11">
        <f t="shared" si="49"/>
        <v>0.63370138427850964</v>
      </c>
      <c r="Q74" s="296">
        <f t="shared" si="29"/>
        <v>85.364825660221982</v>
      </c>
      <c r="R74" s="296">
        <f t="shared" si="30"/>
        <v>2.0639355237220651</v>
      </c>
      <c r="S74" s="296">
        <f t="shared" si="50"/>
        <v>0.62718065711661952</v>
      </c>
      <c r="T74" s="296">
        <f t="shared" si="31"/>
        <v>84.643173098580945</v>
      </c>
      <c r="U74" s="296">
        <f t="shared" si="32"/>
        <v>2.0666857614527667</v>
      </c>
      <c r="V74" s="296">
        <f t="shared" si="33"/>
        <v>0.62800572843583002</v>
      </c>
      <c r="W74" s="296">
        <f t="shared" si="34"/>
        <v>84.734146008253632</v>
      </c>
      <c r="X74" s="296">
        <f t="shared" si="35"/>
        <v>2.0663376110377634</v>
      </c>
      <c r="Y74" s="296">
        <f t="shared" si="36"/>
        <v>0.62790128331132899</v>
      </c>
      <c r="Z74" s="296">
        <f t="shared" si="37"/>
        <v>84.722624416615716</v>
      </c>
      <c r="AA74" s="296">
        <f t="shared" si="38"/>
        <v>2.0663816805430315</v>
      </c>
      <c r="AB74" s="296">
        <f t="shared" si="39"/>
        <v>0.6279145041629095</v>
      </c>
      <c r="AC74" s="296">
        <f t="shared" si="40"/>
        <v>84.724082753786377</v>
      </c>
      <c r="AD74" s="296">
        <f t="shared" si="41"/>
        <v>2.0663761021045013</v>
      </c>
      <c r="AE74" s="296">
        <f t="shared" si="42"/>
        <v>0.62791283063135039</v>
      </c>
      <c r="AF74" s="296">
        <f t="shared" si="43"/>
        <v>84.723898152090342</v>
      </c>
      <c r="AG74" s="296">
        <f t="shared" si="44"/>
        <v>2.0663768082378482</v>
      </c>
      <c r="AH74" s="475">
        <f t="shared" si="45"/>
        <v>0.62791304247135449</v>
      </c>
      <c r="AI74" s="475">
        <f t="shared" si="46"/>
        <v>84.723921519433858</v>
      </c>
      <c r="AJ74" s="475">
        <f t="shared" si="47"/>
        <v>2.0663767188536308</v>
      </c>
    </row>
    <row r="75" spans="11:36">
      <c r="K75" s="278">
        <f t="shared" si="25"/>
        <v>177.75432525951558</v>
      </c>
      <c r="L75" s="296">
        <f t="shared" si="26"/>
        <v>2.1089581329978055</v>
      </c>
      <c r="M75" s="296">
        <f t="shared" si="48"/>
        <v>0.64068743989934163</v>
      </c>
      <c r="N75" s="11">
        <f t="shared" si="27"/>
        <v>113.79259483913499</v>
      </c>
      <c r="O75" s="296">
        <f t="shared" si="28"/>
        <v>2.226643039460305</v>
      </c>
      <c r="P75" s="11">
        <f t="shared" si="49"/>
        <v>0.67599291183809151</v>
      </c>
      <c r="Q75" s="296">
        <f t="shared" si="29"/>
        <v>118.89052831550755</v>
      </c>
      <c r="R75" s="296">
        <f t="shared" si="30"/>
        <v>2.2146060104275058</v>
      </c>
      <c r="S75" s="296">
        <f t="shared" si="50"/>
        <v>0.6723818031282518</v>
      </c>
      <c r="T75" s="296">
        <f t="shared" si="31"/>
        <v>118.35878558245452</v>
      </c>
      <c r="U75" s="296">
        <f t="shared" si="32"/>
        <v>2.2158326761193345</v>
      </c>
      <c r="V75" s="296">
        <f t="shared" si="33"/>
        <v>0.67274980283580033</v>
      </c>
      <c r="W75" s="296">
        <f t="shared" si="34"/>
        <v>118.41286523975653</v>
      </c>
      <c r="X75" s="296">
        <f t="shared" si="35"/>
        <v>2.2157076222701688</v>
      </c>
      <c r="Y75" s="296">
        <f t="shared" si="36"/>
        <v>0.67271228668105065</v>
      </c>
      <c r="Z75" s="296">
        <f t="shared" si="37"/>
        <v>118.40735089576565</v>
      </c>
      <c r="AA75" s="296">
        <f t="shared" si="38"/>
        <v>2.2157203705390467</v>
      </c>
      <c r="AB75" s="296">
        <f t="shared" si="39"/>
        <v>0.67271611116171404</v>
      </c>
      <c r="AC75" s="296">
        <f t="shared" si="40"/>
        <v>118.40791302856151</v>
      </c>
      <c r="AD75" s="296">
        <f t="shared" si="41"/>
        <v>2.2157190709469314</v>
      </c>
      <c r="AE75" s="296">
        <f t="shared" si="42"/>
        <v>0.67271572128407942</v>
      </c>
      <c r="AF75" s="296">
        <f t="shared" si="43"/>
        <v>118.40785572314118</v>
      </c>
      <c r="AG75" s="296">
        <f t="shared" si="44"/>
        <v>2.2157192034307225</v>
      </c>
      <c r="AH75" s="475">
        <f t="shared" si="45"/>
        <v>0.67271576102921671</v>
      </c>
      <c r="AI75" s="475">
        <f t="shared" si="46"/>
        <v>118.40786156500307</v>
      </c>
      <c r="AJ75" s="475">
        <f t="shared" si="47"/>
        <v>2.2157191899249811</v>
      </c>
    </row>
    <row r="76" spans="11:36">
      <c r="K76" s="278">
        <f t="shared" si="25"/>
        <v>115.47058823529413</v>
      </c>
      <c r="L76" s="296">
        <f t="shared" si="26"/>
        <v>2.1589473001133554</v>
      </c>
      <c r="M76" s="296">
        <f t="shared" si="48"/>
        <v>0.65568419003400669</v>
      </c>
      <c r="N76" s="11">
        <f t="shared" si="27"/>
        <v>76.80635134805668</v>
      </c>
      <c r="O76" s="296">
        <f t="shared" si="28"/>
        <v>2.2783509089849066</v>
      </c>
      <c r="P76" s="11">
        <f t="shared" si="49"/>
        <v>0.69150527269547202</v>
      </c>
      <c r="Q76" s="296">
        <f t="shared" si="29"/>
        <v>80.134429595471175</v>
      </c>
      <c r="R76" s="296">
        <f t="shared" si="30"/>
        <v>2.2655769858209345</v>
      </c>
      <c r="S76" s="296">
        <f t="shared" si="50"/>
        <v>0.68767309574628033</v>
      </c>
      <c r="T76" s="296">
        <f t="shared" si="31"/>
        <v>79.771607445186447</v>
      </c>
      <c r="U76" s="296">
        <f t="shared" si="32"/>
        <v>2.2669398407418626</v>
      </c>
      <c r="V76" s="296">
        <f t="shared" si="33"/>
        <v>0.68808195222255875</v>
      </c>
      <c r="W76" s="296">
        <f t="shared" si="34"/>
        <v>79.810238670321368</v>
      </c>
      <c r="X76" s="296">
        <f t="shared" si="35"/>
        <v>2.2667943946041667</v>
      </c>
      <c r="Y76" s="296">
        <f t="shared" si="36"/>
        <v>0.68803831838124996</v>
      </c>
      <c r="Z76" s="296">
        <f t="shared" si="37"/>
        <v>79.806114990318093</v>
      </c>
      <c r="AA76" s="296">
        <f t="shared" si="38"/>
        <v>2.2668099163723854</v>
      </c>
      <c r="AB76" s="296">
        <f t="shared" si="39"/>
        <v>0.68804297491171562</v>
      </c>
      <c r="AC76" s="296">
        <f t="shared" si="40"/>
        <v>79.806555052385747</v>
      </c>
      <c r="AD76" s="296">
        <f t="shared" si="41"/>
        <v>2.2668082599097548</v>
      </c>
      <c r="AE76" s="296">
        <f t="shared" si="42"/>
        <v>0.68804247797292639</v>
      </c>
      <c r="AF76" s="296">
        <f t="shared" si="43"/>
        <v>79.806508089426671</v>
      </c>
      <c r="AG76" s="296">
        <f t="shared" si="44"/>
        <v>2.2668084366851988</v>
      </c>
      <c r="AH76" s="475">
        <f t="shared" si="45"/>
        <v>0.68804253100555968</v>
      </c>
      <c r="AI76" s="475">
        <f t="shared" si="46"/>
        <v>79.806513101248626</v>
      </c>
      <c r="AJ76" s="475">
        <f t="shared" si="47"/>
        <v>2.2668084178199628</v>
      </c>
    </row>
    <row r="77" spans="11:36">
      <c r="K77" s="278">
        <f t="shared" si="25"/>
        <v>96.89473684210526</v>
      </c>
      <c r="L77" s="296">
        <f t="shared" si="26"/>
        <v>2.2275022851547517</v>
      </c>
      <c r="M77" s="296">
        <f t="shared" si="48"/>
        <v>0.67625068554642553</v>
      </c>
      <c r="N77" s="11">
        <f t="shared" si="27"/>
        <v>67.205503727182645</v>
      </c>
      <c r="O77" s="296">
        <f t="shared" si="28"/>
        <v>2.3363476099515874</v>
      </c>
      <c r="P77" s="11">
        <f t="shared" si="49"/>
        <v>0.70890428298547625</v>
      </c>
      <c r="Q77" s="296">
        <f t="shared" si="29"/>
        <v>69.731843031954497</v>
      </c>
      <c r="R77" s="296">
        <f t="shared" si="30"/>
        <v>2.3251080707373033</v>
      </c>
      <c r="S77" s="296">
        <f t="shared" si="50"/>
        <v>0.70553242122119098</v>
      </c>
      <c r="T77" s="296">
        <f t="shared" si="31"/>
        <v>69.466631912659409</v>
      </c>
      <c r="U77" s="296">
        <f t="shared" si="32"/>
        <v>2.3262660855905777</v>
      </c>
      <c r="V77" s="296">
        <f t="shared" si="33"/>
        <v>0.70587982567717333</v>
      </c>
      <c r="W77" s="296">
        <f t="shared" si="34"/>
        <v>69.493910061420436</v>
      </c>
      <c r="X77" s="296">
        <f t="shared" si="35"/>
        <v>2.3261467470273867</v>
      </c>
      <c r="Y77" s="296">
        <f t="shared" si="36"/>
        <v>0.70584402410821601</v>
      </c>
      <c r="Z77" s="296">
        <f t="shared" si="37"/>
        <v>69.491098432301428</v>
      </c>
      <c r="AA77" s="296">
        <f t="shared" si="38"/>
        <v>2.3261590451006011</v>
      </c>
      <c r="AB77" s="296">
        <f t="shared" si="39"/>
        <v>0.70584771353018039</v>
      </c>
      <c r="AC77" s="296">
        <f t="shared" si="40"/>
        <v>69.491388170944376</v>
      </c>
      <c r="AD77" s="296">
        <f t="shared" si="41"/>
        <v>2.326157777756884</v>
      </c>
      <c r="AE77" s="296">
        <f t="shared" si="42"/>
        <v>0.70584733332706517</v>
      </c>
      <c r="AF77" s="296">
        <f t="shared" si="43"/>
        <v>69.491358312678855</v>
      </c>
      <c r="AG77" s="296">
        <f t="shared" si="44"/>
        <v>2.3261579083594315</v>
      </c>
      <c r="AH77" s="475">
        <f t="shared" si="45"/>
        <v>0.70584737250782947</v>
      </c>
      <c r="AI77" s="475">
        <f t="shared" si="46"/>
        <v>69.491361389637959</v>
      </c>
      <c r="AJ77" s="475">
        <f t="shared" si="47"/>
        <v>2.3261578949005526</v>
      </c>
    </row>
    <row r="78" spans="11:36">
      <c r="K78" s="278">
        <f t="shared" si="25"/>
        <v>106.64705882352942</v>
      </c>
      <c r="L78" s="296">
        <f t="shared" si="26"/>
        <v>2.1738697395672641</v>
      </c>
      <c r="M78" s="296">
        <f t="shared" si="48"/>
        <v>0.66016092187017927</v>
      </c>
      <c r="N78" s="11">
        <f t="shared" si="27"/>
        <v>73.914068791242045</v>
      </c>
      <c r="O78" s="296">
        <f t="shared" si="28"/>
        <v>2.2826022624709865</v>
      </c>
      <c r="P78" s="11">
        <f t="shared" si="49"/>
        <v>0.69278067874129601</v>
      </c>
      <c r="Q78" s="296">
        <f t="shared" si="29"/>
        <v>76.561450643524125</v>
      </c>
      <c r="R78" s="296">
        <f t="shared" si="30"/>
        <v>2.2719071311530983</v>
      </c>
      <c r="S78" s="296">
        <f t="shared" si="50"/>
        <v>0.68957213934592954</v>
      </c>
      <c r="T78" s="296">
        <f t="shared" si="31"/>
        <v>76.296898710326985</v>
      </c>
      <c r="U78" s="296">
        <f t="shared" si="32"/>
        <v>2.2729567987724919</v>
      </c>
      <c r="V78" s="296">
        <f t="shared" si="33"/>
        <v>0.68988703963174758</v>
      </c>
      <c r="W78" s="296">
        <f t="shared" si="34"/>
        <v>76.322822502913127</v>
      </c>
      <c r="X78" s="296">
        <f t="shared" si="35"/>
        <v>2.2728537571887979</v>
      </c>
      <c r="Y78" s="296">
        <f t="shared" si="36"/>
        <v>0.68985612715663935</v>
      </c>
      <c r="Z78" s="296">
        <f t="shared" si="37"/>
        <v>76.320277280212864</v>
      </c>
      <c r="AA78" s="296">
        <f t="shared" si="38"/>
        <v>2.2728638721431365</v>
      </c>
      <c r="AB78" s="296">
        <f t="shared" si="39"/>
        <v>0.68985916164294092</v>
      </c>
      <c r="AC78" s="296">
        <f t="shared" si="40"/>
        <v>76.320527125210731</v>
      </c>
      <c r="AD78" s="296">
        <f t="shared" si="41"/>
        <v>2.2728628792185983</v>
      </c>
      <c r="AE78" s="296">
        <f t="shared" si="42"/>
        <v>0.68985886376557948</v>
      </c>
      <c r="AF78" s="296">
        <f t="shared" si="43"/>
        <v>76.320502599386188</v>
      </c>
      <c r="AG78" s="296">
        <f t="shared" si="44"/>
        <v>2.2728629766880384</v>
      </c>
      <c r="AH78" s="475">
        <f t="shared" si="45"/>
        <v>0.68985889300641157</v>
      </c>
      <c r="AI78" s="475">
        <f t="shared" si="46"/>
        <v>76.320505006938774</v>
      </c>
      <c r="AJ78" s="475">
        <f t="shared" si="47"/>
        <v>2.2728629671200484</v>
      </c>
    </row>
    <row r="79" spans="11:36">
      <c r="K79" s="278">
        <f t="shared" si="25"/>
        <v>59.448179271708689</v>
      </c>
      <c r="L79" s="296">
        <f t="shared" si="26"/>
        <v>2.4133763061859508</v>
      </c>
      <c r="M79" s="296">
        <f t="shared" si="48"/>
        <v>0.73201289185578522</v>
      </c>
      <c r="N79" s="11">
        <f t="shared" si="27"/>
        <v>45.108606061559598</v>
      </c>
      <c r="O79" s="296">
        <f t="shared" si="28"/>
        <v>2.4990704404643704</v>
      </c>
      <c r="P79" s="11">
        <f t="shared" si="49"/>
        <v>0.75772113213931114</v>
      </c>
      <c r="Q79" s="296">
        <f t="shared" si="29"/>
        <v>46.319036810377447</v>
      </c>
      <c r="R79" s="296">
        <f t="shared" si="30"/>
        <v>2.4907273787087312</v>
      </c>
      <c r="S79" s="296">
        <f t="shared" si="50"/>
        <v>0.75521821361261932</v>
      </c>
      <c r="T79" s="296">
        <f t="shared" si="31"/>
        <v>46.199777585846718</v>
      </c>
      <c r="U79" s="296">
        <f t="shared" si="32"/>
        <v>2.4915385427976222</v>
      </c>
      <c r="V79" s="296">
        <f t="shared" si="33"/>
        <v>0.75546156283928667</v>
      </c>
      <c r="W79" s="296">
        <f t="shared" si="34"/>
        <v>46.211359217032729</v>
      </c>
      <c r="X79" s="296">
        <f t="shared" si="35"/>
        <v>2.4914596659142889</v>
      </c>
      <c r="Y79" s="296">
        <f t="shared" si="36"/>
        <v>0.75543789977428677</v>
      </c>
      <c r="Z79" s="296">
        <f t="shared" si="37"/>
        <v>46.210232901969825</v>
      </c>
      <c r="AA79" s="296">
        <f t="shared" si="38"/>
        <v>2.4914673357339687</v>
      </c>
      <c r="AB79" s="296">
        <f t="shared" si="39"/>
        <v>0.75544020072019058</v>
      </c>
      <c r="AC79" s="296">
        <f t="shared" si="40"/>
        <v>46.210342421236177</v>
      </c>
      <c r="AD79" s="296">
        <f t="shared" si="41"/>
        <v>2.4914665899361457</v>
      </c>
      <c r="AE79" s="296">
        <f t="shared" si="42"/>
        <v>0.75543997698084375</v>
      </c>
      <c r="AF79" s="296">
        <f t="shared" si="43"/>
        <v>46.21033177179185</v>
      </c>
      <c r="AG79" s="296">
        <f t="shared" si="44"/>
        <v>2.4914666624560158</v>
      </c>
      <c r="AH79" s="475">
        <f t="shared" si="45"/>
        <v>0.75543999873680479</v>
      </c>
      <c r="AI79" s="475">
        <f t="shared" si="46"/>
        <v>46.210332807322139</v>
      </c>
      <c r="AJ79" s="475">
        <f t="shared" si="47"/>
        <v>2.4914666554043303</v>
      </c>
    </row>
    <row r="80" spans="11:36">
      <c r="K80" s="278">
        <f t="shared" si="25"/>
        <v>67.3422459893048</v>
      </c>
      <c r="L80" s="296">
        <f t="shared" si="26"/>
        <v>2.2926678680140098</v>
      </c>
      <c r="M80" s="296">
        <f t="shared" si="48"/>
        <v>0.6958003604042029</v>
      </c>
      <c r="N80" s="11">
        <f t="shared" si="27"/>
        <v>49.929278706604912</v>
      </c>
      <c r="O80" s="296">
        <f t="shared" si="28"/>
        <v>2.3874319485855691</v>
      </c>
      <c r="P80" s="11">
        <f t="shared" si="49"/>
        <v>0.72422958457567077</v>
      </c>
      <c r="Q80" s="296">
        <f t="shared" si="29"/>
        <v>51.345007439864872</v>
      </c>
      <c r="R80" s="296">
        <f t="shared" si="30"/>
        <v>2.3784349577300676</v>
      </c>
      <c r="S80" s="296">
        <f t="shared" si="50"/>
        <v>0.72153048731902025</v>
      </c>
      <c r="T80" s="296">
        <f t="shared" si="31"/>
        <v>51.208889744549694</v>
      </c>
      <c r="U80" s="296">
        <f t="shared" si="32"/>
        <v>2.3792879395959923</v>
      </c>
      <c r="V80" s="296">
        <f t="shared" si="33"/>
        <v>0.72178638187879773</v>
      </c>
      <c r="W80" s="296">
        <f t="shared" si="34"/>
        <v>51.221779218687992</v>
      </c>
      <c r="X80" s="296">
        <f t="shared" si="35"/>
        <v>2.3792070597020385</v>
      </c>
      <c r="Y80" s="296">
        <f t="shared" si="36"/>
        <v>0.72176211791061151</v>
      </c>
      <c r="Z80" s="296">
        <f t="shared" si="37"/>
        <v>51.220556897215225</v>
      </c>
      <c r="AA80" s="296">
        <f t="shared" si="38"/>
        <v>2.3792147286506413</v>
      </c>
      <c r="AB80" s="296">
        <f t="shared" si="39"/>
        <v>0.72176441859519236</v>
      </c>
      <c r="AC80" s="296">
        <f t="shared" si="40"/>
        <v>51.220672795232034</v>
      </c>
      <c r="AD80" s="296">
        <f t="shared" si="41"/>
        <v>2.3792140014879228</v>
      </c>
      <c r="AE80" s="296">
        <f t="shared" si="42"/>
        <v>0.7217642004463769</v>
      </c>
      <c r="AF80" s="296">
        <f t="shared" si="43"/>
        <v>51.220661805876432</v>
      </c>
      <c r="AG80" s="296">
        <f t="shared" si="44"/>
        <v>2.3792140704368214</v>
      </c>
      <c r="AH80" s="475">
        <f t="shared" si="45"/>
        <v>0.72176422113104644</v>
      </c>
      <c r="AI80" s="475">
        <f t="shared" si="46"/>
        <v>51.220662847876895</v>
      </c>
      <c r="AJ80" s="475">
        <f t="shared" si="47"/>
        <v>2.3792140638991506</v>
      </c>
    </row>
    <row r="81" spans="11:36">
      <c r="K81" s="278">
        <f t="shared" si="25"/>
        <v>66.877237851662414</v>
      </c>
      <c r="L81" s="296">
        <f t="shared" si="26"/>
        <v>2.2811641208997706</v>
      </c>
      <c r="M81" s="296">
        <f t="shared" si="48"/>
        <v>0.69234923626993117</v>
      </c>
      <c r="N81" s="11">
        <f t="shared" si="27"/>
        <v>50.096939576640914</v>
      </c>
      <c r="O81" s="296">
        <f t="shared" si="28"/>
        <v>2.3732190733716383</v>
      </c>
      <c r="P81" s="11">
        <f t="shared" si="49"/>
        <v>0.71996572201149145</v>
      </c>
      <c r="Q81" s="296">
        <f t="shared" si="29"/>
        <v>51.4131058647244</v>
      </c>
      <c r="R81" s="296">
        <f t="shared" si="30"/>
        <v>2.3648301423236409</v>
      </c>
      <c r="S81" s="296">
        <f t="shared" si="50"/>
        <v>0.71744904269709231</v>
      </c>
      <c r="T81" s="296">
        <f t="shared" si="31"/>
        <v>51.291745659308198</v>
      </c>
      <c r="U81" s="296">
        <f t="shared" si="32"/>
        <v>2.3655936336330239</v>
      </c>
      <c r="V81" s="296">
        <f t="shared" si="33"/>
        <v>0.71767809008990713</v>
      </c>
      <c r="W81" s="296">
        <f t="shared" si="34"/>
        <v>51.302779004379929</v>
      </c>
      <c r="X81" s="296">
        <f t="shared" si="35"/>
        <v>2.3655241387243144</v>
      </c>
      <c r="Y81" s="296">
        <f t="shared" si="36"/>
        <v>0.71765724161729438</v>
      </c>
      <c r="Z81" s="296">
        <f t="shared" si="37"/>
        <v>51.301774623248733</v>
      </c>
      <c r="AA81" s="296">
        <f t="shared" si="38"/>
        <v>2.3655304642584194</v>
      </c>
      <c r="AB81" s="296">
        <f t="shared" si="39"/>
        <v>0.71765913927752578</v>
      </c>
      <c r="AC81" s="296">
        <f t="shared" si="40"/>
        <v>51.301866042759706</v>
      </c>
      <c r="AD81" s="296">
        <f t="shared" si="41"/>
        <v>2.3655298884979543</v>
      </c>
      <c r="AE81" s="296">
        <f t="shared" si="42"/>
        <v>0.71765896654938632</v>
      </c>
      <c r="AF81" s="296">
        <f t="shared" si="43"/>
        <v>51.301857721599482</v>
      </c>
      <c r="AG81" s="296">
        <f t="shared" si="44"/>
        <v>2.3655299409046093</v>
      </c>
      <c r="AH81" s="475">
        <f t="shared" si="45"/>
        <v>0.71765898227138281</v>
      </c>
      <c r="AI81" s="475">
        <f t="shared" si="46"/>
        <v>51.301858479004984</v>
      </c>
      <c r="AJ81" s="475">
        <f t="shared" si="47"/>
        <v>2.3655299361344704</v>
      </c>
    </row>
    <row r="82" spans="11:36">
      <c r="K82" s="278">
        <f t="shared" si="25"/>
        <v>66.450980392156865</v>
      </c>
      <c r="L82" s="296">
        <f t="shared" si="26"/>
        <v>2.3040742512517616</v>
      </c>
      <c r="M82" s="296">
        <f t="shared" si="48"/>
        <v>0.6992222753755285</v>
      </c>
      <c r="N82" s="11">
        <f t="shared" si="27"/>
        <v>50.745395596067638</v>
      </c>
      <c r="O82" s="296">
        <f t="shared" si="28"/>
        <v>2.3892114815768561</v>
      </c>
      <c r="P82" s="11">
        <f t="shared" si="49"/>
        <v>0.72476344447305685</v>
      </c>
      <c r="Q82" s="296">
        <f t="shared" si="29"/>
        <v>51.920735634352944</v>
      </c>
      <c r="R82" s="296">
        <f t="shared" si="30"/>
        <v>2.3818764183535532</v>
      </c>
      <c r="S82" s="296">
        <f t="shared" si="50"/>
        <v>0.72256292550606593</v>
      </c>
      <c r="T82" s="296">
        <f t="shared" si="31"/>
        <v>51.818410533765807</v>
      </c>
      <c r="U82" s="296">
        <f t="shared" si="32"/>
        <v>2.3825076314120439</v>
      </c>
      <c r="V82" s="296">
        <f t="shared" si="33"/>
        <v>0.72275228942361314</v>
      </c>
      <c r="W82" s="296">
        <f t="shared" si="34"/>
        <v>51.82720810338661</v>
      </c>
      <c r="X82" s="296">
        <f t="shared" si="35"/>
        <v>2.3824533073328253</v>
      </c>
      <c r="Y82" s="296">
        <f t="shared" si="36"/>
        <v>0.72273599219984763</v>
      </c>
      <c r="Z82" s="296">
        <f t="shared" si="37"/>
        <v>51.826450899557237</v>
      </c>
      <c r="AA82" s="296">
        <f t="shared" si="38"/>
        <v>2.3824579825841612</v>
      </c>
      <c r="AB82" s="296">
        <f t="shared" si="39"/>
        <v>0.72273739477524834</v>
      </c>
      <c r="AC82" s="296">
        <f t="shared" si="40"/>
        <v>51.826516065771372</v>
      </c>
      <c r="AD82" s="296">
        <f t="shared" si="41"/>
        <v>2.382457580221307</v>
      </c>
      <c r="AE82" s="296">
        <f t="shared" si="42"/>
        <v>0.7227372740663921</v>
      </c>
      <c r="AF82" s="296">
        <f t="shared" si="43"/>
        <v>51.82651045741428</v>
      </c>
      <c r="AG82" s="296">
        <f t="shared" si="44"/>
        <v>2.3824576148495749</v>
      </c>
      <c r="AH82" s="475">
        <f t="shared" si="45"/>
        <v>0.72273728445487251</v>
      </c>
      <c r="AI82" s="475">
        <f t="shared" si="46"/>
        <v>51.826510940082301</v>
      </c>
      <c r="AJ82" s="475">
        <f t="shared" si="47"/>
        <v>2.3824576118693872</v>
      </c>
    </row>
    <row r="83" spans="11:36">
      <c r="K83" s="278">
        <f t="shared" si="25"/>
        <v>59</v>
      </c>
      <c r="L83" s="296">
        <f t="shared" si="26"/>
        <v>2.5159615812837286</v>
      </c>
      <c r="M83" s="296">
        <f t="shared" si="48"/>
        <v>0.76278847438511854</v>
      </c>
      <c r="N83" s="11">
        <f t="shared" si="27"/>
        <v>48.161675010879023</v>
      </c>
      <c r="O83" s="296">
        <f t="shared" si="28"/>
        <v>2.5763141159933309</v>
      </c>
      <c r="P83" s="11">
        <f t="shared" si="49"/>
        <v>0.78089423479799924</v>
      </c>
      <c r="Q83" s="296">
        <f t="shared" si="29"/>
        <v>48.913628843462384</v>
      </c>
      <c r="R83" s="296">
        <f t="shared" si="30"/>
        <v>2.5716509737614008</v>
      </c>
      <c r="S83" s="296">
        <f t="shared" si="50"/>
        <v>0.77949529212842028</v>
      </c>
      <c r="T83" s="296">
        <f t="shared" si="31"/>
        <v>48.855112897954193</v>
      </c>
      <c r="U83" s="296">
        <f t="shared" si="32"/>
        <v>2.5720109456730538</v>
      </c>
      <c r="V83" s="296">
        <f t="shared" si="33"/>
        <v>0.77960328370191623</v>
      </c>
      <c r="W83" s="296">
        <f t="shared" si="34"/>
        <v>48.859627550036095</v>
      </c>
      <c r="X83" s="296">
        <f t="shared" si="35"/>
        <v>2.5719831556432187</v>
      </c>
      <c r="Y83" s="296">
        <f t="shared" si="36"/>
        <v>0.7795949466929657</v>
      </c>
      <c r="Z83" s="296">
        <f t="shared" si="37"/>
        <v>48.859279001548813</v>
      </c>
      <c r="AA83" s="296">
        <f t="shared" si="38"/>
        <v>2.5719853010372189</v>
      </c>
      <c r="AB83" s="296">
        <f t="shared" si="39"/>
        <v>0.77959559031116576</v>
      </c>
      <c r="AC83" s="296">
        <f t="shared" si="40"/>
        <v>48.85930590944983</v>
      </c>
      <c r="AD83" s="296">
        <f t="shared" si="41"/>
        <v>2.5719851354124477</v>
      </c>
      <c r="AE83" s="296">
        <f t="shared" si="42"/>
        <v>0.77959554062373426</v>
      </c>
      <c r="AF83" s="296">
        <f t="shared" si="43"/>
        <v>48.859303832154893</v>
      </c>
      <c r="AG83" s="296">
        <f t="shared" si="44"/>
        <v>2.5719851481987068</v>
      </c>
      <c r="AH83" s="475">
        <f t="shared" si="45"/>
        <v>0.7795955444596121</v>
      </c>
      <c r="AI83" s="475">
        <f t="shared" si="46"/>
        <v>48.859303992522399</v>
      </c>
      <c r="AJ83" s="475">
        <f t="shared" si="47"/>
        <v>2.5719851472116058</v>
      </c>
    </row>
    <row r="84" spans="11:36">
      <c r="K84" s="278">
        <f t="shared" si="25"/>
        <v>83.796380090497749</v>
      </c>
      <c r="L84" s="296">
        <f t="shared" si="26"/>
        <v>2.1375003510684127</v>
      </c>
      <c r="M84" s="296">
        <f t="shared" si="48"/>
        <v>0.64925010532052385</v>
      </c>
      <c r="N84" s="11">
        <f t="shared" si="27"/>
        <v>62.929916619670216</v>
      </c>
      <c r="O84" s="296">
        <f t="shared" si="28"/>
        <v>2.2291509711807045</v>
      </c>
      <c r="P84" s="11">
        <f t="shared" si="49"/>
        <v>0.67674529135421135</v>
      </c>
      <c r="Q84" s="296">
        <f t="shared" si="29"/>
        <v>64.358562761900529</v>
      </c>
      <c r="R84" s="296">
        <f t="shared" si="30"/>
        <v>2.2218516043675374</v>
      </c>
      <c r="S84" s="296">
        <f t="shared" si="50"/>
        <v>0.67455548131026122</v>
      </c>
      <c r="T84" s="296">
        <f t="shared" si="31"/>
        <v>64.243601438628943</v>
      </c>
      <c r="U84" s="296">
        <f t="shared" si="32"/>
        <v>2.222432261983883</v>
      </c>
      <c r="V84" s="296">
        <f t="shared" si="33"/>
        <v>0.67472967859516486</v>
      </c>
      <c r="W84" s="296">
        <f t="shared" si="34"/>
        <v>64.252738978589164</v>
      </c>
      <c r="X84" s="296">
        <f t="shared" si="35"/>
        <v>2.222386066851032</v>
      </c>
      <c r="Y84" s="296">
        <f t="shared" si="36"/>
        <v>0.67471582005530961</v>
      </c>
      <c r="Z84" s="296">
        <f t="shared" si="37"/>
        <v>64.252011979597327</v>
      </c>
      <c r="AA84" s="296">
        <f t="shared" si="38"/>
        <v>2.222389741950018</v>
      </c>
      <c r="AB84" s="296">
        <f t="shared" si="39"/>
        <v>0.67471692258500537</v>
      </c>
      <c r="AC84" s="296">
        <f t="shared" si="40"/>
        <v>64.25206981641216</v>
      </c>
      <c r="AD84" s="296">
        <f t="shared" si="41"/>
        <v>2.2223894495737477</v>
      </c>
      <c r="AE84" s="296">
        <f t="shared" si="42"/>
        <v>0.6747168348721243</v>
      </c>
      <c r="AF84" s="296">
        <f t="shared" si="43"/>
        <v>64.252065215143119</v>
      </c>
      <c r="AG84" s="296">
        <f t="shared" si="44"/>
        <v>2.222389472834041</v>
      </c>
      <c r="AH84" s="475">
        <f t="shared" si="45"/>
        <v>0.6747168418502123</v>
      </c>
      <c r="AI84" s="475">
        <f t="shared" si="46"/>
        <v>64.252065581201762</v>
      </c>
      <c r="AJ84" s="475">
        <f t="shared" si="47"/>
        <v>2.2223894709835443</v>
      </c>
    </row>
    <row r="85" spans="11:36">
      <c r="K85" s="278">
        <f t="shared" si="25"/>
        <v>102.3986928104575</v>
      </c>
      <c r="L85" s="296">
        <f t="shared" si="26"/>
        <v>2.0581768013432775</v>
      </c>
      <c r="M85" s="296">
        <f t="shared" si="48"/>
        <v>0.62545304040298322</v>
      </c>
      <c r="N85" s="11">
        <f t="shared" si="27"/>
        <v>76.494001884019994</v>
      </c>
      <c r="O85" s="296">
        <f t="shared" si="28"/>
        <v>2.1498673043293577</v>
      </c>
      <c r="P85" s="11">
        <f t="shared" si="49"/>
        <v>0.65296019129880734</v>
      </c>
      <c r="Q85" s="296">
        <f t="shared" si="29"/>
        <v>78.150174429460392</v>
      </c>
      <c r="R85" s="296">
        <f t="shared" si="30"/>
        <v>2.1430121980509953</v>
      </c>
      <c r="S85" s="296">
        <f t="shared" si="50"/>
        <v>0.6509036594152986</v>
      </c>
      <c r="T85" s="296">
        <f t="shared" si="31"/>
        <v>78.025122412654241</v>
      </c>
      <c r="U85" s="296">
        <f t="shared" si="32"/>
        <v>2.1435240719543249</v>
      </c>
      <c r="V85" s="296">
        <f t="shared" si="33"/>
        <v>0.65105722158629753</v>
      </c>
      <c r="W85" s="296">
        <f t="shared" si="34"/>
        <v>78.034453186651731</v>
      </c>
      <c r="X85" s="296">
        <f t="shared" si="35"/>
        <v>2.1434858465240225</v>
      </c>
      <c r="Y85" s="296">
        <f t="shared" si="36"/>
        <v>0.65104575395720676</v>
      </c>
      <c r="Z85" s="296">
        <f t="shared" si="37"/>
        <v>78.033756349829218</v>
      </c>
      <c r="AA85" s="296">
        <f t="shared" si="38"/>
        <v>2.1434887010812016</v>
      </c>
      <c r="AB85" s="296">
        <f t="shared" si="39"/>
        <v>0.65104661032436051</v>
      </c>
      <c r="AC85" s="296">
        <f t="shared" si="40"/>
        <v>78.033808387237841</v>
      </c>
      <c r="AD85" s="296">
        <f t="shared" si="41"/>
        <v>2.1434884879115685</v>
      </c>
      <c r="AE85" s="296">
        <f t="shared" si="42"/>
        <v>0.65104654637347059</v>
      </c>
      <c r="AF85" s="296">
        <f t="shared" si="43"/>
        <v>78.033804501241505</v>
      </c>
      <c r="AG85" s="296">
        <f t="shared" si="44"/>
        <v>2.1434885038304268</v>
      </c>
      <c r="AH85" s="475">
        <f t="shared" si="45"/>
        <v>0.65104655114912802</v>
      </c>
      <c r="AI85" s="475">
        <f t="shared" si="46"/>
        <v>78.033804791435841</v>
      </c>
      <c r="AJ85" s="475">
        <f t="shared" si="47"/>
        <v>2.143488502641655</v>
      </c>
    </row>
    <row r="86" spans="11:36">
      <c r="K86" s="278">
        <f t="shared" si="25"/>
        <v>86.058823529411768</v>
      </c>
      <c r="L86" s="296">
        <f t="shared" si="26"/>
        <v>2.2228862610493074</v>
      </c>
      <c r="M86" s="296">
        <f t="shared" si="48"/>
        <v>0.67486587831479228</v>
      </c>
      <c r="N86" s="11">
        <f t="shared" si="27"/>
        <v>67.60431621693138</v>
      </c>
      <c r="O86" s="296">
        <f t="shared" si="28"/>
        <v>2.2965308769158321</v>
      </c>
      <c r="P86" s="11">
        <f t="shared" si="49"/>
        <v>0.69695926307474965</v>
      </c>
      <c r="Q86" s="296">
        <f t="shared" si="29"/>
        <v>68.722219626167146</v>
      </c>
      <c r="R86" s="296">
        <f t="shared" si="30"/>
        <v>2.2914497170961488</v>
      </c>
      <c r="S86" s="296">
        <f t="shared" si="50"/>
        <v>0.69543491512884459</v>
      </c>
      <c r="T86" s="296">
        <f t="shared" si="31"/>
        <v>68.644498882490282</v>
      </c>
      <c r="U86" s="296">
        <f t="shared" si="32"/>
        <v>2.2917999459678238</v>
      </c>
      <c r="V86" s="296">
        <f t="shared" si="33"/>
        <v>0.69553998379034709</v>
      </c>
      <c r="W86" s="296">
        <f t="shared" si="34"/>
        <v>68.649853115058292</v>
      </c>
      <c r="X86" s="296">
        <f t="shared" si="35"/>
        <v>2.2917758040942284</v>
      </c>
      <c r="Y86" s="296">
        <f t="shared" si="36"/>
        <v>0.69553274122826858</v>
      </c>
      <c r="Z86" s="296">
        <f t="shared" si="37"/>
        <v>68.649484025272059</v>
      </c>
      <c r="AA86" s="296">
        <f t="shared" si="38"/>
        <v>2.2917774682268548</v>
      </c>
      <c r="AB86" s="296">
        <f t="shared" si="39"/>
        <v>0.69553324046805642</v>
      </c>
      <c r="AC86" s="296">
        <f t="shared" si="40"/>
        <v>68.649509467076129</v>
      </c>
      <c r="AD86" s="296">
        <f t="shared" si="41"/>
        <v>2.2917773535158612</v>
      </c>
      <c r="AE86" s="296">
        <f t="shared" si="42"/>
        <v>0.69553320605475832</v>
      </c>
      <c r="AF86" s="296">
        <f t="shared" si="43"/>
        <v>68.649507713336618</v>
      </c>
      <c r="AG86" s="296">
        <f t="shared" si="44"/>
        <v>2.2917773614230508</v>
      </c>
      <c r="AH86" s="475">
        <f t="shared" si="45"/>
        <v>0.69553320842691524</v>
      </c>
      <c r="AI86" s="475">
        <f t="shared" si="46"/>
        <v>68.649507834224352</v>
      </c>
      <c r="AJ86" s="475">
        <f t="shared" si="47"/>
        <v>2.2917773608779965</v>
      </c>
    </row>
    <row r="87" spans="11:36">
      <c r="K87" s="278">
        <f t="shared" si="25"/>
        <v>58.675456389452336</v>
      </c>
      <c r="L87" s="296">
        <f t="shared" si="26"/>
        <v>2.2601532869304823</v>
      </c>
      <c r="M87" s="296">
        <f t="shared" si="48"/>
        <v>0.68604598607914469</v>
      </c>
      <c r="N87" s="11">
        <f t="shared" si="27"/>
        <v>46.992065414589064</v>
      </c>
      <c r="O87" s="296">
        <f t="shared" si="28"/>
        <v>2.3336148556956284</v>
      </c>
      <c r="P87" s="11">
        <f t="shared" si="49"/>
        <v>0.70808445670868858</v>
      </c>
      <c r="Q87" s="296">
        <f t="shared" si="29"/>
        <v>47.730250964320454</v>
      </c>
      <c r="R87" s="296">
        <f t="shared" si="30"/>
        <v>2.3284034149019024</v>
      </c>
      <c r="S87" s="296">
        <f t="shared" si="50"/>
        <v>0.70652102447057075</v>
      </c>
      <c r="T87" s="296">
        <f t="shared" si="31"/>
        <v>47.677503296722371</v>
      </c>
      <c r="U87" s="296">
        <f t="shared" si="32"/>
        <v>2.3287728558874057</v>
      </c>
      <c r="V87" s="296">
        <f t="shared" si="33"/>
        <v>0.70663185676622176</v>
      </c>
      <c r="W87" s="296">
        <f t="shared" si="34"/>
        <v>47.681240678117469</v>
      </c>
      <c r="X87" s="296">
        <f t="shared" si="35"/>
        <v>2.3287466647468866</v>
      </c>
      <c r="Y87" s="296">
        <f t="shared" si="36"/>
        <v>0.70662399942406595</v>
      </c>
      <c r="Z87" s="296">
        <f t="shared" si="37"/>
        <v>47.68097571064056</v>
      </c>
      <c r="AA87" s="296">
        <f t="shared" si="38"/>
        <v>2.3287485215342971</v>
      </c>
      <c r="AB87" s="296">
        <f t="shared" si="39"/>
        <v>0.7066245564602891</v>
      </c>
      <c r="AC87" s="296">
        <f t="shared" si="40"/>
        <v>47.680994495122462</v>
      </c>
      <c r="AD87" s="296">
        <f t="shared" si="41"/>
        <v>2.3287483898996948</v>
      </c>
      <c r="AE87" s="296">
        <f t="shared" si="42"/>
        <v>0.70662451696990847</v>
      </c>
      <c r="AF87" s="296">
        <f t="shared" si="43"/>
        <v>47.680993163420069</v>
      </c>
      <c r="AG87" s="296">
        <f t="shared" si="44"/>
        <v>2.3287483992317637</v>
      </c>
      <c r="AH87" s="475">
        <f t="shared" si="45"/>
        <v>0.70662451976952911</v>
      </c>
      <c r="AI87" s="475">
        <f t="shared" si="46"/>
        <v>47.680993257829421</v>
      </c>
      <c r="AJ87" s="475">
        <f t="shared" si="47"/>
        <v>2.3287483985701782</v>
      </c>
    </row>
    <row r="88" spans="11:36">
      <c r="K88" s="278">
        <f t="shared" si="25"/>
        <v>60.568627450980394</v>
      </c>
      <c r="L88" s="296">
        <f t="shared" si="26"/>
        <v>2.265347337225101</v>
      </c>
      <c r="M88" s="296">
        <f t="shared" si="48"/>
        <v>0.68760420116753029</v>
      </c>
      <c r="N88" s="11">
        <f t="shared" si="27"/>
        <v>49.078794155788742</v>
      </c>
      <c r="O88" s="296">
        <f t="shared" si="28"/>
        <v>2.3342042356340409</v>
      </c>
      <c r="P88" s="11">
        <f t="shared" si="49"/>
        <v>0.70826127069021227</v>
      </c>
      <c r="Q88" s="296">
        <f t="shared" si="29"/>
        <v>49.766216776061917</v>
      </c>
      <c r="R88" s="296">
        <f t="shared" si="30"/>
        <v>2.3296033262924238</v>
      </c>
      <c r="S88" s="296">
        <f t="shared" si="50"/>
        <v>0.70688099788772718</v>
      </c>
      <c r="T88" s="296">
        <f t="shared" si="31"/>
        <v>49.719985582262943</v>
      </c>
      <c r="U88" s="296">
        <f t="shared" si="32"/>
        <v>2.3299105467688181</v>
      </c>
      <c r="V88" s="296">
        <f t="shared" si="33"/>
        <v>0.70697316403064547</v>
      </c>
      <c r="W88" s="296">
        <f t="shared" si="34"/>
        <v>49.723071278952467</v>
      </c>
      <c r="X88" s="296">
        <f t="shared" si="35"/>
        <v>2.3298900315552107</v>
      </c>
      <c r="Y88" s="296">
        <f t="shared" si="36"/>
        <v>0.70696700946656321</v>
      </c>
      <c r="Z88" s="296">
        <f t="shared" si="37"/>
        <v>49.722865219901315</v>
      </c>
      <c r="AA88" s="296">
        <f t="shared" si="38"/>
        <v>2.3298914014923287</v>
      </c>
      <c r="AB88" s="296">
        <f t="shared" si="39"/>
        <v>0.70696742044769856</v>
      </c>
      <c r="AC88" s="296">
        <f t="shared" si="40"/>
        <v>49.72287897980663</v>
      </c>
      <c r="AD88" s="296">
        <f t="shared" si="41"/>
        <v>2.3298913100125067</v>
      </c>
      <c r="AE88" s="296">
        <f t="shared" si="42"/>
        <v>0.706967393003752</v>
      </c>
      <c r="AF88" s="296">
        <f t="shared" si="43"/>
        <v>49.722878060966025</v>
      </c>
      <c r="AG88" s="296">
        <f t="shared" si="44"/>
        <v>2.3298913161212234</v>
      </c>
      <c r="AH88" s="475">
        <f t="shared" si="45"/>
        <v>0.70696739483636706</v>
      </c>
      <c r="AI88" s="475">
        <f t="shared" si="46"/>
        <v>49.722878122323131</v>
      </c>
      <c r="AJ88" s="475">
        <f t="shared" si="47"/>
        <v>2.3298913157133039</v>
      </c>
    </row>
    <row r="89" spans="11:36">
      <c r="K89" s="278">
        <f t="shared" si="25"/>
        <v>68.032258064516128</v>
      </c>
      <c r="L89" s="296">
        <f t="shared" si="26"/>
        <v>2.3354887820889707</v>
      </c>
      <c r="M89" s="296">
        <f t="shared" si="48"/>
        <v>0.7086466346266912</v>
      </c>
      <c r="N89" s="11">
        <f t="shared" si="27"/>
        <v>56.449938411855527</v>
      </c>
      <c r="O89" s="296">
        <f t="shared" si="28"/>
        <v>2.3930076741178379</v>
      </c>
      <c r="P89" s="11">
        <f t="shared" si="49"/>
        <v>0.72590230223535135</v>
      </c>
      <c r="Q89" s="296">
        <f t="shared" si="29"/>
        <v>57.077351919244194</v>
      </c>
      <c r="R89" s="296">
        <f t="shared" si="30"/>
        <v>2.3895630479923198</v>
      </c>
      <c r="S89" s="296">
        <f t="shared" si="50"/>
        <v>0.72486891439769596</v>
      </c>
      <c r="T89" s="296">
        <f t="shared" si="31"/>
        <v>57.039582555070488</v>
      </c>
      <c r="U89" s="296">
        <f t="shared" si="32"/>
        <v>2.3897692041831591</v>
      </c>
      <c r="V89" s="296">
        <f t="shared" si="33"/>
        <v>0.72493076125494771</v>
      </c>
      <c r="W89" s="296">
        <f t="shared" si="34"/>
        <v>57.041842296873348</v>
      </c>
      <c r="X89" s="296">
        <f t="shared" si="35"/>
        <v>2.3897568655428123</v>
      </c>
      <c r="Y89" s="296">
        <f t="shared" si="36"/>
        <v>0.72492705966284365</v>
      </c>
      <c r="Z89" s="296">
        <f t="shared" si="37"/>
        <v>57.041707046699635</v>
      </c>
      <c r="AA89" s="296">
        <f t="shared" si="38"/>
        <v>2.3897576040202555</v>
      </c>
      <c r="AB89" s="296">
        <f t="shared" si="39"/>
        <v>0.72492728120607663</v>
      </c>
      <c r="AC89" s="296">
        <f t="shared" si="40"/>
        <v>57.041715141521138</v>
      </c>
      <c r="AD89" s="296">
        <f t="shared" si="41"/>
        <v>2.3897575598217866</v>
      </c>
      <c r="AE89" s="296">
        <f t="shared" si="42"/>
        <v>0.72492726794653595</v>
      </c>
      <c r="AF89" s="296">
        <f t="shared" si="43"/>
        <v>57.04171465703952</v>
      </c>
      <c r="AG89" s="296">
        <f t="shared" si="44"/>
        <v>2.3897575624671008</v>
      </c>
      <c r="AH89" s="475">
        <f t="shared" si="45"/>
        <v>0.72492726874013025</v>
      </c>
      <c r="AI89" s="475">
        <f t="shared" si="46"/>
        <v>57.041714686036144</v>
      </c>
      <c r="AJ89" s="475">
        <f t="shared" si="47"/>
        <v>2.3897575623087763</v>
      </c>
    </row>
    <row r="90" spans="11:36">
      <c r="K90" s="278">
        <f t="shared" si="25"/>
        <v>73.191176470588232</v>
      </c>
      <c r="L90" s="296">
        <f t="shared" si="26"/>
        <v>2.1866907529655015</v>
      </c>
      <c r="M90" s="296">
        <f t="shared" si="48"/>
        <v>0.66400722588965044</v>
      </c>
      <c r="N90" s="11">
        <f t="shared" si="27"/>
        <v>59.651568667057326</v>
      </c>
      <c r="O90" s="296">
        <f t="shared" si="28"/>
        <v>2.2527252216779372</v>
      </c>
      <c r="P90" s="11">
        <f t="shared" si="49"/>
        <v>0.68381756650338121</v>
      </c>
      <c r="Q90" s="296">
        <f t="shared" si="29"/>
        <v>60.375361583614783</v>
      </c>
      <c r="R90" s="296">
        <f t="shared" si="30"/>
        <v>2.2487882237153185</v>
      </c>
      <c r="S90" s="296">
        <f t="shared" si="50"/>
        <v>0.68263646711459558</v>
      </c>
      <c r="T90" s="296">
        <f t="shared" si="31"/>
        <v>60.331963654742808</v>
      </c>
      <c r="U90" s="296">
        <f t="shared" si="32"/>
        <v>2.2490228001330892</v>
      </c>
      <c r="V90" s="296">
        <f t="shared" si="33"/>
        <v>0.68270684003992677</v>
      </c>
      <c r="W90" s="296">
        <f t="shared" si="34"/>
        <v>60.334548540273573</v>
      </c>
      <c r="X90" s="296">
        <f t="shared" si="35"/>
        <v>2.2490088229402074</v>
      </c>
      <c r="Y90" s="296">
        <f t="shared" si="36"/>
        <v>0.68270264688206228</v>
      </c>
      <c r="Z90" s="296">
        <f t="shared" si="37"/>
        <v>60.334394517239936</v>
      </c>
      <c r="AA90" s="296">
        <f t="shared" si="38"/>
        <v>2.2490096557668058</v>
      </c>
      <c r="AB90" s="296">
        <f t="shared" si="39"/>
        <v>0.6827028967300417</v>
      </c>
      <c r="AC90" s="296">
        <f t="shared" si="40"/>
        <v>60.334403694642454</v>
      </c>
      <c r="AD90" s="296">
        <f t="shared" si="41"/>
        <v>2.2490096061430909</v>
      </c>
      <c r="AE90" s="296">
        <f t="shared" si="42"/>
        <v>0.68270288184292727</v>
      </c>
      <c r="AF90" s="296">
        <f t="shared" si="43"/>
        <v>60.334403147809731</v>
      </c>
      <c r="AG90" s="296">
        <f t="shared" si="44"/>
        <v>2.2490096090999048</v>
      </c>
      <c r="AH90" s="475">
        <f t="shared" si="45"/>
        <v>0.68270288272997148</v>
      </c>
      <c r="AI90" s="475">
        <f t="shared" si="46"/>
        <v>60.334403180392592</v>
      </c>
      <c r="AJ90" s="475">
        <f t="shared" si="47"/>
        <v>2.2490096089237235</v>
      </c>
    </row>
    <row r="91" spans="11:36">
      <c r="K91" s="278">
        <f t="shared" si="25"/>
        <v>56.64705882352942</v>
      </c>
      <c r="L91" s="296">
        <f t="shared" si="26"/>
        <v>2.335354221488056</v>
      </c>
      <c r="M91" s="296">
        <f t="shared" si="48"/>
        <v>0.70860626644641678</v>
      </c>
      <c r="N91" s="11">
        <f t="shared" si="27"/>
        <v>47.865953726276913</v>
      </c>
      <c r="O91" s="296">
        <f t="shared" si="28"/>
        <v>2.3896451070242524</v>
      </c>
      <c r="P91" s="11">
        <f t="shared" si="49"/>
        <v>0.7248935321072757</v>
      </c>
      <c r="Q91" s="296">
        <f t="shared" si="29"/>
        <v>48.318720470113732</v>
      </c>
      <c r="R91" s="296">
        <f t="shared" si="30"/>
        <v>2.3865839806839073</v>
      </c>
      <c r="S91" s="296">
        <f t="shared" si="50"/>
        <v>0.7239751942051722</v>
      </c>
      <c r="T91" s="296">
        <f t="shared" si="31"/>
        <v>48.29307820795681</v>
      </c>
      <c r="U91" s="296">
        <f t="shared" si="32"/>
        <v>2.3867564967253521</v>
      </c>
      <c r="V91" s="296">
        <f t="shared" si="33"/>
        <v>0.72402694901760567</v>
      </c>
      <c r="W91" s="296">
        <f t="shared" si="34"/>
        <v>48.294522968220662</v>
      </c>
      <c r="X91" s="296">
        <f t="shared" si="35"/>
        <v>2.3867467739701378</v>
      </c>
      <c r="Y91" s="296">
        <f t="shared" si="36"/>
        <v>0.72402403219104139</v>
      </c>
      <c r="Z91" s="296">
        <f t="shared" si="37"/>
        <v>48.294441542467176</v>
      </c>
      <c r="AA91" s="296">
        <f t="shared" si="38"/>
        <v>2.3867473219297675</v>
      </c>
      <c r="AB91" s="296">
        <f t="shared" si="39"/>
        <v>0.72402419657893025</v>
      </c>
      <c r="AC91" s="296">
        <f t="shared" si="40"/>
        <v>48.294446131494588</v>
      </c>
      <c r="AD91" s="296">
        <f t="shared" si="41"/>
        <v>2.3867472910475978</v>
      </c>
      <c r="AE91" s="296">
        <f t="shared" si="42"/>
        <v>0.72402418731427931</v>
      </c>
      <c r="AF91" s="296">
        <f t="shared" si="43"/>
        <v>48.294445872863989</v>
      </c>
      <c r="AG91" s="296">
        <f t="shared" si="44"/>
        <v>2.3867472927880695</v>
      </c>
      <c r="AH91" s="475">
        <f t="shared" si="45"/>
        <v>0.72402418783642086</v>
      </c>
      <c r="AI91" s="475">
        <f t="shared" si="46"/>
        <v>48.294445887440013</v>
      </c>
      <c r="AJ91" s="475">
        <f t="shared" si="47"/>
        <v>2.3867472926899791</v>
      </c>
    </row>
    <row r="92" spans="11:36">
      <c r="K92" s="278">
        <f t="shared" si="25"/>
        <v>42.806228373702417</v>
      </c>
      <c r="L92" s="296">
        <f t="shared" si="26"/>
        <v>2.3283098103281765</v>
      </c>
      <c r="M92" s="296">
        <f t="shared" si="48"/>
        <v>0.70649294309845301</v>
      </c>
      <c r="N92" s="11">
        <f t="shared" si="27"/>
        <v>36.44442517679358</v>
      </c>
      <c r="O92" s="296">
        <f t="shared" si="28"/>
        <v>2.38387117324908</v>
      </c>
      <c r="P92" s="11">
        <f t="shared" si="49"/>
        <v>0.72316135197472398</v>
      </c>
      <c r="Q92" s="296">
        <f t="shared" si="29"/>
        <v>36.778955281566738</v>
      </c>
      <c r="R92" s="296">
        <f t="shared" si="30"/>
        <v>2.3806956163942918</v>
      </c>
      <c r="S92" s="296">
        <f t="shared" si="50"/>
        <v>0.7222086849182876</v>
      </c>
      <c r="T92" s="296">
        <f t="shared" si="31"/>
        <v>36.759753061471748</v>
      </c>
      <c r="U92" s="296">
        <f t="shared" si="32"/>
        <v>2.380877048238192</v>
      </c>
      <c r="V92" s="296">
        <f t="shared" si="33"/>
        <v>0.72226311447145763</v>
      </c>
      <c r="W92" s="296">
        <f t="shared" si="34"/>
        <v>36.760849888483357</v>
      </c>
      <c r="X92" s="296">
        <f t="shared" si="35"/>
        <v>2.3808666821257582</v>
      </c>
      <c r="Y92" s="296">
        <f t="shared" si="36"/>
        <v>0.72226000463772744</v>
      </c>
      <c r="Z92" s="296">
        <f t="shared" si="37"/>
        <v>36.760787220366169</v>
      </c>
      <c r="AA92" s="296">
        <f t="shared" si="38"/>
        <v>2.3808672743931383</v>
      </c>
      <c r="AB92" s="296">
        <f t="shared" si="39"/>
        <v>0.72226018231794153</v>
      </c>
      <c r="AC92" s="296">
        <f t="shared" si="40"/>
        <v>36.760790800903422</v>
      </c>
      <c r="AD92" s="296">
        <f t="shared" si="41"/>
        <v>2.380867240553965</v>
      </c>
      <c r="AE92" s="296">
        <f t="shared" si="42"/>
        <v>0.72226017216618954</v>
      </c>
      <c r="AF92" s="296">
        <f t="shared" si="43"/>
        <v>36.760790596329564</v>
      </c>
      <c r="AG92" s="296">
        <f t="shared" si="44"/>
        <v>2.3808672424873651</v>
      </c>
      <c r="AH92" s="475">
        <f t="shared" si="45"/>
        <v>0.72226017274620957</v>
      </c>
      <c r="AI92" s="475">
        <f t="shared" si="46"/>
        <v>36.760790608017885</v>
      </c>
      <c r="AJ92" s="475">
        <f t="shared" si="47"/>
        <v>2.3808672423769002</v>
      </c>
    </row>
    <row r="93" spans="11:36">
      <c r="K93" s="278">
        <f t="shared" si="25"/>
        <v>31.436974789915965</v>
      </c>
      <c r="L93" s="296">
        <f t="shared" si="26"/>
        <v>2.7051211996695392</v>
      </c>
      <c r="M93" s="296">
        <f t="shared" si="48"/>
        <v>0.81953635990086182</v>
      </c>
      <c r="N93" s="11">
        <f t="shared" si="27"/>
        <v>28.625247980728371</v>
      </c>
      <c r="O93" s="296">
        <f t="shared" si="28"/>
        <v>2.7349349624935804</v>
      </c>
      <c r="P93" s="11">
        <f t="shared" si="49"/>
        <v>0.82848048874807412</v>
      </c>
      <c r="Q93" s="296">
        <f t="shared" si="29"/>
        <v>28.758485220982227</v>
      </c>
      <c r="R93" s="296">
        <f t="shared" si="30"/>
        <v>2.7334507261428791</v>
      </c>
      <c r="S93" s="296">
        <f t="shared" si="50"/>
        <v>0.82803521784286382</v>
      </c>
      <c r="T93" s="296">
        <f t="shared" si="31"/>
        <v>28.751837547420457</v>
      </c>
      <c r="U93" s="296">
        <f t="shared" si="32"/>
        <v>2.7335246006355183</v>
      </c>
      <c r="V93" s="296">
        <f t="shared" si="33"/>
        <v>0.82805738019065545</v>
      </c>
      <c r="W93" s="296">
        <f t="shared" si="34"/>
        <v>28.752168383929529</v>
      </c>
      <c r="X93" s="296">
        <f t="shared" si="35"/>
        <v>2.7335209236604734</v>
      </c>
      <c r="Y93" s="296">
        <f t="shared" si="36"/>
        <v>0.82805627709814211</v>
      </c>
      <c r="Z93" s="296">
        <f t="shared" si="37"/>
        <v>28.752151917024719</v>
      </c>
      <c r="AA93" s="296">
        <f t="shared" si="38"/>
        <v>2.733521106675445</v>
      </c>
      <c r="AB93" s="296">
        <f t="shared" si="39"/>
        <v>0.82805633200263351</v>
      </c>
      <c r="AC93" s="296">
        <f t="shared" si="40"/>
        <v>28.752152736635747</v>
      </c>
      <c r="AD93" s="296">
        <f t="shared" si="41"/>
        <v>2.7335210975661957</v>
      </c>
      <c r="AE93" s="296">
        <f t="shared" si="42"/>
        <v>0.82805632926985873</v>
      </c>
      <c r="AF93" s="296">
        <f t="shared" si="43"/>
        <v>28.752152695841048</v>
      </c>
      <c r="AG93" s="296">
        <f t="shared" si="44"/>
        <v>2.733521098019593</v>
      </c>
      <c r="AH93" s="475">
        <f t="shared" si="45"/>
        <v>0.82805632940587792</v>
      </c>
      <c r="AI93" s="475">
        <f t="shared" si="46"/>
        <v>28.752152697871534</v>
      </c>
      <c r="AJ93" s="475">
        <f t="shared" si="47"/>
        <v>2.7335210979970257</v>
      </c>
    </row>
    <row r="94" spans="11:36">
      <c r="K94" s="278">
        <f t="shared" si="25"/>
        <v>14.163398692810455</v>
      </c>
      <c r="L94" s="296">
        <f t="shared" si="26"/>
        <v>2.9878038582767394</v>
      </c>
      <c r="M94" s="296">
        <f t="shared" si="48"/>
        <v>0.9043411574830218</v>
      </c>
      <c r="N94" s="11">
        <f t="shared" si="27"/>
        <v>13.513516255060221</v>
      </c>
      <c r="O94" s="296">
        <f t="shared" si="28"/>
        <v>3.0036631416392137</v>
      </c>
      <c r="P94" s="11">
        <f t="shared" si="49"/>
        <v>0.90909894249176415</v>
      </c>
      <c r="Q94" s="296">
        <f t="shared" si="29"/>
        <v>13.545123191886825</v>
      </c>
      <c r="R94" s="296">
        <f t="shared" si="30"/>
        <v>3.0028730528687455</v>
      </c>
      <c r="S94" s="296">
        <f t="shared" si="50"/>
        <v>0.9088619158606237</v>
      </c>
      <c r="T94" s="296">
        <f t="shared" si="31"/>
        <v>13.543546827325175</v>
      </c>
      <c r="U94" s="296">
        <f t="shared" si="32"/>
        <v>3.0029124108653642</v>
      </c>
      <c r="V94" s="296">
        <f t="shared" si="33"/>
        <v>0.90887372325960936</v>
      </c>
      <c r="W94" s="296">
        <f t="shared" si="34"/>
        <v>13.54362534903424</v>
      </c>
      <c r="X94" s="296">
        <f t="shared" si="35"/>
        <v>3.0029104502525583</v>
      </c>
      <c r="Y94" s="296">
        <f t="shared" si="36"/>
        <v>0.9088731350757675</v>
      </c>
      <c r="Z94" s="296">
        <f t="shared" si="37"/>
        <v>13.543621437476093</v>
      </c>
      <c r="AA94" s="296">
        <f t="shared" si="38"/>
        <v>3.0029105479201772</v>
      </c>
      <c r="AB94" s="296">
        <f t="shared" si="39"/>
        <v>0.90887316437605326</v>
      </c>
      <c r="AC94" s="296">
        <f t="shared" si="40"/>
        <v>13.543621632329721</v>
      </c>
      <c r="AD94" s="296">
        <f t="shared" si="41"/>
        <v>3.0029105430548801</v>
      </c>
      <c r="AE94" s="296">
        <f t="shared" si="42"/>
        <v>0.90887316291646414</v>
      </c>
      <c r="AF94" s="296">
        <f t="shared" si="43"/>
        <v>13.543621622623119</v>
      </c>
      <c r="AG94" s="296">
        <f t="shared" si="44"/>
        <v>3.0029105432972441</v>
      </c>
      <c r="AH94" s="475">
        <f t="shared" si="45"/>
        <v>0.90887316298917331</v>
      </c>
      <c r="AI94" s="475">
        <f t="shared" si="46"/>
        <v>13.543621623106651</v>
      </c>
      <c r="AJ94" s="475">
        <f t="shared" si="47"/>
        <v>3.0029105432851706</v>
      </c>
    </row>
    <row r="95" spans="11:36">
      <c r="K95" s="278">
        <f t="shared" si="25"/>
        <v>61.41653418124006</v>
      </c>
      <c r="L95" s="296">
        <f t="shared" si="26"/>
        <v>2.302281436188796</v>
      </c>
      <c r="M95" s="296">
        <f t="shared" si="48"/>
        <v>0.69868443085663878</v>
      </c>
      <c r="N95" s="11">
        <f t="shared" si="27"/>
        <v>53.409143029935422</v>
      </c>
      <c r="O95" s="296">
        <f t="shared" si="28"/>
        <v>2.3469637534119667</v>
      </c>
      <c r="P95" s="11">
        <f t="shared" si="49"/>
        <v>0.71208912602358998</v>
      </c>
      <c r="Q95" s="296">
        <f t="shared" si="29"/>
        <v>53.742100447587056</v>
      </c>
      <c r="R95" s="296">
        <f t="shared" si="30"/>
        <v>2.3449606948780404</v>
      </c>
      <c r="S95" s="296">
        <f t="shared" si="50"/>
        <v>0.7114882084634121</v>
      </c>
      <c r="T95" s="296">
        <f t="shared" si="31"/>
        <v>53.727129993753948</v>
      </c>
      <c r="U95" s="296">
        <f t="shared" si="32"/>
        <v>2.3450504598850164</v>
      </c>
      <c r="V95" s="296">
        <f t="shared" si="33"/>
        <v>0.71151513796550492</v>
      </c>
      <c r="W95" s="296">
        <f t="shared" si="34"/>
        <v>53.727800789974879</v>
      </c>
      <c r="X95" s="296">
        <f t="shared" si="35"/>
        <v>2.3450464370985284</v>
      </c>
      <c r="Y95" s="296">
        <f t="shared" si="36"/>
        <v>0.71151393112955852</v>
      </c>
      <c r="Z95" s="296">
        <f t="shared" si="37"/>
        <v>53.72777072830435</v>
      </c>
      <c r="AA95" s="296">
        <f t="shared" si="38"/>
        <v>2.3450466173781366</v>
      </c>
      <c r="AB95" s="296">
        <f t="shared" si="39"/>
        <v>0.711513985213441</v>
      </c>
      <c r="AC95" s="296">
        <f t="shared" si="40"/>
        <v>53.727772075506032</v>
      </c>
      <c r="AD95" s="296">
        <f t="shared" si="41"/>
        <v>2.3450466092989761</v>
      </c>
      <c r="AE95" s="296">
        <f t="shared" si="42"/>
        <v>0.7115139827896928</v>
      </c>
      <c r="AF95" s="296">
        <f t="shared" si="43"/>
        <v>53.72777201513172</v>
      </c>
      <c r="AG95" s="296">
        <f t="shared" si="44"/>
        <v>2.3450466096610407</v>
      </c>
      <c r="AH95" s="475">
        <f t="shared" si="45"/>
        <v>0.71151398289831225</v>
      </c>
      <c r="AI95" s="475">
        <f t="shared" si="46"/>
        <v>53.727772017837374</v>
      </c>
      <c r="AJ95" s="475">
        <f t="shared" si="47"/>
        <v>2.3450466096448146</v>
      </c>
    </row>
    <row r="96" spans="11:36">
      <c r="K96" s="278">
        <f t="shared" si="25"/>
        <v>52.003095975232206</v>
      </c>
      <c r="L96" s="296">
        <f t="shared" si="26"/>
        <v>2.3221321853486927</v>
      </c>
      <c r="M96" s="296">
        <f t="shared" si="48"/>
        <v>0.70463965560460784</v>
      </c>
      <c r="N96" s="11">
        <f t="shared" si="27"/>
        <v>45.706652057195583</v>
      </c>
      <c r="O96" s="296">
        <f t="shared" si="28"/>
        <v>2.364753444022754</v>
      </c>
      <c r="P96" s="11">
        <f t="shared" si="49"/>
        <v>0.71742603320682619</v>
      </c>
      <c r="Q96" s="296">
        <f t="shared" si="29"/>
        <v>45.962733556998124</v>
      </c>
      <c r="R96" s="296">
        <f t="shared" si="30"/>
        <v>2.3628967245056027</v>
      </c>
      <c r="S96" s="296">
        <f t="shared" si="50"/>
        <v>0.71686901735168085</v>
      </c>
      <c r="T96" s="296">
        <f t="shared" si="31"/>
        <v>45.951547989056053</v>
      </c>
      <c r="U96" s="296">
        <f t="shared" si="32"/>
        <v>2.3629775876837198</v>
      </c>
      <c r="V96" s="296">
        <f t="shared" si="33"/>
        <v>0.7168932763051159</v>
      </c>
      <c r="W96" s="296">
        <f t="shared" si="34"/>
        <v>45.952035082172969</v>
      </c>
      <c r="X96" s="296">
        <f t="shared" si="35"/>
        <v>2.3629740659189307</v>
      </c>
      <c r="Y96" s="296">
        <f t="shared" si="36"/>
        <v>0.71689221977567918</v>
      </c>
      <c r="Z96" s="296">
        <f t="shared" si="37"/>
        <v>45.952013868115792</v>
      </c>
      <c r="AA96" s="296">
        <f t="shared" si="38"/>
        <v>2.3629742192992609</v>
      </c>
      <c r="AB96" s="296">
        <f t="shared" si="39"/>
        <v>0.71689226578977827</v>
      </c>
      <c r="AC96" s="296">
        <f t="shared" si="40"/>
        <v>45.952014792032799</v>
      </c>
      <c r="AD96" s="296">
        <f t="shared" si="41"/>
        <v>2.3629742126192221</v>
      </c>
      <c r="AE96" s="296">
        <f t="shared" si="42"/>
        <v>0.71689226378576665</v>
      </c>
      <c r="AF96" s="296">
        <f t="shared" si="43"/>
        <v>45.952014751794252</v>
      </c>
      <c r="AG96" s="296">
        <f t="shared" si="44"/>
        <v>2.3629742129101521</v>
      </c>
      <c r="AH96" s="475">
        <f t="shared" si="45"/>
        <v>0.71689226387304561</v>
      </c>
      <c r="AI96" s="475">
        <f t="shared" si="46"/>
        <v>45.952014753546727</v>
      </c>
      <c r="AJ96" s="475">
        <f t="shared" si="47"/>
        <v>2.3629742128974813</v>
      </c>
    </row>
    <row r="97" spans="11:36">
      <c r="K97" s="278">
        <f t="shared" si="25"/>
        <v>64.188536953242831</v>
      </c>
      <c r="L97" s="296">
        <f t="shared" si="26"/>
        <v>2.3709799388906116</v>
      </c>
      <c r="M97" s="296">
        <f t="shared" si="48"/>
        <v>0.7192939816671835</v>
      </c>
      <c r="N97" s="11">
        <f t="shared" si="27"/>
        <v>57.194629387009456</v>
      </c>
      <c r="O97" s="296">
        <f t="shared" si="28"/>
        <v>2.406377000544929</v>
      </c>
      <c r="P97" s="11">
        <f t="shared" si="49"/>
        <v>0.72991310016347866</v>
      </c>
      <c r="Q97" s="296">
        <f t="shared" si="29"/>
        <v>57.444786432707566</v>
      </c>
      <c r="R97" s="296">
        <f t="shared" si="30"/>
        <v>2.4050284143164404</v>
      </c>
      <c r="S97" s="296">
        <f t="shared" si="50"/>
        <v>0.72950852429493218</v>
      </c>
      <c r="T97" s="296">
        <f t="shared" si="31"/>
        <v>57.435235726580302</v>
      </c>
      <c r="U97" s="296">
        <f t="shared" si="32"/>
        <v>2.4050797803447987</v>
      </c>
      <c r="V97" s="296">
        <f t="shared" si="33"/>
        <v>0.72952393410343963</v>
      </c>
      <c r="W97" s="296">
        <f t="shared" si="34"/>
        <v>57.435599472405876</v>
      </c>
      <c r="X97" s="296">
        <f t="shared" si="35"/>
        <v>2.4050778238549029</v>
      </c>
      <c r="Y97" s="296">
        <f t="shared" si="36"/>
        <v>0.72952334715647082</v>
      </c>
      <c r="Z97" s="296">
        <f t="shared" si="37"/>
        <v>57.435585617583484</v>
      </c>
      <c r="AA97" s="296">
        <f t="shared" si="38"/>
        <v>2.40507789837597</v>
      </c>
      <c r="AB97" s="296">
        <f t="shared" si="39"/>
        <v>0.72952336951279095</v>
      </c>
      <c r="AC97" s="296">
        <f t="shared" si="40"/>
        <v>57.43558614530204</v>
      </c>
      <c r="AD97" s="296">
        <f t="shared" si="41"/>
        <v>2.4050778955375245</v>
      </c>
      <c r="AE97" s="296">
        <f t="shared" si="42"/>
        <v>0.72952336866125733</v>
      </c>
      <c r="AF97" s="296">
        <f t="shared" si="43"/>
        <v>57.435586125201681</v>
      </c>
      <c r="AG97" s="296">
        <f t="shared" si="44"/>
        <v>2.4050778956456389</v>
      </c>
      <c r="AH97" s="475">
        <f t="shared" si="45"/>
        <v>0.72952336869369172</v>
      </c>
      <c r="AI97" s="475">
        <f t="shared" si="46"/>
        <v>57.435586125967284</v>
      </c>
      <c r="AJ97" s="475">
        <f t="shared" si="47"/>
        <v>2.4050778956415209</v>
      </c>
    </row>
    <row r="98" spans="11:36">
      <c r="K98" s="278">
        <f t="shared" si="25"/>
        <v>52.235294117647065</v>
      </c>
      <c r="L98" s="296">
        <f t="shared" si="26"/>
        <v>2.271261600344832</v>
      </c>
      <c r="M98" s="296">
        <f t="shared" si="48"/>
        <v>0.6893784801034496</v>
      </c>
      <c r="N98" s="11">
        <f t="shared" si="27"/>
        <v>46.33804514082783</v>
      </c>
      <c r="O98" s="296">
        <f t="shared" si="28"/>
        <v>2.3116314628061181</v>
      </c>
      <c r="P98" s="11">
        <f t="shared" si="49"/>
        <v>0.70148943884183546</v>
      </c>
      <c r="Q98" s="296">
        <f t="shared" si="29"/>
        <v>46.55498445205837</v>
      </c>
      <c r="R98" s="296">
        <f t="shared" si="30"/>
        <v>2.3100487298952674</v>
      </c>
      <c r="S98" s="296">
        <f t="shared" si="50"/>
        <v>0.70101461896858019</v>
      </c>
      <c r="T98" s="296">
        <f t="shared" si="31"/>
        <v>46.546460074033703</v>
      </c>
      <c r="U98" s="296">
        <f t="shared" si="32"/>
        <v>2.310110769087665</v>
      </c>
      <c r="V98" s="296">
        <f t="shared" si="33"/>
        <v>0.70103323072629953</v>
      </c>
      <c r="W98" s="296">
        <f t="shared" si="34"/>
        <v>46.546794179050956</v>
      </c>
      <c r="X98" s="296">
        <f t="shared" si="35"/>
        <v>2.3101083372854898</v>
      </c>
      <c r="Y98" s="296">
        <f t="shared" si="36"/>
        <v>0.70103250118564697</v>
      </c>
      <c r="Z98" s="296">
        <f t="shared" si="37"/>
        <v>46.546781082811655</v>
      </c>
      <c r="AA98" s="296">
        <f t="shared" si="38"/>
        <v>2.3101084326068451</v>
      </c>
      <c r="AB98" s="296">
        <f t="shared" si="39"/>
        <v>0.70103252978205355</v>
      </c>
      <c r="AC98" s="296">
        <f t="shared" si="40"/>
        <v>46.546781596155682</v>
      </c>
      <c r="AD98" s="296">
        <f t="shared" si="41"/>
        <v>2.3101084288704552</v>
      </c>
      <c r="AE98" s="296">
        <f t="shared" si="42"/>
        <v>0.70103252866113652</v>
      </c>
      <c r="AF98" s="296">
        <f t="shared" si="43"/>
        <v>46.546781576033709</v>
      </c>
      <c r="AG98" s="296">
        <f t="shared" si="44"/>
        <v>2.3101084290169136</v>
      </c>
      <c r="AH98" s="475">
        <f t="shared" si="45"/>
        <v>0.70103252870507404</v>
      </c>
      <c r="AI98" s="475">
        <f t="shared" si="46"/>
        <v>46.546781576822447</v>
      </c>
      <c r="AJ98" s="475">
        <f t="shared" si="47"/>
        <v>2.3101084290111729</v>
      </c>
    </row>
    <row r="99" spans="11:36">
      <c r="K99" s="278">
        <f t="shared" si="25"/>
        <v>68.12482065997132</v>
      </c>
      <c r="L99" s="296">
        <f t="shared" si="26"/>
        <v>2.2685890822321735</v>
      </c>
      <c r="M99" s="296">
        <f t="shared" si="48"/>
        <v>0.68857672466965203</v>
      </c>
      <c r="N99" s="11">
        <f t="shared" si="27"/>
        <v>60.881369100370328</v>
      </c>
      <c r="O99" s="296">
        <f t="shared" si="28"/>
        <v>2.3040594440794875</v>
      </c>
      <c r="P99" s="11">
        <f t="shared" si="49"/>
        <v>0.69921783322384623</v>
      </c>
      <c r="Q99" s="296">
        <f t="shared" si="29"/>
        <v>61.115671421141364</v>
      </c>
      <c r="R99" s="296">
        <f t="shared" si="30"/>
        <v>2.302839383869189</v>
      </c>
      <c r="S99" s="296">
        <f t="shared" si="50"/>
        <v>0.69885181516075667</v>
      </c>
      <c r="T99" s="296">
        <f t="shared" si="31"/>
        <v>61.107597260845402</v>
      </c>
      <c r="U99" s="296">
        <f t="shared" si="32"/>
        <v>2.3028813404713322</v>
      </c>
      <c r="V99" s="296">
        <f t="shared" si="33"/>
        <v>0.69886440214139967</v>
      </c>
      <c r="W99" s="296">
        <f t="shared" si="34"/>
        <v>61.10787490511192</v>
      </c>
      <c r="X99" s="296">
        <f t="shared" si="35"/>
        <v>2.3028798976163607</v>
      </c>
      <c r="Y99" s="296">
        <f t="shared" si="36"/>
        <v>0.69886396928490824</v>
      </c>
      <c r="Z99" s="296">
        <f t="shared" si="37"/>
        <v>61.107865357120218</v>
      </c>
      <c r="AA99" s="296">
        <f t="shared" si="38"/>
        <v>2.3028799472350094</v>
      </c>
      <c r="AB99" s="296">
        <f t="shared" si="39"/>
        <v>0.69886398417050288</v>
      </c>
      <c r="AC99" s="296">
        <f t="shared" si="40"/>
        <v>61.107865685468134</v>
      </c>
      <c r="AD99" s="296">
        <f t="shared" si="41"/>
        <v>2.3028799455286633</v>
      </c>
      <c r="AE99" s="296">
        <f t="shared" si="42"/>
        <v>0.69886398365859903</v>
      </c>
      <c r="AF99" s="296">
        <f t="shared" si="43"/>
        <v>61.107865674176509</v>
      </c>
      <c r="AG99" s="296">
        <f t="shared" si="44"/>
        <v>2.3028799455873434</v>
      </c>
      <c r="AH99" s="475">
        <f t="shared" si="45"/>
        <v>0.69886398367620306</v>
      </c>
      <c r="AI99" s="475">
        <f t="shared" si="46"/>
        <v>61.107865674564813</v>
      </c>
      <c r="AJ99" s="475">
        <f t="shared" si="47"/>
        <v>2.302879945585325</v>
      </c>
    </row>
    <row r="100" spans="11:36">
      <c r="K100" s="278">
        <f t="shared" si="25"/>
        <v>76.254901960784309</v>
      </c>
      <c r="L100" s="296">
        <f t="shared" si="26"/>
        <v>2.2755926645934705</v>
      </c>
      <c r="M100" s="296">
        <f t="shared" si="48"/>
        <v>0.69067779937804119</v>
      </c>
      <c r="N100" s="11">
        <f t="shared" si="27"/>
        <v>68.708960155946684</v>
      </c>
      <c r="O100" s="296">
        <f t="shared" si="28"/>
        <v>2.3073954246923818</v>
      </c>
      <c r="P100" s="11">
        <f t="shared" si="49"/>
        <v>0.70021862740771457</v>
      </c>
      <c r="Q100" s="296">
        <f t="shared" si="29"/>
        <v>68.930148824332832</v>
      </c>
      <c r="R100" s="296">
        <f t="shared" si="30"/>
        <v>2.3064077734657595</v>
      </c>
      <c r="S100" s="296">
        <f t="shared" si="50"/>
        <v>0.69992233203972787</v>
      </c>
      <c r="T100" s="296">
        <f t="shared" si="31"/>
        <v>68.923268994009348</v>
      </c>
      <c r="U100" s="296">
        <f t="shared" si="32"/>
        <v>2.3064384391407899</v>
      </c>
      <c r="V100" s="296">
        <f t="shared" si="33"/>
        <v>0.69993153174223699</v>
      </c>
      <c r="W100" s="296">
        <f t="shared" si="34"/>
        <v>68.923482596173031</v>
      </c>
      <c r="X100" s="296">
        <f t="shared" si="35"/>
        <v>2.3064374869932642</v>
      </c>
      <c r="Y100" s="296">
        <f t="shared" si="36"/>
        <v>0.6999312460979793</v>
      </c>
      <c r="Z100" s="296">
        <f t="shared" si="37"/>
        <v>68.923475963966922</v>
      </c>
      <c r="AA100" s="296">
        <f t="shared" si="38"/>
        <v>2.3064375165567657</v>
      </c>
      <c r="AB100" s="296">
        <f t="shared" si="39"/>
        <v>0.69993125496702968</v>
      </c>
      <c r="AC100" s="296">
        <f t="shared" si="40"/>
        <v>68.923476169892183</v>
      </c>
      <c r="AD100" s="296">
        <f t="shared" si="41"/>
        <v>2.3064375156388399</v>
      </c>
      <c r="AE100" s="296">
        <f t="shared" si="42"/>
        <v>0.69993125469165196</v>
      </c>
      <c r="AF100" s="296">
        <f t="shared" si="43"/>
        <v>68.92347616349835</v>
      </c>
      <c r="AG100" s="296">
        <f t="shared" si="44"/>
        <v>2.3064375156673411</v>
      </c>
      <c r="AH100" s="475">
        <f t="shared" si="45"/>
        <v>0.69993125470020234</v>
      </c>
      <c r="AI100" s="475">
        <f t="shared" si="46"/>
        <v>68.923476163696876</v>
      </c>
      <c r="AJ100" s="475">
        <f t="shared" si="47"/>
        <v>2.3064375156664561</v>
      </c>
    </row>
    <row r="101" spans="11:36">
      <c r="K101" s="278">
        <f t="shared" si="25"/>
        <v>73.062927496580031</v>
      </c>
      <c r="L101" s="296">
        <f t="shared" si="26"/>
        <v>2.2461253294570116</v>
      </c>
      <c r="M101" s="296">
        <f t="shared" si="48"/>
        <v>0.68183759883710349</v>
      </c>
      <c r="N101" s="11">
        <f t="shared" si="27"/>
        <v>66.130330852187228</v>
      </c>
      <c r="O101" s="296">
        <f t="shared" si="28"/>
        <v>2.2772895636777069</v>
      </c>
      <c r="P101" s="11">
        <f t="shared" si="49"/>
        <v>0.69118686910331206</v>
      </c>
      <c r="Q101" s="296">
        <f t="shared" si="29"/>
        <v>66.324344848956926</v>
      </c>
      <c r="R101" s="296">
        <f t="shared" si="30"/>
        <v>2.276368136631767</v>
      </c>
      <c r="S101" s="296">
        <f t="shared" si="50"/>
        <v>0.69091044098953014</v>
      </c>
      <c r="T101" s="296">
        <f t="shared" si="31"/>
        <v>66.318600315922495</v>
      </c>
      <c r="U101" s="296">
        <f t="shared" si="32"/>
        <v>2.2763953754412585</v>
      </c>
      <c r="V101" s="296">
        <f t="shared" si="33"/>
        <v>0.69091861263237753</v>
      </c>
      <c r="W101" s="296">
        <f t="shared" si="34"/>
        <v>66.318770126072337</v>
      </c>
      <c r="X101" s="296">
        <f t="shared" si="35"/>
        <v>2.2763945702156536</v>
      </c>
      <c r="Y101" s="296">
        <f t="shared" si="36"/>
        <v>0.69091837106469611</v>
      </c>
      <c r="Z101" s="296">
        <f t="shared" si="37"/>
        <v>66.318765106188835</v>
      </c>
      <c r="AA101" s="296">
        <f t="shared" si="38"/>
        <v>2.2763945940194898</v>
      </c>
      <c r="AB101" s="296">
        <f t="shared" si="39"/>
        <v>0.69091837820584701</v>
      </c>
      <c r="AC101" s="296">
        <f t="shared" si="40"/>
        <v>66.318765254585102</v>
      </c>
      <c r="AD101" s="296">
        <f t="shared" si="41"/>
        <v>2.2763945933158083</v>
      </c>
      <c r="AE101" s="296">
        <f t="shared" si="42"/>
        <v>0.69091837799474254</v>
      </c>
      <c r="AF101" s="296">
        <f t="shared" si="43"/>
        <v>66.318765250198254</v>
      </c>
      <c r="AG101" s="296">
        <f t="shared" si="44"/>
        <v>2.2763945933366103</v>
      </c>
      <c r="AH101" s="475">
        <f t="shared" si="45"/>
        <v>0.6909183780009831</v>
      </c>
      <c r="AI101" s="475">
        <f t="shared" si="46"/>
        <v>66.318765250327942</v>
      </c>
      <c r="AJ101" s="475">
        <f t="shared" si="47"/>
        <v>2.2763945933359953</v>
      </c>
    </row>
    <row r="102" spans="11:36">
      <c r="K102" s="278">
        <f t="shared" si="25"/>
        <v>86.058823529411754</v>
      </c>
      <c r="L102" s="296">
        <f t="shared" si="26"/>
        <v>2.1749616547960184</v>
      </c>
      <c r="M102" s="296">
        <f t="shared" si="48"/>
        <v>0.66048849643880558</v>
      </c>
      <c r="N102" s="11">
        <f t="shared" si="27"/>
        <v>77.98005670176569</v>
      </c>
      <c r="O102" s="296">
        <f t="shared" si="28"/>
        <v>2.2053890762443431</v>
      </c>
      <c r="P102" s="11">
        <f t="shared" si="49"/>
        <v>0.66961672287330298</v>
      </c>
      <c r="Q102" s="296">
        <f t="shared" si="29"/>
        <v>78.187009297461486</v>
      </c>
      <c r="R102" s="296">
        <f t="shared" si="30"/>
        <v>2.2045656115934928</v>
      </c>
      <c r="S102" s="296">
        <f t="shared" si="50"/>
        <v>0.66936968347804782</v>
      </c>
      <c r="T102" s="296">
        <f t="shared" si="31"/>
        <v>78.181401265068871</v>
      </c>
      <c r="U102" s="296">
        <f t="shared" si="32"/>
        <v>2.2045878933533234</v>
      </c>
      <c r="V102" s="296">
        <f t="shared" si="33"/>
        <v>0.66937636800599698</v>
      </c>
      <c r="W102" s="296">
        <f t="shared" si="34"/>
        <v>78.181553005001604</v>
      </c>
      <c r="X102" s="296">
        <f t="shared" si="35"/>
        <v>2.2045872904383703</v>
      </c>
      <c r="Y102" s="296">
        <f t="shared" si="36"/>
        <v>0.66937618713151115</v>
      </c>
      <c r="Z102" s="296">
        <f t="shared" si="37"/>
        <v>78.181548899115825</v>
      </c>
      <c r="AA102" s="296">
        <f t="shared" si="38"/>
        <v>2.2045873067524497</v>
      </c>
      <c r="AB102" s="296">
        <f t="shared" si="39"/>
        <v>0.66937619202573495</v>
      </c>
      <c r="AC102" s="296">
        <f t="shared" si="40"/>
        <v>78.181549010215647</v>
      </c>
      <c r="AD102" s="296">
        <f t="shared" si="41"/>
        <v>2.2045873063110122</v>
      </c>
      <c r="AE102" s="296">
        <f t="shared" si="42"/>
        <v>0.66937619189330366</v>
      </c>
      <c r="AF102" s="296">
        <f t="shared" si="43"/>
        <v>78.181549007209441</v>
      </c>
      <c r="AG102" s="296">
        <f t="shared" si="44"/>
        <v>2.2045873063229569</v>
      </c>
      <c r="AH102" s="475">
        <f t="shared" si="45"/>
        <v>0.66937619189688702</v>
      </c>
      <c r="AI102" s="475">
        <f t="shared" si="46"/>
        <v>78.181549007290783</v>
      </c>
      <c r="AJ102" s="475">
        <f t="shared" si="47"/>
        <v>2.2045873063226336</v>
      </c>
    </row>
    <row r="103" spans="11:36">
      <c r="K103" s="278">
        <f t="shared" si="25"/>
        <v>63.183006535947712</v>
      </c>
      <c r="L103" s="296">
        <f t="shared" si="26"/>
        <v>2.3849288599056075</v>
      </c>
      <c r="M103" s="296">
        <f t="shared" si="48"/>
        <v>0.72347865797168232</v>
      </c>
      <c r="N103" s="11">
        <f t="shared" si="27"/>
        <v>58.671905307397779</v>
      </c>
      <c r="O103" s="296">
        <f t="shared" si="28"/>
        <v>2.4075568695613705</v>
      </c>
      <c r="P103" s="11">
        <f t="shared" si="49"/>
        <v>0.7302670608684112</v>
      </c>
      <c r="Q103" s="296">
        <f t="shared" si="29"/>
        <v>58.778695686661656</v>
      </c>
      <c r="R103" s="296">
        <f t="shared" si="30"/>
        <v>2.4069987669270159</v>
      </c>
      <c r="S103" s="296">
        <f t="shared" si="50"/>
        <v>0.73009963007810474</v>
      </c>
      <c r="T103" s="296">
        <f t="shared" si="31"/>
        <v>58.776059446794989</v>
      </c>
      <c r="U103" s="296">
        <f t="shared" si="32"/>
        <v>2.4070125305434455</v>
      </c>
      <c r="V103" s="296">
        <f t="shared" si="33"/>
        <v>0.73010375916303372</v>
      </c>
      <c r="W103" s="296">
        <f t="shared" si="34"/>
        <v>58.776124458852784</v>
      </c>
      <c r="X103" s="296">
        <f t="shared" si="35"/>
        <v>2.4070121911118512</v>
      </c>
      <c r="Y103" s="296">
        <f t="shared" si="36"/>
        <v>0.73010365733355531</v>
      </c>
      <c r="Z103" s="296">
        <f t="shared" si="37"/>
        <v>58.776122855556267</v>
      </c>
      <c r="AA103" s="296">
        <f t="shared" si="38"/>
        <v>2.4070121994827467</v>
      </c>
      <c r="AB103" s="296">
        <f t="shared" si="39"/>
        <v>0.73010365984482406</v>
      </c>
      <c r="AC103" s="296">
        <f t="shared" si="40"/>
        <v>58.776122895095973</v>
      </c>
      <c r="AD103" s="296">
        <f t="shared" si="41"/>
        <v>2.4070121992763078</v>
      </c>
      <c r="AE103" s="296">
        <f t="shared" si="42"/>
        <v>0.73010365978289238</v>
      </c>
      <c r="AF103" s="296">
        <f t="shared" si="43"/>
        <v>58.776122894120874</v>
      </c>
      <c r="AG103" s="296">
        <f t="shared" si="44"/>
        <v>2.4070121992813993</v>
      </c>
      <c r="AH103" s="475">
        <f t="shared" si="45"/>
        <v>0.73010365978441982</v>
      </c>
      <c r="AI103" s="475">
        <f t="shared" si="46"/>
        <v>58.776122894144912</v>
      </c>
      <c r="AJ103" s="475">
        <f t="shared" si="47"/>
        <v>2.4070121992812736</v>
      </c>
    </row>
    <row r="104" spans="11:36">
      <c r="K104" s="278">
        <f t="shared" si="25"/>
        <v>79.664961636828664</v>
      </c>
      <c r="L104" s="296">
        <f t="shared" si="26"/>
        <v>2.2323687706946145</v>
      </c>
      <c r="M104" s="296">
        <f t="shared" si="48"/>
        <v>0.67771063120838437</v>
      </c>
      <c r="N104" s="11">
        <f t="shared" si="27"/>
        <v>73.595120918400937</v>
      </c>
      <c r="O104" s="296">
        <f t="shared" si="28"/>
        <v>2.2566881175386042</v>
      </c>
      <c r="P104" s="11">
        <f t="shared" si="49"/>
        <v>0.68500643526158123</v>
      </c>
      <c r="Q104" s="296">
        <f t="shared" si="29"/>
        <v>73.727272174011716</v>
      </c>
      <c r="R104" s="296">
        <f t="shared" si="30"/>
        <v>2.2561346813632732</v>
      </c>
      <c r="S104" s="296">
        <f t="shared" si="50"/>
        <v>0.68484040440898197</v>
      </c>
      <c r="T104" s="296">
        <f t="shared" si="31"/>
        <v>73.724262166508936</v>
      </c>
      <c r="U104" s="296">
        <f t="shared" si="32"/>
        <v>2.2561472744461293</v>
      </c>
      <c r="V104" s="296">
        <f t="shared" si="33"/>
        <v>0.68484418233383881</v>
      </c>
      <c r="W104" s="296">
        <f t="shared" si="34"/>
        <v>73.724330655920014</v>
      </c>
      <c r="X104" s="296">
        <f t="shared" si="35"/>
        <v>2.2561469878978913</v>
      </c>
      <c r="Y104" s="296">
        <f t="shared" si="36"/>
        <v>0.68484409636936738</v>
      </c>
      <c r="Z104" s="296">
        <f t="shared" si="37"/>
        <v>73.724329097482794</v>
      </c>
      <c r="AA104" s="296">
        <f t="shared" si="38"/>
        <v>2.2561469944181289</v>
      </c>
      <c r="AB104" s="296">
        <f t="shared" si="39"/>
        <v>0.68484409832543869</v>
      </c>
      <c r="AC104" s="296">
        <f t="shared" si="40"/>
        <v>73.724329132944121</v>
      </c>
      <c r="AD104" s="296">
        <f t="shared" si="41"/>
        <v>2.2561469942697645</v>
      </c>
      <c r="AE104" s="296">
        <f t="shared" si="42"/>
        <v>0.6848440982809294</v>
      </c>
      <c r="AF104" s="296">
        <f t="shared" si="43"/>
        <v>73.724329132137214</v>
      </c>
      <c r="AG104" s="296">
        <f t="shared" si="44"/>
        <v>2.2561469942731405</v>
      </c>
      <c r="AH104" s="475">
        <f t="shared" si="45"/>
        <v>0.68484409828194215</v>
      </c>
      <c r="AI104" s="475">
        <f t="shared" si="46"/>
        <v>73.72432913215556</v>
      </c>
      <c r="AJ104" s="475">
        <f t="shared" si="47"/>
        <v>2.2561469942730636</v>
      </c>
    </row>
    <row r="105" spans="11:36">
      <c r="K105" s="278">
        <f t="shared" si="25"/>
        <v>82.929912390488127</v>
      </c>
      <c r="L105" s="296">
        <f t="shared" si="26"/>
        <v>2.2343155961707541</v>
      </c>
      <c r="M105" s="296">
        <f t="shared" si="48"/>
        <v>0.6782946788512263</v>
      </c>
      <c r="N105" s="11">
        <f t="shared" si="27"/>
        <v>77.154273626202851</v>
      </c>
      <c r="O105" s="296">
        <f t="shared" si="28"/>
        <v>2.2561956195543229</v>
      </c>
      <c r="P105" s="11">
        <f t="shared" si="49"/>
        <v>0.68485868586629683</v>
      </c>
      <c r="Q105" s="296">
        <f t="shared" si="29"/>
        <v>77.267999894718812</v>
      </c>
      <c r="R105" s="296">
        <f t="shared" si="30"/>
        <v>2.2557469505891925</v>
      </c>
      <c r="S105" s="296">
        <f t="shared" si="50"/>
        <v>0.68472408517675776</v>
      </c>
      <c r="T105" s="296">
        <f t="shared" si="31"/>
        <v>77.265666155730074</v>
      </c>
      <c r="U105" s="296">
        <f t="shared" si="32"/>
        <v>2.2557561500121524</v>
      </c>
      <c r="V105" s="296">
        <f t="shared" si="33"/>
        <v>0.68472684500364567</v>
      </c>
      <c r="W105" s="296">
        <f t="shared" si="34"/>
        <v>77.265714005561762</v>
      </c>
      <c r="X105" s="296">
        <f t="shared" si="35"/>
        <v>2.2557559613885481</v>
      </c>
      <c r="Y105" s="296">
        <f t="shared" si="36"/>
        <v>0.68472678841656442</v>
      </c>
      <c r="Z105" s="296">
        <f t="shared" si="37"/>
        <v>77.265713024455607</v>
      </c>
      <c r="AA105" s="296">
        <f t="shared" si="38"/>
        <v>2.2557559652560584</v>
      </c>
      <c r="AB105" s="296">
        <f t="shared" si="39"/>
        <v>0.68472678957681754</v>
      </c>
      <c r="AC105" s="296">
        <f t="shared" si="40"/>
        <v>77.265713044572053</v>
      </c>
      <c r="AD105" s="296">
        <f t="shared" si="41"/>
        <v>2.2557559651767596</v>
      </c>
      <c r="AE105" s="296">
        <f t="shared" si="42"/>
        <v>0.6847267895530279</v>
      </c>
      <c r="AF105" s="296">
        <f t="shared" si="43"/>
        <v>77.265713044159597</v>
      </c>
      <c r="AG105" s="296">
        <f t="shared" si="44"/>
        <v>2.2557559651783854</v>
      </c>
      <c r="AH105" s="475">
        <f t="shared" si="45"/>
        <v>0.68472678955351562</v>
      </c>
      <c r="AI105" s="475">
        <f t="shared" si="46"/>
        <v>77.265713044168052</v>
      </c>
      <c r="AJ105" s="475">
        <f t="shared" si="47"/>
        <v>2.2557559651783521</v>
      </c>
    </row>
    <row r="106" spans="11:36">
      <c r="K106" s="278">
        <f t="shared" si="25"/>
        <v>86.058823529411754</v>
      </c>
      <c r="L106" s="11" t="e">
        <f t="shared" si="26"/>
        <v>#NUM!</v>
      </c>
      <c r="M106" s="11" t="e">
        <f t="shared" si="48"/>
        <v>#NUM!</v>
      </c>
      <c r="N106" s="11" t="e">
        <f t="shared" si="27"/>
        <v>#NUM!</v>
      </c>
      <c r="O106" s="296" t="e">
        <f t="shared" si="28"/>
        <v>#NUM!</v>
      </c>
      <c r="P106" s="11" t="e">
        <f t="shared" si="49"/>
        <v>#NUM!</v>
      </c>
      <c r="Q106" s="296" t="e">
        <f t="shared" si="29"/>
        <v>#NUM!</v>
      </c>
      <c r="R106" s="296" t="e">
        <f t="shared" si="30"/>
        <v>#NUM!</v>
      </c>
      <c r="S106" s="296" t="e">
        <f t="shared" si="50"/>
        <v>#NUM!</v>
      </c>
      <c r="T106" s="296" t="e">
        <f t="shared" si="31"/>
        <v>#NUM!</v>
      </c>
      <c r="U106" s="296" t="e">
        <f t="shared" si="32"/>
        <v>#NUM!</v>
      </c>
      <c r="V106" s="296" t="e">
        <f t="shared" si="33"/>
        <v>#NUM!</v>
      </c>
      <c r="W106" s="296" t="e">
        <f t="shared" si="34"/>
        <v>#NUM!</v>
      </c>
      <c r="X106" s="296" t="e">
        <f t="shared" si="35"/>
        <v>#NUM!</v>
      </c>
      <c r="Y106" s="296" t="e">
        <f t="shared" si="36"/>
        <v>#NUM!</v>
      </c>
      <c r="Z106" s="296" t="e">
        <f t="shared" si="37"/>
        <v>#NUM!</v>
      </c>
      <c r="AA106" s="296" t="e">
        <f t="shared" si="38"/>
        <v>#NUM!</v>
      </c>
      <c r="AB106" s="296" t="e">
        <f t="shared" si="39"/>
        <v>#NUM!</v>
      </c>
      <c r="AC106" s="296" t="e">
        <f t="shared" si="40"/>
        <v>#NUM!</v>
      </c>
      <c r="AD106" s="296" t="e">
        <f t="shared" si="41"/>
        <v>#NUM!</v>
      </c>
      <c r="AE106" s="296" t="e">
        <f t="shared" si="42"/>
        <v>#NUM!</v>
      </c>
      <c r="AF106" s="296" t="e">
        <f t="shared" si="43"/>
        <v>#NUM!</v>
      </c>
      <c r="AG106" s="296" t="e">
        <f t="shared" si="44"/>
        <v>#NUM!</v>
      </c>
      <c r="AH106" s="475" t="e">
        <f t="shared" si="45"/>
        <v>#NUM!</v>
      </c>
      <c r="AI106" s="475" t="e">
        <f t="shared" si="46"/>
        <v>#NUM!</v>
      </c>
      <c r="AJ106" s="475" t="e">
        <f t="shared" si="47"/>
        <v>#NUM!</v>
      </c>
    </row>
  </sheetData>
  <mergeCells count="9">
    <mergeCell ref="AB56:AD56"/>
    <mergeCell ref="AE56:AG56"/>
    <mergeCell ref="AH56:AJ56"/>
    <mergeCell ref="A1:G1"/>
    <mergeCell ref="M56:O56"/>
    <mergeCell ref="P56:R56"/>
    <mergeCell ref="S56:U56"/>
    <mergeCell ref="V56:X56"/>
    <mergeCell ref="Y56:AA56"/>
  </mergeCells>
  <pageMargins left="0.25" right="0.25" top="0.75" bottom="0.75" header="0.3" footer="0.3"/>
  <pageSetup paperSize="9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A46F-1DC4-4C78-A405-2A7245798FD8}">
  <sheetPr>
    <pageSetUpPr fitToPage="1"/>
  </sheetPr>
  <dimension ref="A1:BH106"/>
  <sheetViews>
    <sheetView topLeftCell="AE8" zoomScale="55" zoomScaleNormal="55" workbookViewId="0">
      <selection activeCell="BJ21" sqref="BJ21"/>
    </sheetView>
  </sheetViews>
  <sheetFormatPr defaultRowHeight="18.75"/>
  <cols>
    <col min="1" max="1" width="9.140625" style="532"/>
    <col min="2" max="2" width="13.42578125" style="533" customWidth="1"/>
    <col min="3" max="3" width="11.7109375" style="533" customWidth="1"/>
    <col min="4" max="4" width="13.7109375" style="533" customWidth="1"/>
    <col min="5" max="7" width="9.140625" style="533"/>
    <col min="10" max="10" width="9.140625" style="534"/>
    <col min="11" max="11" width="9.85546875" style="534" customWidth="1"/>
    <col min="12" max="12" width="11.28515625" style="534" customWidth="1"/>
    <col min="13" max="13" width="12.7109375" style="549" customWidth="1"/>
    <col min="14" max="14" width="11.7109375" style="534" customWidth="1"/>
    <col min="15" max="15" width="12.42578125" style="534" customWidth="1"/>
    <col min="16" max="16" width="10.140625" style="534" customWidth="1"/>
    <col min="17" max="17" width="9.42578125" style="324" customWidth="1"/>
    <col min="18" max="18" width="14.85546875" style="324" customWidth="1"/>
    <col min="19" max="19" width="9.140625" style="324"/>
    <col min="20" max="20" width="10" style="324" customWidth="1"/>
    <col min="21" max="23" width="9.140625" style="324"/>
    <col min="25" max="25" width="9.140625" style="324"/>
    <col min="26" max="29" width="9.28515625" bestFit="1" customWidth="1"/>
    <col min="30" max="30" width="13.7109375" customWidth="1"/>
    <col min="31" max="31" width="9.28515625" customWidth="1"/>
    <col min="32" max="32" width="15.7109375" customWidth="1"/>
    <col min="33" max="33" width="9.5703125" customWidth="1"/>
    <col min="34" max="34" width="15.5703125" customWidth="1"/>
    <col min="35" max="46" width="11.5703125" bestFit="1" customWidth="1"/>
    <col min="50" max="50" width="11.140625" customWidth="1"/>
    <col min="51" max="51" width="12" customWidth="1"/>
    <col min="52" max="52" width="12.7109375" customWidth="1"/>
    <col min="55" max="55" width="11.5703125" customWidth="1"/>
    <col min="57" max="57" width="12.5703125" customWidth="1"/>
    <col min="58" max="58" width="10.42578125" customWidth="1"/>
    <col min="59" max="59" width="13.42578125" customWidth="1"/>
    <col min="60" max="60" width="9.5703125" style="324" customWidth="1"/>
  </cols>
  <sheetData>
    <row r="1" spans="1:45" ht="28.5" customHeight="1">
      <c r="A1" s="696" t="s">
        <v>199</v>
      </c>
      <c r="B1" s="696"/>
      <c r="C1" s="696"/>
      <c r="D1" s="696"/>
      <c r="E1" s="696"/>
      <c r="F1" s="696"/>
      <c r="G1" s="696"/>
      <c r="J1" s="560"/>
      <c r="K1" s="561"/>
      <c r="L1" s="562"/>
      <c r="M1" s="559"/>
      <c r="N1" s="559"/>
      <c r="O1" s="559"/>
      <c r="P1" s="559"/>
      <c r="Q1" s="559"/>
      <c r="R1" s="559"/>
      <c r="S1" s="559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551" t="s">
        <v>619</v>
      </c>
      <c r="AE1" s="207"/>
      <c r="AF1" s="551" t="s">
        <v>617</v>
      </c>
      <c r="AG1" s="2"/>
      <c r="AH1" s="551" t="s">
        <v>619</v>
      </c>
    </row>
    <row r="2" spans="1:45" ht="18.75" customHeight="1">
      <c r="A2" s="571" t="s">
        <v>577</v>
      </c>
      <c r="B2" s="528" t="s">
        <v>578</v>
      </c>
      <c r="C2" s="528" t="s">
        <v>591</v>
      </c>
      <c r="D2" s="529" t="s">
        <v>579</v>
      </c>
      <c r="E2" s="528" t="s">
        <v>580</v>
      </c>
      <c r="F2" s="568" t="s">
        <v>581</v>
      </c>
      <c r="G2" s="568" t="s">
        <v>582</v>
      </c>
      <c r="H2" s="568" t="s">
        <v>583</v>
      </c>
      <c r="J2"/>
      <c r="K2" s="540" t="s">
        <v>577</v>
      </c>
      <c r="L2" s="541" t="s">
        <v>574</v>
      </c>
      <c r="M2" s="541" t="s">
        <v>597</v>
      </c>
      <c r="N2" s="542" t="s">
        <v>590</v>
      </c>
      <c r="O2" s="542" t="s">
        <v>579</v>
      </c>
      <c r="P2" s="541" t="s">
        <v>589</v>
      </c>
      <c r="Q2" s="541" t="s">
        <v>584</v>
      </c>
      <c r="R2" s="543" t="s">
        <v>593</v>
      </c>
      <c r="S2" s="543" t="s">
        <v>592</v>
      </c>
      <c r="T2" s="543" t="s">
        <v>529</v>
      </c>
      <c r="U2" s="543" t="s">
        <v>599</v>
      </c>
      <c r="V2" s="543" t="s">
        <v>598</v>
      </c>
      <c r="W2" s="543" t="s">
        <v>608</v>
      </c>
      <c r="X2" s="543" t="s">
        <v>595</v>
      </c>
      <c r="Y2" s="543" t="s">
        <v>609</v>
      </c>
      <c r="Z2" s="543" t="s">
        <v>162</v>
      </c>
      <c r="AA2" s="543" t="s">
        <v>614</v>
      </c>
      <c r="AB2" s="543" t="s">
        <v>613</v>
      </c>
      <c r="AC2" s="543" t="s">
        <v>616</v>
      </c>
      <c r="AD2" s="543" t="s">
        <v>615</v>
      </c>
      <c r="AE2" s="543" t="s">
        <v>618</v>
      </c>
      <c r="AF2" s="543" t="s">
        <v>621</v>
      </c>
      <c r="AG2" s="543" t="s">
        <v>596</v>
      </c>
      <c r="AH2" s="543" t="s">
        <v>620</v>
      </c>
      <c r="AI2" s="543" t="s">
        <v>596</v>
      </c>
    </row>
    <row r="3" spans="1:45" ht="21.75" customHeight="1">
      <c r="A3" s="530" t="s">
        <v>576</v>
      </c>
      <c r="B3" s="531" t="s">
        <v>575</v>
      </c>
      <c r="C3" s="531" t="s">
        <v>575</v>
      </c>
      <c r="D3" s="531" t="s">
        <v>587</v>
      </c>
      <c r="E3" s="531" t="s">
        <v>575</v>
      </c>
      <c r="F3" s="532" t="s">
        <v>174</v>
      </c>
      <c r="G3" s="532" t="s">
        <v>175</v>
      </c>
      <c r="H3" s="532" t="s">
        <v>176</v>
      </c>
      <c r="K3" s="546" t="s">
        <v>576</v>
      </c>
      <c r="L3" s="540" t="s">
        <v>586</v>
      </c>
      <c r="M3" s="540" t="s">
        <v>586</v>
      </c>
      <c r="N3" s="540" t="s">
        <v>588</v>
      </c>
      <c r="O3" s="540" t="s">
        <v>588</v>
      </c>
      <c r="P3" s="540" t="s">
        <v>586</v>
      </c>
      <c r="Q3" s="540" t="s">
        <v>586</v>
      </c>
      <c r="R3" s="540" t="s">
        <v>586</v>
      </c>
      <c r="S3" s="540" t="s">
        <v>176</v>
      </c>
      <c r="T3" s="540" t="s">
        <v>176</v>
      </c>
      <c r="U3" s="540" t="s">
        <v>176</v>
      </c>
      <c r="V3" s="540" t="s">
        <v>176</v>
      </c>
      <c r="W3" s="540" t="s">
        <v>176</v>
      </c>
      <c r="X3" s="540" t="s">
        <v>176</v>
      </c>
      <c r="Y3" s="540" t="s">
        <v>176</v>
      </c>
      <c r="Z3" s="540" t="s">
        <v>174</v>
      </c>
      <c r="AA3" s="540" t="s">
        <v>176</v>
      </c>
      <c r="AB3" s="540" t="s">
        <v>176</v>
      </c>
      <c r="AC3" s="540" t="s">
        <v>176</v>
      </c>
      <c r="AD3" s="540" t="s">
        <v>176</v>
      </c>
      <c r="AE3" s="540" t="s">
        <v>176</v>
      </c>
      <c r="AF3" s="540" t="s">
        <v>176</v>
      </c>
      <c r="AG3" s="540" t="s">
        <v>176</v>
      </c>
      <c r="AH3" s="540" t="s">
        <v>176</v>
      </c>
      <c r="AI3" s="540" t="s">
        <v>176</v>
      </c>
      <c r="AN3" t="s">
        <v>622</v>
      </c>
      <c r="AO3" t="s">
        <v>623</v>
      </c>
      <c r="AP3" t="s">
        <v>624</v>
      </c>
      <c r="AQ3" t="s">
        <v>625</v>
      </c>
      <c r="AR3" t="s">
        <v>626</v>
      </c>
      <c r="AS3" t="s">
        <v>627</v>
      </c>
    </row>
    <row r="4" spans="1:45" ht="15" customHeight="1">
      <c r="A4" s="567">
        <v>0.2</v>
      </c>
      <c r="B4" s="569">
        <v>16</v>
      </c>
      <c r="C4" s="568" t="s">
        <v>178</v>
      </c>
      <c r="D4" s="567">
        <v>1.85</v>
      </c>
      <c r="E4" s="567">
        <v>0.04</v>
      </c>
      <c r="F4" s="569">
        <v>89</v>
      </c>
      <c r="G4" s="569">
        <v>41</v>
      </c>
      <c r="H4" s="141">
        <v>0.221</v>
      </c>
      <c r="K4" s="557">
        <v>0.2</v>
      </c>
      <c r="L4" s="557">
        <f t="shared" ref="L4:L12" si="0">B4*100</f>
        <v>1600</v>
      </c>
      <c r="M4" s="557" t="s">
        <v>109</v>
      </c>
      <c r="N4" s="557">
        <f>18.5</f>
        <v>18.5</v>
      </c>
      <c r="O4" s="557">
        <f>N4</f>
        <v>18.5</v>
      </c>
      <c r="P4" s="557">
        <f t="shared" ref="P4:P51" si="1">N4*K4</f>
        <v>3.7</v>
      </c>
      <c r="Q4" s="557">
        <f t="shared" ref="Q4:Q51" si="2">O4*K4</f>
        <v>3.7</v>
      </c>
      <c r="R4" s="21">
        <f>100</f>
        <v>100</v>
      </c>
      <c r="S4" s="21" t="e">
        <f t="shared" ref="S4:S51" si="3">(M4/(L4-P4))*100</f>
        <v>#VALUE!</v>
      </c>
      <c r="T4" s="475" t="e">
        <f t="shared" ref="T4:T51" si="4">((AJ59-1.64)*0.3)+0.5</f>
        <v>#VALUE!</v>
      </c>
      <c r="U4" s="475" t="e">
        <f>(($L4-$P4)/$R$4)*(($R$4/$Q4)^T4)</f>
        <v>#VALUE!</v>
      </c>
      <c r="V4" s="475"/>
      <c r="W4" s="475" t="e">
        <f t="shared" ref="W4:W51" si="5">(L4/$R$4)*($R$4/Q4)^T4</f>
        <v>#VALUE!</v>
      </c>
      <c r="X4" s="296">
        <f>IF(V4&lt;2.5,-(0.403*V4^4)+(5.581*V4^3)-(21.63*V4^2)+(33.75*V4)-17.88,(6*10^(-7))*V4^(16.76))</f>
        <v>-17.88</v>
      </c>
      <c r="Y4" s="490" t="e">
        <f>X4*W4</f>
        <v>#VALUE!</v>
      </c>
      <c r="Z4" s="552">
        <f t="shared" ref="Z4:Z51" si="6">-98+66*LOG(10*B4/(SQRT(10*(Q4/100))))</f>
        <v>61.721261961080188</v>
      </c>
      <c r="AA4" s="11">
        <f t="shared" ref="AA4:AA51" si="7">IF(Z4&lt;40,1,0.75)</f>
        <v>0.75</v>
      </c>
      <c r="AB4" s="296">
        <f t="shared" ref="AB4:AB51" si="8">IF(P4/$R$4&lt;=1,1,(P4/$R$4)^(AA4-1))</f>
        <v>1</v>
      </c>
      <c r="AC4" s="297">
        <f t="shared" ref="AC4:AC51" si="9">IF(K4&lt;9.15,1-0.00765*K4,1.174-0.0267*K4)</f>
        <v>0.99846999999999997</v>
      </c>
      <c r="AD4" s="297">
        <f t="shared" ref="AD4:AD51" si="10">0.65*AC4*($R$7)*(P4/Q4)</f>
        <v>0.13239712200000001</v>
      </c>
      <c r="AE4" s="297">
        <f t="shared" ref="AE4:AE51" si="11">AD4/($R$22*AB4)</f>
        <v>6.8631835679488301E-2</v>
      </c>
      <c r="AF4" s="297" t="e">
        <f t="shared" ref="AF4:AF50" si="12">93*(Y4/1000)^3+0.08</f>
        <v>#VALUE!</v>
      </c>
      <c r="AG4" s="553"/>
      <c r="AH4" s="11" t="e">
        <f t="shared" ref="AH4:AH51" si="13">EXP((Y4/540)+(Y4/67)^2-(Y4/80)^3+(Y4/114)^4-3)</f>
        <v>#VALUE!</v>
      </c>
      <c r="AI4" s="11" t="e">
        <f>AH4/AE4</f>
        <v>#VALUE!</v>
      </c>
      <c r="AL4" s="324">
        <v>1.25</v>
      </c>
      <c r="AM4" s="324">
        <v>-0.2</v>
      </c>
      <c r="AN4" s="324">
        <v>1.31</v>
      </c>
      <c r="AO4" s="573">
        <v>2.0499999999999998</v>
      </c>
      <c r="AP4" s="573">
        <v>2.6</v>
      </c>
      <c r="AQ4" s="324">
        <v>2.95</v>
      </c>
      <c r="AR4" s="324">
        <v>3.6</v>
      </c>
      <c r="AS4" s="324">
        <v>4</v>
      </c>
    </row>
    <row r="5" spans="1:45" ht="15" customHeight="1">
      <c r="A5" s="567">
        <v>0.4</v>
      </c>
      <c r="B5" s="569">
        <v>26</v>
      </c>
      <c r="C5" s="569">
        <v>26</v>
      </c>
      <c r="D5" s="567">
        <v>1.85</v>
      </c>
      <c r="E5" s="567">
        <v>7.0000000000000007E-2</v>
      </c>
      <c r="F5" s="569">
        <v>89</v>
      </c>
      <c r="G5" s="569">
        <v>40</v>
      </c>
      <c r="H5" s="141">
        <v>0.22</v>
      </c>
      <c r="K5" s="557">
        <v>0.4</v>
      </c>
      <c r="L5" s="557">
        <f t="shared" si="0"/>
        <v>2600</v>
      </c>
      <c r="M5" s="558">
        <f t="shared" ref="M5:M50" si="14">L5/C5</f>
        <v>100</v>
      </c>
      <c r="N5" s="557">
        <f t="shared" ref="N5:N51" si="15">18.5</f>
        <v>18.5</v>
      </c>
      <c r="O5" s="557">
        <f t="shared" ref="O5:O11" si="16">N5</f>
        <v>18.5</v>
      </c>
      <c r="P5" s="557">
        <f t="shared" si="1"/>
        <v>7.4</v>
      </c>
      <c r="Q5" s="557">
        <f t="shared" si="2"/>
        <v>7.4</v>
      </c>
      <c r="R5" s="545" t="s">
        <v>585</v>
      </c>
      <c r="S5" s="21">
        <f t="shared" si="3"/>
        <v>3.8571318367661811</v>
      </c>
      <c r="T5" s="475">
        <f t="shared" si="4"/>
        <v>0.67450490436273258</v>
      </c>
      <c r="U5" s="475">
        <f>(($L5-$P5)/$R$4)*(($R$4/$Q5)^$T$5)</f>
        <v>150.12197434008962</v>
      </c>
      <c r="V5" s="475">
        <f t="shared" ref="V5:V50" si="17">((3.47-LOG(U5))^2+(LOG($S5)+1.22)^2)^0.5</f>
        <v>2.2216835546277793</v>
      </c>
      <c r="W5" s="475">
        <f t="shared" si="5"/>
        <v>150.55046412259239</v>
      </c>
      <c r="X5" s="296">
        <f>-(0.403*V5^4)+(5.581*V5^3)-(21.63*V5^2)+(33.75*V5)-17.88</f>
        <v>1.721552988751224</v>
      </c>
      <c r="Y5" s="296">
        <f t="shared" ref="Y5:Y51" si="18">X5*W5</f>
        <v>259.18060146813286</v>
      </c>
      <c r="Z5" s="552">
        <f t="shared" si="6"/>
        <v>65.70359421495175</v>
      </c>
      <c r="AA5" s="11">
        <f t="shared" si="7"/>
        <v>0.75</v>
      </c>
      <c r="AB5" s="296">
        <f t="shared" si="8"/>
        <v>1</v>
      </c>
      <c r="AC5" s="297">
        <f t="shared" si="9"/>
        <v>0.99694000000000005</v>
      </c>
      <c r="AD5" s="297">
        <f t="shared" si="10"/>
        <v>0.13219424399999999</v>
      </c>
      <c r="AE5" s="297">
        <f t="shared" si="11"/>
        <v>6.8526668064447668E-2</v>
      </c>
      <c r="AF5" s="297">
        <f t="shared" si="12"/>
        <v>1.6991624691333269</v>
      </c>
      <c r="AG5" s="553"/>
      <c r="AH5" s="297">
        <f t="shared" si="13"/>
        <v>173.61108422037771</v>
      </c>
      <c r="AI5" s="11"/>
      <c r="AL5" s="324">
        <v>1.25</v>
      </c>
      <c r="AM5" s="324">
        <v>-0.4</v>
      </c>
      <c r="AN5" s="324">
        <v>1.31</v>
      </c>
      <c r="AO5" s="573">
        <v>2.0499999999999998</v>
      </c>
      <c r="AP5" s="573">
        <v>2.6</v>
      </c>
      <c r="AQ5" s="324">
        <v>2.95</v>
      </c>
      <c r="AR5" s="324">
        <v>3.6</v>
      </c>
    </row>
    <row r="6" spans="1:45" ht="15" customHeight="1">
      <c r="A6" s="567">
        <v>0.6</v>
      </c>
      <c r="B6" s="569">
        <v>30</v>
      </c>
      <c r="C6" s="569">
        <v>45</v>
      </c>
      <c r="D6" s="567">
        <v>1.85</v>
      </c>
      <c r="E6" s="567">
        <v>0.11</v>
      </c>
      <c r="F6" s="569">
        <v>84</v>
      </c>
      <c r="G6" s="569">
        <v>40</v>
      </c>
      <c r="H6" s="141">
        <v>0.20399999999999999</v>
      </c>
      <c r="K6" s="557">
        <v>0.6</v>
      </c>
      <c r="L6" s="557">
        <f t="shared" si="0"/>
        <v>3000</v>
      </c>
      <c r="M6" s="558">
        <f t="shared" si="14"/>
        <v>66.666666666666671</v>
      </c>
      <c r="N6" s="557">
        <f t="shared" si="15"/>
        <v>18.5</v>
      </c>
      <c r="O6" s="557">
        <f t="shared" si="16"/>
        <v>18.5</v>
      </c>
      <c r="P6" s="557">
        <f t="shared" si="1"/>
        <v>11.1</v>
      </c>
      <c r="Q6" s="557">
        <f t="shared" si="2"/>
        <v>11.1</v>
      </c>
      <c r="R6" s="544" t="s">
        <v>176</v>
      </c>
      <c r="S6" s="21">
        <f t="shared" si="3"/>
        <v>2.2304749796469161</v>
      </c>
      <c r="T6" s="475">
        <f t="shared" si="4"/>
        <v>0.63614839537455414</v>
      </c>
      <c r="U6" s="475">
        <f t="shared" ref="U6:U51" si="19">(($L6-$P6)/$R$4)*(($R$4/$Q6)^T6)</f>
        <v>121.01177749900882</v>
      </c>
      <c r="V6" s="475">
        <f t="shared" si="17"/>
        <v>2.0938284127056868</v>
      </c>
      <c r="W6" s="475">
        <f t="shared" si="5"/>
        <v>121.46118387936247</v>
      </c>
      <c r="X6" s="296">
        <f t="shared" ref="X6:X51" si="20">-(0.403*V6^4)+(5.581*V6^3)-(21.63*V6^2)+(33.75*V6)-17.88</f>
        <v>1.4436830932340747</v>
      </c>
      <c r="Y6" s="296">
        <f t="shared" si="18"/>
        <v>175.35145765083072</v>
      </c>
      <c r="Z6" s="552">
        <f t="shared" si="6"/>
        <v>63.994344511538031</v>
      </c>
      <c r="AA6" s="11">
        <f t="shared" si="7"/>
        <v>0.75</v>
      </c>
      <c r="AB6" s="296">
        <f t="shared" si="8"/>
        <v>1</v>
      </c>
      <c r="AC6" s="297">
        <f t="shared" si="9"/>
        <v>0.99541000000000002</v>
      </c>
      <c r="AD6" s="297">
        <f t="shared" si="10"/>
        <v>0.131991366</v>
      </c>
      <c r="AE6" s="297">
        <f t="shared" si="11"/>
        <v>6.8421500449407049E-2</v>
      </c>
      <c r="AF6" s="297">
        <f t="shared" si="12"/>
        <v>0.58143089598782027</v>
      </c>
      <c r="AG6" s="553">
        <f t="shared" ref="AG6:AG50" si="21">AF6/AE6</f>
        <v>8.4977805539027607</v>
      </c>
      <c r="AH6" s="297">
        <f t="shared" si="13"/>
        <v>0.46835621809153732</v>
      </c>
      <c r="AI6" s="296">
        <f t="shared" ref="AI6:AI50" si="22">AH6/AE6</f>
        <v>6.8451614626290498</v>
      </c>
      <c r="AL6" s="324">
        <v>1.25</v>
      </c>
      <c r="AM6" s="324">
        <v>-0.6</v>
      </c>
      <c r="AN6" s="324">
        <v>1.31</v>
      </c>
      <c r="AO6" s="573">
        <v>2.0499999999999998</v>
      </c>
      <c r="AP6" s="573">
        <v>2.6</v>
      </c>
      <c r="AQ6" s="324">
        <v>2.95</v>
      </c>
      <c r="AR6" s="324">
        <v>3.6</v>
      </c>
    </row>
    <row r="7" spans="1:45" ht="15" customHeight="1">
      <c r="A7" s="567">
        <v>0.8</v>
      </c>
      <c r="B7" s="569">
        <v>25</v>
      </c>
      <c r="C7" s="569">
        <v>34</v>
      </c>
      <c r="D7" s="567">
        <v>1.85</v>
      </c>
      <c r="E7" s="567">
        <v>0.15</v>
      </c>
      <c r="F7" s="569">
        <v>71</v>
      </c>
      <c r="G7" s="569">
        <v>38</v>
      </c>
      <c r="H7" s="141">
        <v>0.16200000000000001</v>
      </c>
      <c r="K7" s="557">
        <v>0.8</v>
      </c>
      <c r="L7" s="557">
        <f t="shared" si="0"/>
        <v>2500</v>
      </c>
      <c r="M7" s="558">
        <f t="shared" si="14"/>
        <v>73.529411764705884</v>
      </c>
      <c r="N7" s="557">
        <f t="shared" si="15"/>
        <v>18.5</v>
      </c>
      <c r="O7" s="557">
        <f t="shared" si="16"/>
        <v>18.5</v>
      </c>
      <c r="P7" s="557">
        <f t="shared" si="1"/>
        <v>14.8</v>
      </c>
      <c r="Q7" s="557">
        <f t="shared" si="2"/>
        <v>14.8</v>
      </c>
      <c r="R7" s="557">
        <v>0.20399999999999999</v>
      </c>
      <c r="S7" s="566">
        <f t="shared" si="3"/>
        <v>2.9586919267948613</v>
      </c>
      <c r="T7" s="477">
        <f t="shared" si="4"/>
        <v>0.68705610525893979</v>
      </c>
      <c r="U7" s="477">
        <f t="shared" si="19"/>
        <v>92.350255038822269</v>
      </c>
      <c r="V7" s="475">
        <f t="shared" si="17"/>
        <v>2.2635204586554654</v>
      </c>
      <c r="W7" s="475">
        <f t="shared" si="5"/>
        <v>92.900224367075367</v>
      </c>
      <c r="X7" s="296">
        <f t="shared" si="20"/>
        <v>1.8370101981466753</v>
      </c>
      <c r="Y7" s="296">
        <f t="shared" si="18"/>
        <v>170.6586595724317</v>
      </c>
      <c r="Z7" s="552">
        <f t="shared" si="6"/>
        <v>54.645403964320877</v>
      </c>
      <c r="AA7" s="11">
        <f t="shared" si="7"/>
        <v>0.75</v>
      </c>
      <c r="AB7" s="296">
        <f t="shared" si="8"/>
        <v>1</v>
      </c>
      <c r="AC7" s="297">
        <f t="shared" si="9"/>
        <v>0.99387999999999999</v>
      </c>
      <c r="AD7" s="297">
        <f t="shared" si="10"/>
        <v>0.13178848799999998</v>
      </c>
      <c r="AE7" s="297">
        <f t="shared" si="11"/>
        <v>6.8316332834366403E-2</v>
      </c>
      <c r="AF7" s="297">
        <f t="shared" si="12"/>
        <v>0.54224044124529391</v>
      </c>
      <c r="AG7" s="553">
        <f t="shared" si="21"/>
        <v>7.9372006480494353</v>
      </c>
      <c r="AH7" s="297">
        <f t="shared" si="13"/>
        <v>0.41416385949521595</v>
      </c>
      <c r="AI7" s="296">
        <f t="shared" si="22"/>
        <v>6.0624427909407865</v>
      </c>
      <c r="AL7" s="324">
        <v>1.25</v>
      </c>
      <c r="AM7" s="324">
        <v>-0.8</v>
      </c>
      <c r="AN7" s="324">
        <v>1.31</v>
      </c>
      <c r="AO7" s="573">
        <v>2.0499999999999998</v>
      </c>
      <c r="AP7" s="573">
        <v>2.6</v>
      </c>
      <c r="AQ7" s="324">
        <v>2.95</v>
      </c>
      <c r="AR7" s="324">
        <v>3.6</v>
      </c>
    </row>
    <row r="8" spans="1:45" ht="15" customHeight="1">
      <c r="A8" s="527" t="s">
        <v>181</v>
      </c>
      <c r="B8" s="569">
        <v>17</v>
      </c>
      <c r="C8" s="569">
        <v>32</v>
      </c>
      <c r="D8" s="567">
        <v>1.85</v>
      </c>
      <c r="E8" s="567">
        <v>0.19</v>
      </c>
      <c r="F8" s="569">
        <v>52</v>
      </c>
      <c r="G8" s="569">
        <v>35</v>
      </c>
      <c r="H8" s="141">
        <v>0.11</v>
      </c>
      <c r="J8"/>
      <c r="K8" s="557">
        <v>1</v>
      </c>
      <c r="L8" s="557">
        <f t="shared" si="0"/>
        <v>1700</v>
      </c>
      <c r="M8" s="558">
        <f t="shared" si="14"/>
        <v>53.125</v>
      </c>
      <c r="N8" s="557">
        <f t="shared" si="15"/>
        <v>18.5</v>
      </c>
      <c r="O8" s="557">
        <f t="shared" si="16"/>
        <v>18.5</v>
      </c>
      <c r="P8" s="557">
        <f t="shared" si="1"/>
        <v>18.5</v>
      </c>
      <c r="Q8" s="557">
        <f t="shared" si="2"/>
        <v>18.5</v>
      </c>
      <c r="R8" s="572" t="s">
        <v>529</v>
      </c>
      <c r="S8" s="21">
        <f t="shared" si="3"/>
        <v>3.1593815046089802</v>
      </c>
      <c r="T8" s="475">
        <f t="shared" si="4"/>
        <v>0.73466821630620838</v>
      </c>
      <c r="U8" s="475">
        <f t="shared" si="19"/>
        <v>58.087476635859936</v>
      </c>
      <c r="V8" s="476">
        <f t="shared" si="17"/>
        <v>2.4222274385234632</v>
      </c>
      <c r="W8" s="475">
        <f t="shared" si="5"/>
        <v>58.72655978647748</v>
      </c>
      <c r="X8" s="296">
        <f t="shared" si="20"/>
        <v>2.4053940741031958</v>
      </c>
      <c r="Y8" s="296">
        <f t="shared" si="18"/>
        <v>141.26051890285999</v>
      </c>
      <c r="Z8" s="552">
        <f t="shared" si="6"/>
        <v>40.392961773666627</v>
      </c>
      <c r="AA8" s="11">
        <f t="shared" si="7"/>
        <v>0.75</v>
      </c>
      <c r="AB8" s="296">
        <f t="shared" si="8"/>
        <v>1</v>
      </c>
      <c r="AC8" s="297">
        <f t="shared" si="9"/>
        <v>0.99234999999999995</v>
      </c>
      <c r="AD8" s="297">
        <f t="shared" si="10"/>
        <v>0.13158560999999999</v>
      </c>
      <c r="AE8" s="297">
        <f t="shared" si="11"/>
        <v>6.8211165219325784E-2</v>
      </c>
      <c r="AF8" s="297">
        <f t="shared" si="12"/>
        <v>0.34214727057605371</v>
      </c>
      <c r="AG8" s="553">
        <f t="shared" si="21"/>
        <v>5.0160009651779935</v>
      </c>
      <c r="AH8" s="297">
        <f t="shared" si="13"/>
        <v>0.23667227643668939</v>
      </c>
      <c r="AI8" s="296">
        <f t="shared" si="22"/>
        <v>3.4696999483250979</v>
      </c>
      <c r="AL8" s="324">
        <v>1.25</v>
      </c>
      <c r="AM8" s="324">
        <v>-1</v>
      </c>
      <c r="AN8" s="324">
        <v>1.31</v>
      </c>
      <c r="AO8" s="573">
        <v>2.0499999999999998</v>
      </c>
      <c r="AP8" s="573">
        <v>2.6</v>
      </c>
      <c r="AQ8" s="324">
        <v>2.95</v>
      </c>
      <c r="AR8" s="324">
        <v>3.6</v>
      </c>
    </row>
    <row r="9" spans="1:45" ht="15" customHeight="1">
      <c r="A9" s="567">
        <v>1.2</v>
      </c>
      <c r="B9" s="569">
        <v>12</v>
      </c>
      <c r="C9" s="569">
        <v>22</v>
      </c>
      <c r="D9" s="567">
        <v>1.85</v>
      </c>
      <c r="E9" s="567">
        <v>0.22</v>
      </c>
      <c r="F9" s="568" t="s">
        <v>178</v>
      </c>
      <c r="G9" s="568" t="s">
        <v>178</v>
      </c>
      <c r="H9" s="568" t="s">
        <v>178</v>
      </c>
      <c r="J9"/>
      <c r="K9" s="557">
        <v>1.2</v>
      </c>
      <c r="L9" s="557">
        <f t="shared" si="0"/>
        <v>1200</v>
      </c>
      <c r="M9" s="558">
        <f t="shared" si="14"/>
        <v>54.545454545454547</v>
      </c>
      <c r="N9" s="557">
        <f t="shared" si="15"/>
        <v>18.5</v>
      </c>
      <c r="O9" s="557">
        <f t="shared" si="16"/>
        <v>18.5</v>
      </c>
      <c r="P9" s="557">
        <f t="shared" si="1"/>
        <v>22.2</v>
      </c>
      <c r="Q9" s="557">
        <f t="shared" si="2"/>
        <v>22.2</v>
      </c>
      <c r="R9" s="563" t="s">
        <v>176</v>
      </c>
      <c r="S9" s="21">
        <f t="shared" si="3"/>
        <v>4.6311304589450284</v>
      </c>
      <c r="T9" s="475">
        <f t="shared" si="4"/>
        <v>0.80525307437777638</v>
      </c>
      <c r="U9" s="475">
        <f t="shared" si="19"/>
        <v>39.575173441025292</v>
      </c>
      <c r="V9" s="476">
        <f t="shared" si="17"/>
        <v>2.6575102612778512</v>
      </c>
      <c r="W9" s="475">
        <f t="shared" si="5"/>
        <v>40.321114050968212</v>
      </c>
      <c r="X9" s="296">
        <f t="shared" si="20"/>
        <v>3.6975621276391557</v>
      </c>
      <c r="Y9" s="296">
        <f t="shared" si="18"/>
        <v>149.08982425907908</v>
      </c>
      <c r="Z9" s="552">
        <f t="shared" si="6"/>
        <v>27.796314082272161</v>
      </c>
      <c r="AA9" s="11">
        <f t="shared" si="7"/>
        <v>1</v>
      </c>
      <c r="AB9" s="296">
        <f t="shared" si="8"/>
        <v>1</v>
      </c>
      <c r="AC9" s="297">
        <f t="shared" si="9"/>
        <v>0.99082000000000003</v>
      </c>
      <c r="AD9" s="297">
        <f t="shared" si="10"/>
        <v>0.131382732</v>
      </c>
      <c r="AE9" s="297">
        <f t="shared" si="11"/>
        <v>6.8105997604285165E-2</v>
      </c>
      <c r="AF9" s="297">
        <f t="shared" si="12"/>
        <v>0.38819597103560616</v>
      </c>
      <c r="AG9" s="553">
        <f t="shared" si="21"/>
        <v>5.6998793746643726</v>
      </c>
      <c r="AH9" s="297">
        <f t="shared" si="13"/>
        <v>0.26726544515804845</v>
      </c>
      <c r="AI9" s="296">
        <f t="shared" si="22"/>
        <v>3.9242571074420671</v>
      </c>
      <c r="AL9" s="324">
        <v>1.25</v>
      </c>
      <c r="AM9" s="324">
        <v>-1.2</v>
      </c>
      <c r="AN9" s="324">
        <v>1.31</v>
      </c>
      <c r="AO9" s="573">
        <v>2.0499999999999998</v>
      </c>
      <c r="AP9" s="573">
        <v>2.6</v>
      </c>
      <c r="AQ9" s="324">
        <v>2.95</v>
      </c>
      <c r="AR9" s="324">
        <v>3.6</v>
      </c>
    </row>
    <row r="10" spans="1:45" ht="15" customHeight="1">
      <c r="A10" s="567">
        <v>1.4</v>
      </c>
      <c r="B10" s="569">
        <v>24</v>
      </c>
      <c r="C10" s="569">
        <v>45</v>
      </c>
      <c r="D10" s="567">
        <v>1.85</v>
      </c>
      <c r="E10" s="567">
        <v>0.26</v>
      </c>
      <c r="F10" s="569">
        <v>56</v>
      </c>
      <c r="G10" s="569">
        <v>36</v>
      </c>
      <c r="H10" s="141">
        <v>0.11899999999999999</v>
      </c>
      <c r="J10"/>
      <c r="K10" s="557">
        <v>1.4</v>
      </c>
      <c r="L10" s="557">
        <f t="shared" si="0"/>
        <v>2400</v>
      </c>
      <c r="M10" s="558">
        <f t="shared" si="14"/>
        <v>53.333333333333336</v>
      </c>
      <c r="N10" s="557">
        <f t="shared" si="15"/>
        <v>18.5</v>
      </c>
      <c r="O10" s="557">
        <f t="shared" si="16"/>
        <v>18.5</v>
      </c>
      <c r="P10" s="557">
        <f t="shared" si="1"/>
        <v>25.9</v>
      </c>
      <c r="Q10" s="557">
        <f t="shared" si="2"/>
        <v>25.9</v>
      </c>
      <c r="R10" s="564">
        <v>1</v>
      </c>
      <c r="S10" s="21">
        <f t="shared" si="3"/>
        <v>2.2464653272117157</v>
      </c>
      <c r="T10" s="475">
        <f t="shared" si="4"/>
        <v>0.69908434261131314</v>
      </c>
      <c r="U10" s="475">
        <f t="shared" si="19"/>
        <v>61.045261259878657</v>
      </c>
      <c r="V10" s="476">
        <f t="shared" si="17"/>
        <v>2.30361448607984</v>
      </c>
      <c r="W10" s="475">
        <f t="shared" si="5"/>
        <v>61.711228264904079</v>
      </c>
      <c r="X10" s="296">
        <f t="shared" si="20"/>
        <v>1.9603880392141626</v>
      </c>
      <c r="Y10" s="296">
        <f t="shared" si="18"/>
        <v>120.97795377573291</v>
      </c>
      <c r="Z10" s="552">
        <f t="shared" si="6"/>
        <v>45.455049738284686</v>
      </c>
      <c r="AA10" s="11">
        <f t="shared" si="7"/>
        <v>0.75</v>
      </c>
      <c r="AB10" s="296">
        <f t="shared" si="8"/>
        <v>1</v>
      </c>
      <c r="AC10" s="297">
        <f t="shared" si="9"/>
        <v>0.98929</v>
      </c>
      <c r="AD10" s="297">
        <f t="shared" si="10"/>
        <v>0.13117985400000001</v>
      </c>
      <c r="AE10" s="297">
        <f t="shared" si="11"/>
        <v>6.8000829989244532E-2</v>
      </c>
      <c r="AF10" s="297">
        <f t="shared" si="12"/>
        <v>0.24466513413040397</v>
      </c>
      <c r="AG10" s="553">
        <f t="shared" si="21"/>
        <v>3.5979727625251319</v>
      </c>
      <c r="AH10" s="297">
        <f t="shared" si="13"/>
        <v>0.1816698638391695</v>
      </c>
      <c r="AI10" s="296">
        <f t="shared" si="22"/>
        <v>2.6715830360879953</v>
      </c>
      <c r="AL10" s="324">
        <v>1.25</v>
      </c>
      <c r="AM10" s="324">
        <v>-1.4</v>
      </c>
      <c r="AN10" s="324">
        <v>1.31</v>
      </c>
      <c r="AO10" s="573">
        <v>2.0499999999999998</v>
      </c>
      <c r="AP10" s="573">
        <v>2.6</v>
      </c>
      <c r="AQ10" s="324">
        <v>2.95</v>
      </c>
      <c r="AR10" s="324">
        <v>3.6</v>
      </c>
    </row>
    <row r="11" spans="1:45" ht="15" customHeight="1">
      <c r="A11" s="567">
        <v>1.6</v>
      </c>
      <c r="B11" s="569">
        <v>20</v>
      </c>
      <c r="C11" s="569">
        <v>60</v>
      </c>
      <c r="D11" s="567">
        <v>1.85</v>
      </c>
      <c r="E11" s="567">
        <v>0.3</v>
      </c>
      <c r="F11" s="569">
        <v>46</v>
      </c>
      <c r="G11" s="569">
        <v>34</v>
      </c>
      <c r="H11" s="141">
        <v>9.5000000000000001E-2</v>
      </c>
      <c r="J11"/>
      <c r="K11" s="557">
        <v>1.6</v>
      </c>
      <c r="L11" s="557">
        <f t="shared" si="0"/>
        <v>2000</v>
      </c>
      <c r="M11" s="558">
        <f t="shared" si="14"/>
        <v>33.333333333333336</v>
      </c>
      <c r="N11" s="557">
        <f t="shared" si="15"/>
        <v>18.5</v>
      </c>
      <c r="O11" s="557">
        <f t="shared" si="16"/>
        <v>18.5</v>
      </c>
      <c r="P11" s="557">
        <f t="shared" si="1"/>
        <v>29.6</v>
      </c>
      <c r="Q11" s="557">
        <f t="shared" si="2"/>
        <v>29.6</v>
      </c>
      <c r="R11" s="565" t="s">
        <v>536</v>
      </c>
      <c r="S11" s="21">
        <f t="shared" si="3"/>
        <v>1.6917038841521181</v>
      </c>
      <c r="T11" s="475">
        <f t="shared" si="4"/>
        <v>0.70209250807695289</v>
      </c>
      <c r="U11" s="475">
        <f t="shared" si="19"/>
        <v>46.318717667546167</v>
      </c>
      <c r="V11" s="476">
        <f t="shared" si="17"/>
        <v>2.3136417010289008</v>
      </c>
      <c r="W11" s="475">
        <f t="shared" si="5"/>
        <v>47.014532752279905</v>
      </c>
      <c r="X11" s="296">
        <f t="shared" si="20"/>
        <v>1.9932799902004312</v>
      </c>
      <c r="Y11" s="296">
        <f t="shared" si="18"/>
        <v>93.713127383742346</v>
      </c>
      <c r="Z11" s="552">
        <f t="shared" si="6"/>
        <v>38.315353248877784</v>
      </c>
      <c r="AA11" s="11">
        <f t="shared" si="7"/>
        <v>1</v>
      </c>
      <c r="AB11" s="296">
        <f t="shared" si="8"/>
        <v>1</v>
      </c>
      <c r="AC11" s="297">
        <f t="shared" si="9"/>
        <v>0.98775999999999997</v>
      </c>
      <c r="AD11" s="297">
        <f t="shared" si="10"/>
        <v>0.13097697599999997</v>
      </c>
      <c r="AE11" s="297">
        <f t="shared" si="11"/>
        <v>6.7895662374203886E-2</v>
      </c>
      <c r="AF11" s="297">
        <f t="shared" si="12"/>
        <v>0.15653925710064151</v>
      </c>
      <c r="AG11" s="553">
        <f t="shared" si="21"/>
        <v>2.3055855356102493</v>
      </c>
      <c r="AH11" s="297">
        <f t="shared" si="13"/>
        <v>0.13254083890389803</v>
      </c>
      <c r="AI11" s="296">
        <f t="shared" si="22"/>
        <v>1.9521252797182413</v>
      </c>
      <c r="AL11" s="324">
        <v>1.25</v>
      </c>
      <c r="AM11" s="324">
        <v>-1.6</v>
      </c>
      <c r="AN11" s="324">
        <v>1.31</v>
      </c>
      <c r="AO11" s="573">
        <v>2.0499999999999998</v>
      </c>
      <c r="AP11" s="573">
        <v>2.6</v>
      </c>
      <c r="AQ11" s="324">
        <v>2.95</v>
      </c>
      <c r="AR11" s="324">
        <v>3.6</v>
      </c>
    </row>
    <row r="12" spans="1:45" ht="15" customHeight="1">
      <c r="A12" s="567">
        <v>1.8</v>
      </c>
      <c r="B12" s="569">
        <v>9</v>
      </c>
      <c r="C12" s="569">
        <v>34</v>
      </c>
      <c r="D12" s="567">
        <v>0.85</v>
      </c>
      <c r="E12" s="567">
        <v>0.31</v>
      </c>
      <c r="F12" s="569">
        <v>18</v>
      </c>
      <c r="G12" s="569">
        <v>30</v>
      </c>
      <c r="H12" s="141">
        <v>3.4000000000000002E-2</v>
      </c>
      <c r="J12"/>
      <c r="K12" s="557">
        <v>1.8</v>
      </c>
      <c r="L12" s="557">
        <f t="shared" si="0"/>
        <v>900</v>
      </c>
      <c r="M12" s="558">
        <f t="shared" si="14"/>
        <v>26.470588235294116</v>
      </c>
      <c r="N12" s="557">
        <f t="shared" si="15"/>
        <v>18.5</v>
      </c>
      <c r="O12" s="557">
        <f>N4-10</f>
        <v>8.5</v>
      </c>
      <c r="P12" s="557">
        <f t="shared" si="1"/>
        <v>33.300000000000004</v>
      </c>
      <c r="Q12" s="557">
        <f t="shared" si="2"/>
        <v>15.3</v>
      </c>
      <c r="R12" s="563" t="s">
        <v>176</v>
      </c>
      <c r="S12" s="21">
        <f t="shared" si="3"/>
        <v>3.0541811740272431</v>
      </c>
      <c r="T12" s="475">
        <f t="shared" si="4"/>
        <v>0.77406303061800297</v>
      </c>
      <c r="U12" s="475">
        <f t="shared" si="19"/>
        <v>37.065427928688244</v>
      </c>
      <c r="V12" s="476">
        <f t="shared" si="17"/>
        <v>2.5535436274770644</v>
      </c>
      <c r="W12" s="475">
        <f t="shared" si="5"/>
        <v>38.489540943601504</v>
      </c>
      <c r="X12" s="296">
        <f t="shared" si="20"/>
        <v>3.054066536821491</v>
      </c>
      <c r="Y12" s="296">
        <f t="shared" si="18"/>
        <v>117.54961901347403</v>
      </c>
      <c r="Z12" s="552">
        <f t="shared" si="6"/>
        <v>24.885188406014677</v>
      </c>
      <c r="AA12" s="11">
        <f t="shared" si="7"/>
        <v>1</v>
      </c>
      <c r="AB12" s="296">
        <f t="shared" si="8"/>
        <v>1</v>
      </c>
      <c r="AC12" s="297">
        <f t="shared" si="9"/>
        <v>0.98623000000000005</v>
      </c>
      <c r="AD12" s="297">
        <f t="shared" si="10"/>
        <v>0.28462597800000006</v>
      </c>
      <c r="AE12" s="297">
        <f t="shared" si="11"/>
        <v>0.14754401800523773</v>
      </c>
      <c r="AF12" s="297">
        <f t="shared" si="12"/>
        <v>0.23105900724723305</v>
      </c>
      <c r="AG12" s="553">
        <f t="shared" si="21"/>
        <v>1.5660343968606751</v>
      </c>
      <c r="AH12" s="297">
        <f t="shared" si="13"/>
        <v>0.17445313080762342</v>
      </c>
      <c r="AI12" s="296">
        <f t="shared" si="22"/>
        <v>1.1823802358522624</v>
      </c>
      <c r="AL12" s="324">
        <v>1.25</v>
      </c>
      <c r="AM12" s="324">
        <v>-1.8</v>
      </c>
      <c r="AN12" s="324">
        <v>1.31</v>
      </c>
      <c r="AO12" s="573">
        <v>2.0499999999999998</v>
      </c>
      <c r="AP12" s="573">
        <v>2.6</v>
      </c>
      <c r="AQ12" s="324">
        <v>2.95</v>
      </c>
      <c r="AR12" s="324">
        <v>3.6</v>
      </c>
    </row>
    <row r="13" spans="1:45" ht="15" customHeight="1">
      <c r="A13" s="527" t="s">
        <v>184</v>
      </c>
      <c r="B13" s="569">
        <v>76</v>
      </c>
      <c r="C13" s="569">
        <v>104</v>
      </c>
      <c r="D13" s="567">
        <v>0.96</v>
      </c>
      <c r="E13" s="567">
        <v>0.33</v>
      </c>
      <c r="F13" s="569">
        <v>89</v>
      </c>
      <c r="G13" s="569">
        <v>41</v>
      </c>
      <c r="H13" s="141">
        <v>0.221</v>
      </c>
      <c r="J13"/>
      <c r="K13" s="557">
        <v>2</v>
      </c>
      <c r="L13" s="557">
        <v>1000</v>
      </c>
      <c r="M13" s="558">
        <f t="shared" si="14"/>
        <v>9.615384615384615</v>
      </c>
      <c r="N13" s="557">
        <f t="shared" si="15"/>
        <v>18.5</v>
      </c>
      <c r="O13" s="557">
        <f t="shared" ref="O13:O51" si="23">N5-10</f>
        <v>8.5</v>
      </c>
      <c r="P13" s="557">
        <f t="shared" si="1"/>
        <v>37</v>
      </c>
      <c r="Q13" s="557">
        <f t="shared" si="2"/>
        <v>17</v>
      </c>
      <c r="R13" s="324">
        <v>6</v>
      </c>
      <c r="S13" s="21">
        <f t="shared" si="3"/>
        <v>0.99848230689352169</v>
      </c>
      <c r="T13" s="475">
        <f t="shared" si="4"/>
        <v>0.69779678312129534</v>
      </c>
      <c r="U13" s="475">
        <f t="shared" si="19"/>
        <v>33.160155178312223</v>
      </c>
      <c r="V13" s="476">
        <f t="shared" si="17"/>
        <v>2.2993231102347256</v>
      </c>
      <c r="W13" s="475">
        <f t="shared" si="5"/>
        <v>34.434221368963883</v>
      </c>
      <c r="X13" s="296">
        <f t="shared" si="20"/>
        <v>1.9465642530016929</v>
      </c>
      <c r="Y13" s="296">
        <f t="shared" si="18"/>
        <v>67.02842439677211</v>
      </c>
      <c r="Z13" s="552">
        <f t="shared" si="6"/>
        <v>84.528882685049183</v>
      </c>
      <c r="AA13" s="11">
        <f t="shared" si="7"/>
        <v>0.75</v>
      </c>
      <c r="AB13" s="296">
        <f t="shared" si="8"/>
        <v>1</v>
      </c>
      <c r="AC13" s="297">
        <f t="shared" si="9"/>
        <v>0.98470000000000002</v>
      </c>
      <c r="AD13" s="297">
        <f t="shared" si="10"/>
        <v>0.28418441999999994</v>
      </c>
      <c r="AE13" s="297">
        <f t="shared" si="11"/>
        <v>0.14731512378426689</v>
      </c>
      <c r="AF13" s="297">
        <f t="shared" si="12"/>
        <v>0.10800657370075026</v>
      </c>
      <c r="AG13" s="553">
        <f t="shared" si="21"/>
        <v>0.73316690728182554</v>
      </c>
      <c r="AH13" s="297">
        <f t="shared" si="13"/>
        <v>9.5973141783132959E-2</v>
      </c>
      <c r="AI13" s="296">
        <f t="shared" si="22"/>
        <v>0.65148193422203671</v>
      </c>
      <c r="AL13" s="324">
        <v>1.25</v>
      </c>
      <c r="AM13" s="324">
        <v>-2</v>
      </c>
      <c r="AN13" s="324">
        <v>1.31</v>
      </c>
      <c r="AO13" s="573">
        <v>2.0499999999999998</v>
      </c>
      <c r="AP13" s="573">
        <v>2.6</v>
      </c>
      <c r="AQ13" s="324">
        <v>2.95</v>
      </c>
      <c r="AR13" s="324">
        <v>3.6</v>
      </c>
    </row>
    <row r="14" spans="1:45" ht="15" customHeight="1">
      <c r="A14" s="567">
        <v>2.2000000000000002</v>
      </c>
      <c r="B14" s="569">
        <v>11</v>
      </c>
      <c r="C14" s="569">
        <v>82</v>
      </c>
      <c r="D14" s="567">
        <v>0.87</v>
      </c>
      <c r="E14" s="567">
        <v>0.35</v>
      </c>
      <c r="F14" s="569">
        <v>22</v>
      </c>
      <c r="G14" s="569">
        <v>31</v>
      </c>
      <c r="H14" s="141">
        <v>4.1000000000000002E-2</v>
      </c>
      <c r="J14"/>
      <c r="K14" s="557">
        <v>2.2000000000000002</v>
      </c>
      <c r="L14" s="557">
        <f t="shared" ref="L14:L51" si="24">B14*100</f>
        <v>1100</v>
      </c>
      <c r="M14" s="558">
        <f t="shared" si="14"/>
        <v>13.414634146341463</v>
      </c>
      <c r="N14" s="557">
        <f t="shared" si="15"/>
        <v>18.5</v>
      </c>
      <c r="O14" s="557">
        <f t="shared" si="23"/>
        <v>8.5</v>
      </c>
      <c r="P14" s="557">
        <f t="shared" si="1"/>
        <v>40.700000000000003</v>
      </c>
      <c r="Q14" s="557">
        <f t="shared" si="2"/>
        <v>18.700000000000003</v>
      </c>
      <c r="R14" s="554" t="s">
        <v>610</v>
      </c>
      <c r="S14" s="21">
        <f t="shared" si="3"/>
        <v>1.2663678038649544</v>
      </c>
      <c r="T14" s="475">
        <f t="shared" si="4"/>
        <v>0.70949481927994318</v>
      </c>
      <c r="U14" s="475">
        <f t="shared" si="19"/>
        <v>34.805155632166631</v>
      </c>
      <c r="V14" s="476">
        <f t="shared" si="17"/>
        <v>2.3383162888938989</v>
      </c>
      <c r="W14" s="475">
        <f t="shared" si="5"/>
        <v>36.142425370889548</v>
      </c>
      <c r="X14" s="296">
        <f t="shared" si="20"/>
        <v>2.0778076583665559</v>
      </c>
      <c r="Y14" s="296">
        <f t="shared" si="18"/>
        <v>75.097008227576012</v>
      </c>
      <c r="Z14" s="552">
        <f t="shared" si="6"/>
        <v>27.761144204738372</v>
      </c>
      <c r="AA14" s="11">
        <f t="shared" si="7"/>
        <v>1</v>
      </c>
      <c r="AB14" s="296">
        <f t="shared" si="8"/>
        <v>1</v>
      </c>
      <c r="AC14" s="297">
        <f t="shared" si="9"/>
        <v>0.98316999999999999</v>
      </c>
      <c r="AD14" s="297">
        <f t="shared" si="10"/>
        <v>0.28374286199999998</v>
      </c>
      <c r="AE14" s="297">
        <f t="shared" si="11"/>
        <v>0.14708622956329614</v>
      </c>
      <c r="AF14" s="297">
        <f t="shared" si="12"/>
        <v>0.11938681428877813</v>
      </c>
      <c r="AG14" s="553">
        <f t="shared" si="21"/>
        <v>0.81167907181550247</v>
      </c>
      <c r="AH14" s="297">
        <f t="shared" si="13"/>
        <v>0.10608741988125248</v>
      </c>
      <c r="AI14" s="296">
        <f t="shared" si="22"/>
        <v>0.72126004042818637</v>
      </c>
      <c r="AL14" s="324">
        <v>1.25</v>
      </c>
      <c r="AM14" s="324">
        <v>-2.2000000000000002</v>
      </c>
      <c r="AN14" s="324">
        <v>1.31</v>
      </c>
      <c r="AO14" s="573">
        <v>2.0499999999999998</v>
      </c>
      <c r="AP14" s="573">
        <v>2.6</v>
      </c>
      <c r="AQ14" s="324">
        <v>2.95</v>
      </c>
      <c r="AR14" s="324">
        <v>3.6</v>
      </c>
    </row>
    <row r="15" spans="1:45" ht="15" customHeight="1">
      <c r="A15" s="567">
        <v>2.4</v>
      </c>
      <c r="B15" s="569">
        <v>6</v>
      </c>
      <c r="C15" s="569">
        <v>90</v>
      </c>
      <c r="D15" s="567">
        <v>0.82</v>
      </c>
      <c r="E15" s="567">
        <v>0.37</v>
      </c>
      <c r="F15" s="568" t="s">
        <v>178</v>
      </c>
      <c r="G15" s="569">
        <v>28</v>
      </c>
      <c r="H15" s="568" t="s">
        <v>178</v>
      </c>
      <c r="J15"/>
      <c r="K15" s="557">
        <v>2.4</v>
      </c>
      <c r="L15" s="557">
        <f t="shared" si="24"/>
        <v>600</v>
      </c>
      <c r="M15" s="558">
        <f t="shared" si="14"/>
        <v>6.666666666666667</v>
      </c>
      <c r="N15" s="557">
        <f t="shared" si="15"/>
        <v>18.5</v>
      </c>
      <c r="O15" s="557">
        <f t="shared" si="23"/>
        <v>8.5</v>
      </c>
      <c r="P15" s="557">
        <f t="shared" si="1"/>
        <v>44.4</v>
      </c>
      <c r="Q15" s="557">
        <f t="shared" si="2"/>
        <v>20.399999999999999</v>
      </c>
      <c r="R15" s="555" t="s">
        <v>176</v>
      </c>
      <c r="S15" s="21">
        <f t="shared" si="3"/>
        <v>1.1999040076793857</v>
      </c>
      <c r="T15" s="475">
        <f t="shared" si="4"/>
        <v>0.7724161762768007</v>
      </c>
      <c r="U15" s="475">
        <f t="shared" si="19"/>
        <v>18.96771708964609</v>
      </c>
      <c r="V15" s="476">
        <f t="shared" si="17"/>
        <v>2.5480540812549486</v>
      </c>
      <c r="W15" s="475">
        <f t="shared" si="5"/>
        <v>20.483495777155607</v>
      </c>
      <c r="X15" s="296">
        <f t="shared" si="20"/>
        <v>3.0233924390400198</v>
      </c>
      <c r="Y15" s="296">
        <f t="shared" si="18"/>
        <v>61.929646257760439</v>
      </c>
      <c r="Z15" s="552">
        <f t="shared" si="6"/>
        <v>9.1401870002658256</v>
      </c>
      <c r="AA15" s="11">
        <f t="shared" si="7"/>
        <v>1</v>
      </c>
      <c r="AB15" s="296">
        <f t="shared" si="8"/>
        <v>1</v>
      </c>
      <c r="AC15" s="297">
        <f t="shared" si="9"/>
        <v>0.98163999999999996</v>
      </c>
      <c r="AD15" s="297">
        <f t="shared" si="10"/>
        <v>0.28330130400000003</v>
      </c>
      <c r="AE15" s="297">
        <f t="shared" si="11"/>
        <v>0.14685733534232537</v>
      </c>
      <c r="AF15" s="297">
        <f t="shared" si="12"/>
        <v>0.10208913688658205</v>
      </c>
      <c r="AG15" s="553">
        <f t="shared" si="21"/>
        <v>0.69515858127625452</v>
      </c>
      <c r="AH15" s="297">
        <f t="shared" si="13"/>
        <v>9.0017378130369155E-2</v>
      </c>
      <c r="AI15" s="296">
        <f t="shared" si="22"/>
        <v>0.61295799709655685</v>
      </c>
      <c r="AL15" s="324">
        <v>1.25</v>
      </c>
      <c r="AM15" s="324">
        <v>-2.4</v>
      </c>
      <c r="AN15" s="324">
        <v>1.31</v>
      </c>
      <c r="AO15" s="573">
        <v>2.0499999999999998</v>
      </c>
      <c r="AP15" s="573">
        <v>2.6</v>
      </c>
      <c r="AQ15" s="324">
        <v>2.95</v>
      </c>
      <c r="AR15" s="324">
        <v>3.6</v>
      </c>
    </row>
    <row r="16" spans="1:45" ht="15" customHeight="1">
      <c r="A16" s="567">
        <v>2.6</v>
      </c>
      <c r="B16" s="569">
        <v>5</v>
      </c>
      <c r="C16" s="569">
        <v>19</v>
      </c>
      <c r="D16" s="567">
        <v>0.8</v>
      </c>
      <c r="E16" s="567">
        <v>0.38</v>
      </c>
      <c r="F16" s="568" t="s">
        <v>178</v>
      </c>
      <c r="G16" s="568" t="s">
        <v>178</v>
      </c>
      <c r="H16" s="568" t="s">
        <v>178</v>
      </c>
      <c r="J16"/>
      <c r="K16" s="557">
        <v>2.6</v>
      </c>
      <c r="L16" s="557">
        <f t="shared" si="24"/>
        <v>500</v>
      </c>
      <c r="M16" s="558">
        <f t="shared" si="14"/>
        <v>26.315789473684209</v>
      </c>
      <c r="N16" s="557">
        <f t="shared" si="15"/>
        <v>18.5</v>
      </c>
      <c r="O16" s="557">
        <f t="shared" si="23"/>
        <v>8.5</v>
      </c>
      <c r="P16" s="557">
        <f t="shared" si="1"/>
        <v>48.1</v>
      </c>
      <c r="Q16" s="557">
        <f t="shared" si="2"/>
        <v>22.1</v>
      </c>
      <c r="R16" s="180">
        <f>(10^2.24)/($R$13^2.56)</f>
        <v>1.7698350799635774</v>
      </c>
      <c r="S16" s="21">
        <f t="shared" si="3"/>
        <v>5.8233656724240346</v>
      </c>
      <c r="T16" s="475">
        <f t="shared" si="4"/>
        <v>0.90221552625737433</v>
      </c>
      <c r="U16" s="475">
        <f t="shared" si="19"/>
        <v>17.641756000545389</v>
      </c>
      <c r="V16" s="476">
        <f t="shared" si="17"/>
        <v>2.9807184325632616</v>
      </c>
      <c r="W16" s="475">
        <f t="shared" si="5"/>
        <v>19.519535296022781</v>
      </c>
      <c r="X16" s="296">
        <f t="shared" si="20"/>
        <v>6.5318747654559637</v>
      </c>
      <c r="Y16" s="296">
        <f t="shared" si="18"/>
        <v>127.49916003351821</v>
      </c>
      <c r="Z16" s="552">
        <f t="shared" si="6"/>
        <v>2.7670752545685815</v>
      </c>
      <c r="AA16" s="11">
        <f t="shared" si="7"/>
        <v>1</v>
      </c>
      <c r="AB16" s="296">
        <f t="shared" si="8"/>
        <v>1</v>
      </c>
      <c r="AC16" s="297">
        <f t="shared" si="9"/>
        <v>0.98011000000000004</v>
      </c>
      <c r="AD16" s="297">
        <f t="shared" si="10"/>
        <v>0.28285974599999997</v>
      </c>
      <c r="AE16" s="297">
        <f t="shared" si="11"/>
        <v>0.14662844112135456</v>
      </c>
      <c r="AF16" s="297">
        <f t="shared" si="12"/>
        <v>0.27275467473736958</v>
      </c>
      <c r="AG16" s="553">
        <f t="shared" si="21"/>
        <v>1.8601757793471239</v>
      </c>
      <c r="AH16" s="297">
        <f t="shared" si="13"/>
        <v>0.19670117741745888</v>
      </c>
      <c r="AI16" s="296">
        <f t="shared" si="22"/>
        <v>1.3414940233502344</v>
      </c>
      <c r="AL16" s="324">
        <v>1.25</v>
      </c>
      <c r="AM16" s="324">
        <v>-2.6</v>
      </c>
      <c r="AN16" s="324">
        <v>1.31</v>
      </c>
      <c r="AO16" s="573">
        <v>2.0499999999999998</v>
      </c>
      <c r="AP16" s="573">
        <v>2.6</v>
      </c>
      <c r="AQ16" s="324">
        <v>2.95</v>
      </c>
      <c r="AR16" s="324">
        <v>3.6</v>
      </c>
    </row>
    <row r="17" spans="1:44" ht="15" customHeight="1">
      <c r="A17" s="567">
        <v>2.8</v>
      </c>
      <c r="B17" s="569">
        <v>8</v>
      </c>
      <c r="C17" s="569">
        <v>13</v>
      </c>
      <c r="D17" s="567">
        <v>0.86</v>
      </c>
      <c r="E17" s="567">
        <v>0.4</v>
      </c>
      <c r="F17" s="568" t="s">
        <v>178</v>
      </c>
      <c r="G17" s="568" t="s">
        <v>178</v>
      </c>
      <c r="H17" s="568" t="s">
        <v>178</v>
      </c>
      <c r="J17"/>
      <c r="K17" s="557">
        <v>2.8</v>
      </c>
      <c r="L17" s="557">
        <f t="shared" si="24"/>
        <v>800</v>
      </c>
      <c r="M17" s="558">
        <f t="shared" si="14"/>
        <v>61.53846153846154</v>
      </c>
      <c r="N17" s="557">
        <f t="shared" si="15"/>
        <v>18.5</v>
      </c>
      <c r="O17" s="557">
        <f t="shared" si="23"/>
        <v>8.5</v>
      </c>
      <c r="P17" s="557">
        <f t="shared" si="1"/>
        <v>51.8</v>
      </c>
      <c r="Q17" s="557">
        <f t="shared" si="2"/>
        <v>23.799999999999997</v>
      </c>
      <c r="R17" s="554" t="s">
        <v>611</v>
      </c>
      <c r="S17" s="21">
        <f t="shared" si="3"/>
        <v>8.2248678880595474</v>
      </c>
      <c r="T17" s="475">
        <f t="shared" si="4"/>
        <v>0.8936697447887767</v>
      </c>
      <c r="U17" s="475">
        <f t="shared" si="19"/>
        <v>26.986838840290016</v>
      </c>
      <c r="V17" s="476">
        <f t="shared" si="17"/>
        <v>2.9522324866028939</v>
      </c>
      <c r="W17" s="475">
        <f t="shared" si="5"/>
        <v>28.855213943106136</v>
      </c>
      <c r="X17" s="296">
        <f t="shared" si="20"/>
        <v>6.2277212000445381</v>
      </c>
      <c r="Y17" s="296">
        <f t="shared" si="18"/>
        <v>179.70222760530282</v>
      </c>
      <c r="Z17" s="552">
        <f t="shared" si="6"/>
        <v>15.176899558603381</v>
      </c>
      <c r="AA17" s="11">
        <f t="shared" si="7"/>
        <v>1</v>
      </c>
      <c r="AB17" s="296">
        <f t="shared" si="8"/>
        <v>1</v>
      </c>
      <c r="AC17" s="297">
        <f t="shared" si="9"/>
        <v>0.97858000000000001</v>
      </c>
      <c r="AD17" s="297">
        <f t="shared" si="10"/>
        <v>0.28241818800000001</v>
      </c>
      <c r="AE17" s="297">
        <f t="shared" si="11"/>
        <v>0.14639954690038381</v>
      </c>
      <c r="AF17" s="297">
        <f t="shared" si="12"/>
        <v>0.61968870713241631</v>
      </c>
      <c r="AG17" s="553">
        <f t="shared" si="21"/>
        <v>4.2328594606517305</v>
      </c>
      <c r="AH17" s="297">
        <f t="shared" si="13"/>
        <v>0.53087524786326501</v>
      </c>
      <c r="AI17" s="296">
        <f t="shared" si="22"/>
        <v>3.6262082711532848</v>
      </c>
      <c r="AL17" s="324">
        <v>1.25</v>
      </c>
      <c r="AM17" s="324">
        <v>-2.8</v>
      </c>
      <c r="AN17" s="324">
        <v>1.31</v>
      </c>
      <c r="AO17" s="573">
        <v>2.0499999999999998</v>
      </c>
      <c r="AP17" s="573">
        <v>2.6</v>
      </c>
      <c r="AQ17" s="324">
        <v>2.95</v>
      </c>
      <c r="AR17" s="324">
        <v>3.6</v>
      </c>
    </row>
    <row r="18" spans="1:44" ht="15" customHeight="1">
      <c r="A18" s="527" t="s">
        <v>186</v>
      </c>
      <c r="B18" s="569">
        <v>36</v>
      </c>
      <c r="C18" s="569">
        <v>34</v>
      </c>
      <c r="D18" s="567">
        <v>0.89</v>
      </c>
      <c r="E18" s="567">
        <v>0.42</v>
      </c>
      <c r="F18" s="569">
        <v>58</v>
      </c>
      <c r="G18" s="569">
        <v>36</v>
      </c>
      <c r="H18" s="141">
        <v>0.126</v>
      </c>
      <c r="J18"/>
      <c r="K18" s="557">
        <v>3</v>
      </c>
      <c r="L18" s="557">
        <f t="shared" si="24"/>
        <v>3600</v>
      </c>
      <c r="M18" s="558">
        <f t="shared" si="14"/>
        <v>105.88235294117646</v>
      </c>
      <c r="N18" s="557">
        <f t="shared" si="15"/>
        <v>18.5</v>
      </c>
      <c r="O18" s="557">
        <f t="shared" si="23"/>
        <v>8.5</v>
      </c>
      <c r="P18" s="557">
        <f t="shared" si="1"/>
        <v>55.5</v>
      </c>
      <c r="Q18" s="557">
        <f t="shared" si="2"/>
        <v>25.5</v>
      </c>
      <c r="R18" s="555" t="s">
        <v>176</v>
      </c>
      <c r="S18" s="21">
        <f t="shared" si="3"/>
        <v>2.9872295934878395</v>
      </c>
      <c r="T18" s="475">
        <f t="shared" si="4"/>
        <v>0.68934390242029497</v>
      </c>
      <c r="U18" s="475">
        <f t="shared" si="19"/>
        <v>90.918631186223877</v>
      </c>
      <c r="V18" s="476">
        <f t="shared" si="17"/>
        <v>2.2711463465543522</v>
      </c>
      <c r="W18" s="475">
        <f t="shared" si="5"/>
        <v>92.342240730824088</v>
      </c>
      <c r="X18" s="296">
        <f t="shared" si="20"/>
        <v>1.8594934993694316</v>
      </c>
      <c r="Y18" s="296">
        <f t="shared" si="18"/>
        <v>171.70979635617454</v>
      </c>
      <c r="Z18" s="552">
        <f t="shared" si="6"/>
        <v>57.300139096320436</v>
      </c>
      <c r="AA18" s="11">
        <f t="shared" si="7"/>
        <v>0.75</v>
      </c>
      <c r="AB18" s="296">
        <f t="shared" si="8"/>
        <v>1</v>
      </c>
      <c r="AC18" s="297">
        <f t="shared" si="9"/>
        <v>0.97704999999999997</v>
      </c>
      <c r="AD18" s="297">
        <f t="shared" si="10"/>
        <v>0.28197662999999995</v>
      </c>
      <c r="AE18" s="297">
        <f t="shared" si="11"/>
        <v>0.14617065267941298</v>
      </c>
      <c r="AF18" s="297">
        <f t="shared" si="12"/>
        <v>0.550834380884756</v>
      </c>
      <c r="AG18" s="553">
        <f t="shared" si="21"/>
        <v>3.7684334768133438</v>
      </c>
      <c r="AH18" s="297">
        <f t="shared" si="13"/>
        <v>0.42529074422099455</v>
      </c>
      <c r="AI18" s="296">
        <f t="shared" si="22"/>
        <v>2.9095494644452216</v>
      </c>
      <c r="AL18" s="324">
        <v>1.25</v>
      </c>
      <c r="AM18" s="324">
        <v>-3</v>
      </c>
      <c r="AN18" s="324">
        <v>1.31</v>
      </c>
      <c r="AO18" s="573">
        <v>2.0499999999999998</v>
      </c>
      <c r="AP18" s="573">
        <v>2.6</v>
      </c>
      <c r="AQ18" s="324">
        <v>2.95</v>
      </c>
      <c r="AR18" s="324">
        <v>3.6</v>
      </c>
    </row>
    <row r="19" spans="1:44" ht="15" customHeight="1">
      <c r="A19" s="567">
        <v>3.2</v>
      </c>
      <c r="B19" s="569">
        <v>38</v>
      </c>
      <c r="C19" s="569">
        <v>71</v>
      </c>
      <c r="D19" s="567">
        <v>0.9</v>
      </c>
      <c r="E19" s="567">
        <v>0.43</v>
      </c>
      <c r="F19" s="569">
        <v>59</v>
      </c>
      <c r="G19" s="569">
        <v>36</v>
      </c>
      <c r="H19" s="141">
        <v>0.128</v>
      </c>
      <c r="J19"/>
      <c r="K19" s="557">
        <v>3.2</v>
      </c>
      <c r="L19" s="557">
        <f t="shared" si="24"/>
        <v>3800</v>
      </c>
      <c r="M19" s="558">
        <f t="shared" si="14"/>
        <v>53.521126760563384</v>
      </c>
      <c r="N19" s="557">
        <f t="shared" si="15"/>
        <v>18.5</v>
      </c>
      <c r="O19" s="557">
        <f t="shared" si="23"/>
        <v>8.5</v>
      </c>
      <c r="P19" s="557">
        <f t="shared" si="1"/>
        <v>59.2</v>
      </c>
      <c r="Q19" s="557">
        <f t="shared" si="2"/>
        <v>27.200000000000003</v>
      </c>
      <c r="R19" s="125">
        <f>($R$13/7.5)^(-3.3)</f>
        <v>2.0883488281077889</v>
      </c>
      <c r="S19" s="21">
        <f t="shared" si="3"/>
        <v>1.4307401293991493</v>
      </c>
      <c r="T19" s="475">
        <f t="shared" si="4"/>
        <v>0.62791301565608926</v>
      </c>
      <c r="U19" s="475">
        <f t="shared" si="19"/>
        <v>84.723918561533665</v>
      </c>
      <c r="V19" s="476">
        <f t="shared" si="17"/>
        <v>2.0663767301681197</v>
      </c>
      <c r="W19" s="475">
        <f t="shared" si="5"/>
        <v>86.064716246211489</v>
      </c>
      <c r="X19" s="296">
        <f t="shared" si="20"/>
        <v>1.3969919056420856</v>
      </c>
      <c r="Y19" s="296">
        <f t="shared" si="18"/>
        <v>120.23171195734035</v>
      </c>
      <c r="Z19" s="552">
        <f t="shared" si="6"/>
        <v>57.924943543580895</v>
      </c>
      <c r="AA19" s="11">
        <f t="shared" si="7"/>
        <v>0.75</v>
      </c>
      <c r="AB19" s="296">
        <f t="shared" si="8"/>
        <v>1</v>
      </c>
      <c r="AC19" s="297">
        <f t="shared" si="9"/>
        <v>0.97551999999999994</v>
      </c>
      <c r="AD19" s="297">
        <f t="shared" si="10"/>
        <v>0.28153507199999994</v>
      </c>
      <c r="AE19" s="297">
        <f t="shared" si="11"/>
        <v>0.14594175845844221</v>
      </c>
      <c r="AF19" s="297">
        <f t="shared" si="12"/>
        <v>0.2416367246724328</v>
      </c>
      <c r="AG19" s="553">
        <f t="shared" si="21"/>
        <v>1.6557065450272774</v>
      </c>
      <c r="AH19" s="297">
        <f t="shared" si="13"/>
        <v>0.18006314779192392</v>
      </c>
      <c r="AI19" s="296">
        <f t="shared" si="22"/>
        <v>1.2338014129328034</v>
      </c>
      <c r="AL19" s="324">
        <v>1.25</v>
      </c>
      <c r="AM19" s="324">
        <v>-3.2</v>
      </c>
      <c r="AN19" s="324">
        <v>1.31</v>
      </c>
      <c r="AO19" s="573">
        <v>2.0499999999999998</v>
      </c>
      <c r="AP19" s="573">
        <v>2.6</v>
      </c>
      <c r="AQ19" s="324">
        <v>2.95</v>
      </c>
      <c r="AR19" s="324">
        <v>3.6</v>
      </c>
    </row>
    <row r="20" spans="1:44" ht="15" customHeight="1">
      <c r="A20" s="567">
        <v>3.4</v>
      </c>
      <c r="B20" s="569">
        <v>52</v>
      </c>
      <c r="C20" s="569">
        <v>32</v>
      </c>
      <c r="D20" s="567">
        <v>0.92</v>
      </c>
      <c r="E20" s="567">
        <v>0.45</v>
      </c>
      <c r="F20" s="569">
        <v>69</v>
      </c>
      <c r="G20" s="569">
        <v>38</v>
      </c>
      <c r="H20" s="141">
        <v>0.156</v>
      </c>
      <c r="J20"/>
      <c r="K20" s="557">
        <v>3.4</v>
      </c>
      <c r="L20" s="557">
        <f t="shared" si="24"/>
        <v>5200</v>
      </c>
      <c r="M20" s="558">
        <f t="shared" si="14"/>
        <v>162.5</v>
      </c>
      <c r="N20" s="557">
        <f t="shared" si="15"/>
        <v>18.5</v>
      </c>
      <c r="O20" s="557">
        <f t="shared" si="23"/>
        <v>8.5</v>
      </c>
      <c r="P20" s="557">
        <f t="shared" si="1"/>
        <v>62.9</v>
      </c>
      <c r="Q20" s="557">
        <f t="shared" si="2"/>
        <v>28.9</v>
      </c>
      <c r="R20" s="554" t="s">
        <v>612</v>
      </c>
      <c r="S20" s="21">
        <f t="shared" si="3"/>
        <v>3.1632633197718558</v>
      </c>
      <c r="T20" s="475">
        <f t="shared" si="4"/>
        <v>0.67271575697749431</v>
      </c>
      <c r="U20" s="475">
        <f t="shared" si="19"/>
        <v>118.40786096946853</v>
      </c>
      <c r="V20" s="476">
        <f t="shared" si="17"/>
        <v>2.2157191913017913</v>
      </c>
      <c r="W20" s="475">
        <f t="shared" si="5"/>
        <v>119.85767788075691</v>
      </c>
      <c r="X20" s="296">
        <f t="shared" si="20"/>
        <v>1.7061491198372032</v>
      </c>
      <c r="Y20" s="296">
        <f t="shared" si="18"/>
        <v>204.49507162198441</v>
      </c>
      <c r="Z20" s="552">
        <f t="shared" si="6"/>
        <v>66.046591868930676</v>
      </c>
      <c r="AA20" s="11">
        <f t="shared" si="7"/>
        <v>0.75</v>
      </c>
      <c r="AB20" s="296">
        <f t="shared" si="8"/>
        <v>1</v>
      </c>
      <c r="AC20" s="297">
        <f t="shared" si="9"/>
        <v>0.97399000000000002</v>
      </c>
      <c r="AD20" s="297">
        <f t="shared" si="10"/>
        <v>0.28109351400000004</v>
      </c>
      <c r="AE20" s="297">
        <f t="shared" si="11"/>
        <v>0.14571286423747148</v>
      </c>
      <c r="AF20" s="297">
        <f t="shared" si="12"/>
        <v>0.87530092243660762</v>
      </c>
      <c r="AG20" s="553">
        <f t="shared" si="21"/>
        <v>6.0070257146967494</v>
      </c>
      <c r="AH20" s="297">
        <f t="shared" si="13"/>
        <v>1.4135580534290351</v>
      </c>
      <c r="AI20" s="296">
        <f t="shared" si="22"/>
        <v>9.7009832373161515</v>
      </c>
      <c r="AL20" s="324">
        <v>1.25</v>
      </c>
      <c r="AM20" s="324">
        <v>-3.4</v>
      </c>
      <c r="AN20" s="324">
        <v>1.31</v>
      </c>
      <c r="AO20" s="573">
        <v>2.0499999999999998</v>
      </c>
      <c r="AP20" s="573">
        <v>2.6</v>
      </c>
      <c r="AQ20" s="324">
        <v>2.95</v>
      </c>
      <c r="AR20" s="324">
        <v>3.6</v>
      </c>
    </row>
    <row r="21" spans="1:44" ht="15" customHeight="1">
      <c r="A21" s="567">
        <v>3.6</v>
      </c>
      <c r="B21" s="569">
        <v>36</v>
      </c>
      <c r="C21" s="569">
        <v>39</v>
      </c>
      <c r="D21" s="567">
        <v>0.89</v>
      </c>
      <c r="E21" s="567">
        <v>0.47</v>
      </c>
      <c r="F21" s="569">
        <v>55</v>
      </c>
      <c r="G21" s="569">
        <v>36</v>
      </c>
      <c r="H21" s="141">
        <v>0.11799999999999999</v>
      </c>
      <c r="J21"/>
      <c r="K21" s="557">
        <v>3.6</v>
      </c>
      <c r="L21" s="557">
        <f t="shared" si="24"/>
        <v>3600</v>
      </c>
      <c r="M21" s="558">
        <f t="shared" si="14"/>
        <v>92.307692307692307</v>
      </c>
      <c r="N21" s="557">
        <f t="shared" si="15"/>
        <v>18.5</v>
      </c>
      <c r="O21" s="557">
        <f t="shared" si="23"/>
        <v>8.5</v>
      </c>
      <c r="P21" s="557">
        <f t="shared" si="1"/>
        <v>66.600000000000009</v>
      </c>
      <c r="Q21" s="557">
        <f t="shared" si="2"/>
        <v>30.6</v>
      </c>
      <c r="R21" s="555" t="s">
        <v>176</v>
      </c>
      <c r="S21" s="21">
        <f t="shared" si="3"/>
        <v>2.6124325665843751</v>
      </c>
      <c r="T21" s="475">
        <f t="shared" si="4"/>
        <v>0.68804252534598886</v>
      </c>
      <c r="U21" s="475">
        <f t="shared" si="19"/>
        <v>79.806512566393764</v>
      </c>
      <c r="V21" s="476">
        <f t="shared" si="17"/>
        <v>2.266808419833235</v>
      </c>
      <c r="W21" s="475">
        <f t="shared" si="5"/>
        <v>81.310761657049156</v>
      </c>
      <c r="X21" s="296">
        <f t="shared" si="20"/>
        <v>1.8466484167854524</v>
      </c>
      <c r="Y21" s="296">
        <f t="shared" si="18"/>
        <v>150.15238928160909</v>
      </c>
      <c r="Z21" s="552">
        <f t="shared" si="6"/>
        <v>54.687157976748836</v>
      </c>
      <c r="AA21" s="11">
        <f t="shared" si="7"/>
        <v>0.75</v>
      </c>
      <c r="AB21" s="296">
        <f t="shared" si="8"/>
        <v>1</v>
      </c>
      <c r="AC21" s="297">
        <f t="shared" si="9"/>
        <v>0.97245999999999999</v>
      </c>
      <c r="AD21" s="297">
        <f t="shared" si="10"/>
        <v>0.28065195599999998</v>
      </c>
      <c r="AE21" s="297">
        <f t="shared" si="11"/>
        <v>0.14548397001650065</v>
      </c>
      <c r="AF21" s="297">
        <f t="shared" si="12"/>
        <v>0.39483259590575331</v>
      </c>
      <c r="AG21" s="553">
        <f t="shared" si="21"/>
        <v>2.7139250864612219</v>
      </c>
      <c r="AH21" s="297">
        <f t="shared" si="13"/>
        <v>0.27204151678604671</v>
      </c>
      <c r="AI21" s="296">
        <f t="shared" si="22"/>
        <v>1.8699071571609713</v>
      </c>
      <c r="AL21" s="324">
        <v>1.25</v>
      </c>
      <c r="AM21" s="324">
        <v>-3.6</v>
      </c>
      <c r="AN21" s="324">
        <v>1.31</v>
      </c>
      <c r="AO21" s="573">
        <v>2.0499999999999998</v>
      </c>
      <c r="AP21" s="573">
        <v>2.6</v>
      </c>
      <c r="AQ21" s="324">
        <v>2.95</v>
      </c>
      <c r="AR21" s="324">
        <v>3.6</v>
      </c>
    </row>
    <row r="22" spans="1:44" ht="15" customHeight="1">
      <c r="A22" s="567">
        <v>3.8</v>
      </c>
      <c r="B22" s="569">
        <v>32</v>
      </c>
      <c r="C22" s="569">
        <v>37</v>
      </c>
      <c r="D22" s="567">
        <v>0.88</v>
      </c>
      <c r="E22" s="567">
        <v>0.49</v>
      </c>
      <c r="F22" s="569">
        <v>50</v>
      </c>
      <c r="G22" s="569">
        <v>35</v>
      </c>
      <c r="H22" s="141">
        <v>0.105</v>
      </c>
      <c r="J22"/>
      <c r="K22" s="557">
        <v>3.8</v>
      </c>
      <c r="L22" s="557">
        <f t="shared" si="24"/>
        <v>3200</v>
      </c>
      <c r="M22" s="558">
        <f t="shared" si="14"/>
        <v>86.486486486486484</v>
      </c>
      <c r="N22" s="557">
        <f t="shared" si="15"/>
        <v>18.5</v>
      </c>
      <c r="O22" s="557">
        <f t="shared" si="23"/>
        <v>8.5</v>
      </c>
      <c r="P22" s="557">
        <f t="shared" si="1"/>
        <v>70.3</v>
      </c>
      <c r="Q22" s="557">
        <f t="shared" si="2"/>
        <v>32.299999999999997</v>
      </c>
      <c r="R22" s="297">
        <f>(R16+R19)/2</f>
        <v>1.929091954035683</v>
      </c>
      <c r="S22" s="21">
        <f t="shared" si="3"/>
        <v>2.7634113968267404</v>
      </c>
      <c r="T22" s="475">
        <f t="shared" si="4"/>
        <v>0.70584736847016583</v>
      </c>
      <c r="U22" s="475">
        <f t="shared" si="19"/>
        <v>69.491361072550575</v>
      </c>
      <c r="V22" s="476">
        <f t="shared" si="17"/>
        <v>2.3261578962875196</v>
      </c>
      <c r="W22" s="475">
        <f t="shared" si="5"/>
        <v>71.052291092488687</v>
      </c>
      <c r="X22" s="296">
        <f t="shared" si="20"/>
        <v>2.0355126248531086</v>
      </c>
      <c r="Y22" s="296">
        <f t="shared" si="18"/>
        <v>144.6278355434988</v>
      </c>
      <c r="Z22" s="552">
        <f t="shared" si="6"/>
        <v>50.536215332187425</v>
      </c>
      <c r="AA22" s="11">
        <f t="shared" si="7"/>
        <v>0.75</v>
      </c>
      <c r="AB22" s="296">
        <f t="shared" si="8"/>
        <v>1</v>
      </c>
      <c r="AC22" s="297">
        <f t="shared" si="9"/>
        <v>0.97092999999999996</v>
      </c>
      <c r="AD22" s="297">
        <f t="shared" si="10"/>
        <v>0.28021039799999997</v>
      </c>
      <c r="AE22" s="297">
        <f t="shared" si="11"/>
        <v>0.14525507579552988</v>
      </c>
      <c r="AF22" s="297">
        <f t="shared" si="12"/>
        <v>0.36134461608410168</v>
      </c>
      <c r="AG22" s="553">
        <f t="shared" si="21"/>
        <v>2.4876556919274404</v>
      </c>
      <c r="AH22" s="297">
        <f t="shared" si="13"/>
        <v>0.24892607708796058</v>
      </c>
      <c r="AI22" s="296">
        <f t="shared" si="22"/>
        <v>1.7137168923333495</v>
      </c>
      <c r="AL22" s="324">
        <v>1.25</v>
      </c>
      <c r="AM22" s="324">
        <v>-3.8</v>
      </c>
      <c r="AN22" s="324">
        <v>1.31</v>
      </c>
      <c r="AO22" s="573">
        <v>2.0499999999999998</v>
      </c>
      <c r="AP22" s="573">
        <v>2.6</v>
      </c>
      <c r="AQ22" s="324">
        <v>2.95</v>
      </c>
      <c r="AR22" s="324">
        <v>3.6</v>
      </c>
    </row>
    <row r="23" spans="1:44" ht="15" customHeight="1">
      <c r="A23" s="527" t="s">
        <v>188</v>
      </c>
      <c r="B23" s="569">
        <v>37</v>
      </c>
      <c r="C23" s="569">
        <v>40</v>
      </c>
      <c r="D23" s="567">
        <v>0.89</v>
      </c>
      <c r="E23" s="567">
        <v>0.51</v>
      </c>
      <c r="F23" s="569">
        <v>54</v>
      </c>
      <c r="G23" s="569">
        <v>36</v>
      </c>
      <c r="H23" s="141">
        <v>0.115</v>
      </c>
      <c r="J23"/>
      <c r="K23" s="557">
        <v>4</v>
      </c>
      <c r="L23" s="557">
        <f t="shared" si="24"/>
        <v>3700</v>
      </c>
      <c r="M23" s="558">
        <f t="shared" si="14"/>
        <v>92.5</v>
      </c>
      <c r="N23" s="557">
        <f t="shared" si="15"/>
        <v>18.5</v>
      </c>
      <c r="O23" s="557">
        <f t="shared" si="23"/>
        <v>8.5</v>
      </c>
      <c r="P23" s="557">
        <f t="shared" si="1"/>
        <v>74</v>
      </c>
      <c r="Q23" s="557">
        <f t="shared" si="2"/>
        <v>34</v>
      </c>
      <c r="R23" s="554" t="s">
        <v>612</v>
      </c>
      <c r="S23" s="21">
        <f t="shared" si="3"/>
        <v>2.5510204081632653</v>
      </c>
      <c r="T23" s="475">
        <f t="shared" si="4"/>
        <v>0.68985889013601454</v>
      </c>
      <c r="U23" s="475">
        <f t="shared" si="19"/>
        <v>76.320504770603776</v>
      </c>
      <c r="V23" s="476">
        <f t="shared" si="17"/>
        <v>2.2728629680592807</v>
      </c>
      <c r="W23" s="475">
        <f t="shared" si="5"/>
        <v>77.878066092452841</v>
      </c>
      <c r="X23" s="296">
        <f t="shared" si="20"/>
        <v>1.8646173322608952</v>
      </c>
      <c r="Y23" s="296">
        <f t="shared" si="18"/>
        <v>145.21279183894708</v>
      </c>
      <c r="Z23" s="552">
        <f t="shared" si="6"/>
        <v>53.962509526027247</v>
      </c>
      <c r="AA23" s="11">
        <f t="shared" si="7"/>
        <v>0.75</v>
      </c>
      <c r="AB23" s="296">
        <f t="shared" si="8"/>
        <v>1</v>
      </c>
      <c r="AC23" s="297">
        <f t="shared" si="9"/>
        <v>0.96940000000000004</v>
      </c>
      <c r="AD23" s="297">
        <f t="shared" si="10"/>
        <v>0.27976884000000002</v>
      </c>
      <c r="AE23" s="297">
        <f t="shared" si="11"/>
        <v>0.14502618157455913</v>
      </c>
      <c r="AF23" s="297">
        <f t="shared" si="12"/>
        <v>0.36477218932078559</v>
      </c>
      <c r="AG23" s="553">
        <f t="shared" si="21"/>
        <v>2.5152161172584777</v>
      </c>
      <c r="AH23" s="297">
        <f t="shared" si="13"/>
        <v>0.25118494822635068</v>
      </c>
      <c r="AI23" s="296">
        <f t="shared" si="22"/>
        <v>1.7319972538697399</v>
      </c>
      <c r="AL23" s="324">
        <v>1.25</v>
      </c>
      <c r="AM23" s="324">
        <v>-4</v>
      </c>
      <c r="AN23" s="324">
        <v>1.31</v>
      </c>
      <c r="AO23" s="573">
        <v>2.0499999999999998</v>
      </c>
      <c r="AP23" s="573">
        <v>2.6</v>
      </c>
      <c r="AQ23" s="324">
        <v>2.95</v>
      </c>
      <c r="AR23" s="324">
        <v>3.6</v>
      </c>
    </row>
    <row r="24" spans="1:44" ht="15" customHeight="1">
      <c r="A24" s="567">
        <v>4.2</v>
      </c>
      <c r="B24" s="569">
        <v>22</v>
      </c>
      <c r="C24" s="569">
        <v>33</v>
      </c>
      <c r="D24" s="567">
        <v>0.86</v>
      </c>
      <c r="E24" s="567">
        <v>0.52</v>
      </c>
      <c r="F24" s="569">
        <v>36</v>
      </c>
      <c r="G24" s="569">
        <v>33</v>
      </c>
      <c r="H24" s="141">
        <v>7.0000000000000007E-2</v>
      </c>
      <c r="J24"/>
      <c r="K24" s="557">
        <v>4.2</v>
      </c>
      <c r="L24" s="557">
        <f t="shared" si="24"/>
        <v>2200</v>
      </c>
      <c r="M24" s="558">
        <f t="shared" si="14"/>
        <v>66.666666666666671</v>
      </c>
      <c r="N24" s="557">
        <f t="shared" si="15"/>
        <v>18.5</v>
      </c>
      <c r="O24" s="557">
        <f t="shared" si="23"/>
        <v>8.5</v>
      </c>
      <c r="P24" s="557">
        <f t="shared" si="1"/>
        <v>77.7</v>
      </c>
      <c r="Q24" s="557">
        <f t="shared" si="2"/>
        <v>35.700000000000003</v>
      </c>
      <c r="R24" s="555" t="s">
        <v>176</v>
      </c>
      <c r="S24" s="21">
        <f t="shared" si="3"/>
        <v>3.1412461323406999</v>
      </c>
      <c r="T24" s="475">
        <f t="shared" si="4"/>
        <v>0.75543999662129913</v>
      </c>
      <c r="U24" s="475">
        <f t="shared" si="19"/>
        <v>46.210332706629274</v>
      </c>
      <c r="V24" s="476">
        <f t="shared" si="17"/>
        <v>2.4914666560900218</v>
      </c>
      <c r="W24" s="475">
        <f t="shared" si="5"/>
        <v>47.902149533329116</v>
      </c>
      <c r="X24" s="296">
        <f t="shared" si="20"/>
        <v>2.7256622778135089</v>
      </c>
      <c r="Y24" s="296">
        <f t="shared" si="18"/>
        <v>130.56508200917716</v>
      </c>
      <c r="Z24" s="552">
        <f t="shared" si="6"/>
        <v>38.361845802563238</v>
      </c>
      <c r="AA24" s="11">
        <f t="shared" si="7"/>
        <v>1</v>
      </c>
      <c r="AB24" s="296">
        <f t="shared" si="8"/>
        <v>1</v>
      </c>
      <c r="AC24" s="297">
        <f t="shared" si="9"/>
        <v>0.96787000000000001</v>
      </c>
      <c r="AD24" s="297">
        <f t="shared" si="10"/>
        <v>0.27932728199999995</v>
      </c>
      <c r="AE24" s="297">
        <f t="shared" si="11"/>
        <v>0.14479728735358829</v>
      </c>
      <c r="AF24" s="297">
        <f t="shared" si="12"/>
        <v>0.2869970166146022</v>
      </c>
      <c r="AG24" s="553">
        <f t="shared" si="21"/>
        <v>1.9820607268267998</v>
      </c>
      <c r="AH24" s="297">
        <f t="shared" si="13"/>
        <v>0.20449031529749104</v>
      </c>
      <c r="AI24" s="296">
        <f t="shared" si="22"/>
        <v>1.4122523911524332</v>
      </c>
      <c r="AL24" s="324">
        <v>1.25</v>
      </c>
      <c r="AM24" s="324">
        <v>-4.2</v>
      </c>
      <c r="AN24" s="324">
        <v>1.31</v>
      </c>
      <c r="AO24" s="573">
        <v>2.0499999999999998</v>
      </c>
      <c r="AP24" s="573">
        <v>2.6</v>
      </c>
      <c r="AQ24" s="324">
        <v>2.95</v>
      </c>
      <c r="AR24" s="324">
        <v>3.6</v>
      </c>
    </row>
    <row r="25" spans="1:44" ht="15" customHeight="1">
      <c r="A25" s="567">
        <v>4.4000000000000004</v>
      </c>
      <c r="B25" s="569">
        <v>26</v>
      </c>
      <c r="C25" s="569">
        <v>43</v>
      </c>
      <c r="D25" s="567">
        <v>0.87</v>
      </c>
      <c r="E25" s="567">
        <v>0.54</v>
      </c>
      <c r="F25" s="569">
        <v>41</v>
      </c>
      <c r="G25" s="569">
        <v>34</v>
      </c>
      <c r="H25" s="141">
        <v>8.1000000000000003E-2</v>
      </c>
      <c r="J25"/>
      <c r="K25" s="557">
        <v>4.4000000000000004</v>
      </c>
      <c r="L25" s="557">
        <f t="shared" si="24"/>
        <v>2600</v>
      </c>
      <c r="M25" s="558">
        <f t="shared" si="14"/>
        <v>60.465116279069768</v>
      </c>
      <c r="N25" s="557">
        <f t="shared" si="15"/>
        <v>18.5</v>
      </c>
      <c r="O25" s="557">
        <f t="shared" si="23"/>
        <v>8.5</v>
      </c>
      <c r="P25" s="557">
        <f t="shared" si="1"/>
        <v>81.400000000000006</v>
      </c>
      <c r="Q25" s="557">
        <f t="shared" si="2"/>
        <v>37.400000000000006</v>
      </c>
      <c r="R25" s="297">
        <f>6.9*EXP(-R13/4)-0.058</f>
        <v>1.4815981050241658</v>
      </c>
      <c r="S25" s="21">
        <f t="shared" si="3"/>
        <v>2.4007431223326359</v>
      </c>
      <c r="T25" s="475">
        <f t="shared" si="4"/>
        <v>0.7217642191697452</v>
      </c>
      <c r="U25" s="475">
        <f t="shared" si="19"/>
        <v>51.22066274907538</v>
      </c>
      <c r="V25" s="476">
        <f t="shared" si="17"/>
        <v>2.3792140645190463</v>
      </c>
      <c r="W25" s="475">
        <f t="shared" si="5"/>
        <v>52.876091140949725</v>
      </c>
      <c r="X25" s="296">
        <f t="shared" si="20"/>
        <v>2.2295186768542372</v>
      </c>
      <c r="Y25" s="296">
        <f t="shared" si="18"/>
        <v>117.88823275779428</v>
      </c>
      <c r="Z25" s="552">
        <f t="shared" si="6"/>
        <v>42.483478093458132</v>
      </c>
      <c r="AA25" s="11">
        <f t="shared" si="7"/>
        <v>0.75</v>
      </c>
      <c r="AB25" s="296">
        <f t="shared" si="8"/>
        <v>1</v>
      </c>
      <c r="AC25" s="297">
        <f t="shared" si="9"/>
        <v>0.96633999999999998</v>
      </c>
      <c r="AD25" s="297">
        <f t="shared" si="10"/>
        <v>0.278885724</v>
      </c>
      <c r="AE25" s="297">
        <f t="shared" si="11"/>
        <v>0.14456839313261755</v>
      </c>
      <c r="AF25" s="297">
        <f t="shared" si="12"/>
        <v>0.23236819419357552</v>
      </c>
      <c r="AG25" s="553">
        <f t="shared" si="21"/>
        <v>1.6073236283425811</v>
      </c>
      <c r="AH25" s="297">
        <f t="shared" si="13"/>
        <v>0.17514782610077556</v>
      </c>
      <c r="AI25" s="296">
        <f t="shared" si="22"/>
        <v>1.2115222581197707</v>
      </c>
      <c r="AL25" s="324">
        <v>1.25</v>
      </c>
      <c r="AM25" s="324">
        <v>-4.4000000000000004</v>
      </c>
      <c r="AN25" s="324">
        <v>1.31</v>
      </c>
      <c r="AO25" s="573">
        <v>2.0499999999999998</v>
      </c>
      <c r="AP25" s="573">
        <v>2.6</v>
      </c>
      <c r="AQ25" s="324">
        <v>2.95</v>
      </c>
      <c r="AR25" s="324">
        <v>3.6</v>
      </c>
    </row>
    <row r="26" spans="1:44" ht="15" customHeight="1">
      <c r="A26" s="567">
        <v>4.5999999999999996</v>
      </c>
      <c r="B26" s="569">
        <v>27</v>
      </c>
      <c r="C26" s="569">
        <v>45</v>
      </c>
      <c r="D26" s="567">
        <v>0.87</v>
      </c>
      <c r="E26" s="567">
        <v>0.56000000000000005</v>
      </c>
      <c r="F26" s="569">
        <v>41</v>
      </c>
      <c r="G26" s="569">
        <v>34</v>
      </c>
      <c r="H26" s="141">
        <v>8.3000000000000004E-2</v>
      </c>
      <c r="J26"/>
      <c r="K26" s="557">
        <v>4.5999999999999996</v>
      </c>
      <c r="L26" s="557">
        <f t="shared" si="24"/>
        <v>2700</v>
      </c>
      <c r="M26" s="558">
        <f t="shared" si="14"/>
        <v>60</v>
      </c>
      <c r="N26" s="557">
        <f t="shared" si="15"/>
        <v>18.5</v>
      </c>
      <c r="O26" s="557">
        <f t="shared" si="23"/>
        <v>8.5</v>
      </c>
      <c r="P26" s="557">
        <f t="shared" si="1"/>
        <v>85.1</v>
      </c>
      <c r="Q26" s="557">
        <f t="shared" si="2"/>
        <v>39.099999999999994</v>
      </c>
      <c r="R26" s="573"/>
      <c r="S26" s="21">
        <f t="shared" si="3"/>
        <v>2.2945428123446403</v>
      </c>
      <c r="T26" s="475">
        <f t="shared" si="4"/>
        <v>0.71765898084034108</v>
      </c>
      <c r="U26" s="475">
        <f t="shared" si="19"/>
        <v>51.301858410064696</v>
      </c>
      <c r="V26" s="476">
        <f t="shared" si="17"/>
        <v>2.3655299365686564</v>
      </c>
      <c r="W26" s="475">
        <f t="shared" si="5"/>
        <v>52.971439713631376</v>
      </c>
      <c r="X26" s="296">
        <f t="shared" si="20"/>
        <v>2.1771106383964103</v>
      </c>
      <c r="Y26" s="296">
        <f t="shared" si="18"/>
        <v>115.32468493172097</v>
      </c>
      <c r="Z26" s="552">
        <f t="shared" si="6"/>
        <v>42.928175440429555</v>
      </c>
      <c r="AA26" s="11">
        <f t="shared" si="7"/>
        <v>0.75</v>
      </c>
      <c r="AB26" s="296">
        <f t="shared" si="8"/>
        <v>1</v>
      </c>
      <c r="AC26" s="297">
        <f t="shared" si="9"/>
        <v>0.96480999999999995</v>
      </c>
      <c r="AD26" s="297">
        <f t="shared" si="10"/>
        <v>0.27844416600000005</v>
      </c>
      <c r="AE26" s="297">
        <f t="shared" si="11"/>
        <v>0.1443394989116468</v>
      </c>
      <c r="AF26" s="297">
        <f t="shared" si="12"/>
        <v>0.22264277493766277</v>
      </c>
      <c r="AG26" s="553">
        <f t="shared" si="21"/>
        <v>1.5424937499190505</v>
      </c>
      <c r="AH26" s="297">
        <f t="shared" si="13"/>
        <v>0.16997914146239404</v>
      </c>
      <c r="AI26" s="296">
        <f t="shared" si="22"/>
        <v>1.1776342771318737</v>
      </c>
      <c r="AL26" s="324">
        <v>1.25</v>
      </c>
      <c r="AM26" s="324">
        <v>-4.5999999999999996</v>
      </c>
      <c r="AN26" s="324">
        <v>1.31</v>
      </c>
      <c r="AO26" s="573">
        <v>2.0499999999999998</v>
      </c>
      <c r="AP26" s="573">
        <v>2.6</v>
      </c>
      <c r="AQ26" s="324">
        <v>2.95</v>
      </c>
      <c r="AR26" s="324">
        <v>3.6</v>
      </c>
    </row>
    <row r="27" spans="1:44" ht="15" customHeight="1">
      <c r="A27" s="567">
        <v>4.8</v>
      </c>
      <c r="B27" s="569">
        <v>28</v>
      </c>
      <c r="C27" s="569">
        <v>42</v>
      </c>
      <c r="D27" s="567">
        <v>0.87</v>
      </c>
      <c r="E27" s="567">
        <v>0.57999999999999996</v>
      </c>
      <c r="F27" s="569">
        <v>42</v>
      </c>
      <c r="G27" s="569">
        <v>34</v>
      </c>
      <c r="H27" s="141">
        <v>8.4000000000000005E-2</v>
      </c>
      <c r="J27"/>
      <c r="K27" s="557">
        <v>4.8</v>
      </c>
      <c r="L27" s="557">
        <f t="shared" si="24"/>
        <v>2800</v>
      </c>
      <c r="M27" s="558">
        <f t="shared" si="14"/>
        <v>66.666666666666671</v>
      </c>
      <c r="N27" s="557">
        <f t="shared" si="15"/>
        <v>18.5</v>
      </c>
      <c r="O27" s="557">
        <f t="shared" si="23"/>
        <v>8.5</v>
      </c>
      <c r="P27" s="557">
        <f t="shared" si="1"/>
        <v>88.8</v>
      </c>
      <c r="Q27" s="557">
        <f t="shared" si="2"/>
        <v>40.799999999999997</v>
      </c>
      <c r="R27" s="573"/>
      <c r="S27" s="21">
        <f t="shared" si="3"/>
        <v>2.45893577259762</v>
      </c>
      <c r="T27" s="475">
        <f t="shared" si="4"/>
        <v>0.72273728356081612</v>
      </c>
      <c r="U27" s="475">
        <f t="shared" si="19"/>
        <v>51.826510898542793</v>
      </c>
      <c r="V27" s="476">
        <f t="shared" si="17"/>
        <v>2.3824576121258687</v>
      </c>
      <c r="W27" s="475">
        <f t="shared" si="5"/>
        <v>53.52398587928586</v>
      </c>
      <c r="X27" s="296">
        <f t="shared" si="20"/>
        <v>2.2421879932613287</v>
      </c>
      <c r="Y27" s="296">
        <f t="shared" si="18"/>
        <v>120.01083849002366</v>
      </c>
      <c r="Z27" s="552">
        <f t="shared" si="6"/>
        <v>43.360644686620418</v>
      </c>
      <c r="AA27" s="11">
        <f t="shared" si="7"/>
        <v>0.75</v>
      </c>
      <c r="AB27" s="296">
        <f t="shared" si="8"/>
        <v>1</v>
      </c>
      <c r="AC27" s="297">
        <f t="shared" si="9"/>
        <v>0.96328000000000003</v>
      </c>
      <c r="AD27" s="297">
        <f t="shared" si="10"/>
        <v>0.27800260800000004</v>
      </c>
      <c r="AE27" s="297">
        <f t="shared" si="11"/>
        <v>0.14411060469067599</v>
      </c>
      <c r="AF27" s="297">
        <f t="shared" si="12"/>
        <v>0.24074754865062903</v>
      </c>
      <c r="AG27" s="553">
        <f t="shared" si="21"/>
        <v>1.6705748280452914</v>
      </c>
      <c r="AH27" s="297">
        <f t="shared" si="13"/>
        <v>0.17959156006384572</v>
      </c>
      <c r="AI27" s="296">
        <f t="shared" si="22"/>
        <v>1.2462064151998202</v>
      </c>
      <c r="AL27" s="324">
        <v>1.25</v>
      </c>
      <c r="AM27" s="324">
        <v>-4.8</v>
      </c>
      <c r="AN27" s="324">
        <v>1.31</v>
      </c>
      <c r="AO27" s="573">
        <v>2.0499999999999998</v>
      </c>
      <c r="AP27" s="573">
        <v>2.6</v>
      </c>
      <c r="AQ27" s="324">
        <v>2.95</v>
      </c>
      <c r="AR27" s="324">
        <v>3.6</v>
      </c>
    </row>
    <row r="28" spans="1:44" ht="15" customHeight="1">
      <c r="A28" s="527" t="s">
        <v>190</v>
      </c>
      <c r="B28" s="569">
        <v>26</v>
      </c>
      <c r="C28" s="569">
        <v>24</v>
      </c>
      <c r="D28" s="567">
        <v>0.95</v>
      </c>
      <c r="E28" s="567">
        <v>0.59</v>
      </c>
      <c r="F28" s="569">
        <v>38</v>
      </c>
      <c r="G28" s="569">
        <v>33</v>
      </c>
      <c r="H28" s="141">
        <v>7.5999999999999998E-2</v>
      </c>
      <c r="J28"/>
      <c r="K28" s="557">
        <v>5</v>
      </c>
      <c r="L28" s="557">
        <f t="shared" si="24"/>
        <v>2600</v>
      </c>
      <c r="M28" s="558">
        <f t="shared" si="14"/>
        <v>108.33333333333333</v>
      </c>
      <c r="N28" s="557">
        <f t="shared" si="15"/>
        <v>18.5</v>
      </c>
      <c r="O28" s="557">
        <f t="shared" si="23"/>
        <v>8.5</v>
      </c>
      <c r="P28" s="557">
        <f t="shared" si="1"/>
        <v>92.5</v>
      </c>
      <c r="Q28" s="557">
        <f t="shared" si="2"/>
        <v>42.5</v>
      </c>
      <c r="R28" s="573"/>
      <c r="S28" s="21">
        <f t="shared" si="3"/>
        <v>4.3203722166832836</v>
      </c>
      <c r="T28" s="475">
        <f t="shared" si="4"/>
        <v>0.77959554416348176</v>
      </c>
      <c r="U28" s="475">
        <f t="shared" si="19"/>
        <v>48.859303980142002</v>
      </c>
      <c r="V28" s="476">
        <f t="shared" si="17"/>
        <v>2.5719851472878101</v>
      </c>
      <c r="W28" s="475">
        <f t="shared" si="5"/>
        <v>50.661691066149238</v>
      </c>
      <c r="X28" s="296">
        <f t="shared" si="20"/>
        <v>3.15948535041586</v>
      </c>
      <c r="Y28" s="296">
        <f t="shared" si="18"/>
        <v>160.06487075079258</v>
      </c>
      <c r="Z28" s="552">
        <f t="shared" si="6"/>
        <v>40.651406274413716</v>
      </c>
      <c r="AA28" s="11">
        <f t="shared" si="7"/>
        <v>0.75</v>
      </c>
      <c r="AB28" s="296">
        <f t="shared" si="8"/>
        <v>1</v>
      </c>
      <c r="AC28" s="297">
        <f t="shared" si="9"/>
        <v>0.96174999999999999</v>
      </c>
      <c r="AD28" s="297">
        <f t="shared" si="10"/>
        <v>0.27756104999999998</v>
      </c>
      <c r="AE28" s="297">
        <f t="shared" si="11"/>
        <v>0.14388171046970519</v>
      </c>
      <c r="AF28" s="297">
        <f t="shared" si="12"/>
        <v>0.4613915207305358</v>
      </c>
      <c r="AG28" s="553">
        <f t="shared" si="21"/>
        <v>3.2067419773111707</v>
      </c>
      <c r="AH28" s="297">
        <f t="shared" si="13"/>
        <v>0.3265051011757481</v>
      </c>
      <c r="AI28" s="296">
        <f t="shared" si="22"/>
        <v>2.2692606315970569</v>
      </c>
      <c r="AL28" s="324">
        <v>1.25</v>
      </c>
      <c r="AM28" s="324">
        <v>-5</v>
      </c>
      <c r="AN28" s="324">
        <v>1.31</v>
      </c>
      <c r="AO28" s="573">
        <v>2.0499999999999998</v>
      </c>
      <c r="AP28" s="573">
        <v>2.6</v>
      </c>
      <c r="AQ28" s="324">
        <v>2.95</v>
      </c>
      <c r="AR28" s="324">
        <v>3.6</v>
      </c>
    </row>
    <row r="29" spans="1:44" ht="15" customHeight="1">
      <c r="A29" s="567">
        <v>5.2</v>
      </c>
      <c r="B29" s="569">
        <v>38</v>
      </c>
      <c r="C29" s="569">
        <v>57</v>
      </c>
      <c r="D29" s="567">
        <v>0.9</v>
      </c>
      <c r="E29" s="567">
        <v>0.61</v>
      </c>
      <c r="F29" s="569">
        <v>51</v>
      </c>
      <c r="G29" s="569">
        <v>35</v>
      </c>
      <c r="H29" s="141">
        <v>0.106</v>
      </c>
      <c r="J29"/>
      <c r="K29" s="557">
        <v>5.2</v>
      </c>
      <c r="L29" s="557">
        <f t="shared" si="24"/>
        <v>3800</v>
      </c>
      <c r="M29" s="558">
        <f t="shared" si="14"/>
        <v>66.666666666666671</v>
      </c>
      <c r="N29" s="557">
        <f t="shared" si="15"/>
        <v>18.5</v>
      </c>
      <c r="O29" s="557">
        <f t="shared" si="23"/>
        <v>8.5</v>
      </c>
      <c r="P29" s="557">
        <f t="shared" si="1"/>
        <v>96.2</v>
      </c>
      <c r="Q29" s="557">
        <f t="shared" si="2"/>
        <v>44.2</v>
      </c>
      <c r="R29" s="573"/>
      <c r="S29" s="21">
        <f t="shared" si="3"/>
        <v>1.7999532012167685</v>
      </c>
      <c r="T29" s="475">
        <f t="shared" si="4"/>
        <v>0.67471684129506326</v>
      </c>
      <c r="U29" s="475">
        <f t="shared" si="19"/>
        <v>64.252065552079586</v>
      </c>
      <c r="V29" s="476">
        <f t="shared" si="17"/>
        <v>2.2223894711307626</v>
      </c>
      <c r="W29" s="475">
        <f t="shared" si="5"/>
        <v>65.920905312895513</v>
      </c>
      <c r="X29" s="296">
        <f t="shared" si="20"/>
        <v>1.7233931802708646</v>
      </c>
      <c r="Y29" s="296">
        <f t="shared" si="18"/>
        <v>113.60763865352554</v>
      </c>
      <c r="Z29" s="552">
        <f t="shared" si="6"/>
        <v>50.966782488189438</v>
      </c>
      <c r="AA29" s="11">
        <f t="shared" si="7"/>
        <v>0.75</v>
      </c>
      <c r="AB29" s="296">
        <f t="shared" si="8"/>
        <v>1</v>
      </c>
      <c r="AC29" s="297">
        <f t="shared" si="9"/>
        <v>0.96021999999999996</v>
      </c>
      <c r="AD29" s="297">
        <f t="shared" si="10"/>
        <v>0.27711949199999997</v>
      </c>
      <c r="AE29" s="297">
        <f t="shared" si="11"/>
        <v>0.14365281624873441</v>
      </c>
      <c r="AF29" s="297">
        <f t="shared" si="12"/>
        <v>0.21636582610595695</v>
      </c>
      <c r="AG29" s="553">
        <f t="shared" si="21"/>
        <v>1.506171836765944</v>
      </c>
      <c r="AH29" s="297">
        <f t="shared" si="13"/>
        <v>0.1666275029381375</v>
      </c>
      <c r="AI29" s="296">
        <f t="shared" si="22"/>
        <v>1.1599320311940315</v>
      </c>
      <c r="AL29" s="324">
        <v>1.25</v>
      </c>
      <c r="AM29" s="324">
        <v>-5.2</v>
      </c>
      <c r="AN29" s="324">
        <v>1.31</v>
      </c>
      <c r="AO29" s="573">
        <v>2.0499999999999998</v>
      </c>
      <c r="AP29" s="573">
        <v>2.6</v>
      </c>
      <c r="AQ29" s="324">
        <v>2.95</v>
      </c>
      <c r="AR29" s="324">
        <v>3.6</v>
      </c>
    </row>
    <row r="30" spans="1:44" ht="15" customHeight="1">
      <c r="A30" s="567">
        <v>5.4</v>
      </c>
      <c r="B30" s="569">
        <v>48</v>
      </c>
      <c r="C30" s="569">
        <v>60</v>
      </c>
      <c r="D30" s="567">
        <v>0.91</v>
      </c>
      <c r="E30" s="567">
        <v>0.63</v>
      </c>
      <c r="F30" s="569">
        <v>58</v>
      </c>
      <c r="G30" s="569">
        <v>36</v>
      </c>
      <c r="H30" s="141">
        <v>0.125</v>
      </c>
      <c r="J30"/>
      <c r="K30" s="557">
        <v>5.4</v>
      </c>
      <c r="L30" s="557">
        <f t="shared" si="24"/>
        <v>4800</v>
      </c>
      <c r="M30" s="558">
        <f t="shared" si="14"/>
        <v>80</v>
      </c>
      <c r="N30" s="557">
        <f t="shared" si="15"/>
        <v>18.5</v>
      </c>
      <c r="O30" s="557">
        <f t="shared" si="23"/>
        <v>8.5</v>
      </c>
      <c r="P30" s="557">
        <f t="shared" si="1"/>
        <v>99.9</v>
      </c>
      <c r="Q30" s="557">
        <f t="shared" si="2"/>
        <v>45.900000000000006</v>
      </c>
      <c r="R30" s="573"/>
      <c r="S30" s="21">
        <f t="shared" si="3"/>
        <v>1.702091444862875</v>
      </c>
      <c r="T30" s="475">
        <f t="shared" si="4"/>
        <v>0.65104655079249651</v>
      </c>
      <c r="U30" s="475">
        <f t="shared" si="19"/>
        <v>78.033804769765013</v>
      </c>
      <c r="V30" s="476">
        <f t="shared" si="17"/>
        <v>2.1434885027304289</v>
      </c>
      <c r="W30" s="475">
        <f t="shared" si="5"/>
        <v>79.692402905230111</v>
      </c>
      <c r="X30" s="296">
        <f t="shared" si="20"/>
        <v>1.5391546510711542</v>
      </c>
      <c r="Y30" s="296">
        <f t="shared" si="18"/>
        <v>122.65893258662129</v>
      </c>
      <c r="Z30" s="552">
        <f t="shared" si="6"/>
        <v>57.122103044059145</v>
      </c>
      <c r="AA30" s="11">
        <f t="shared" si="7"/>
        <v>0.75</v>
      </c>
      <c r="AB30" s="296">
        <f t="shared" si="8"/>
        <v>1</v>
      </c>
      <c r="AC30" s="297">
        <f t="shared" si="9"/>
        <v>0.95869000000000004</v>
      </c>
      <c r="AD30" s="297">
        <f t="shared" si="10"/>
        <v>0.27667793399999996</v>
      </c>
      <c r="AE30" s="297">
        <f t="shared" si="11"/>
        <v>0.14342392202776361</v>
      </c>
      <c r="AF30" s="297">
        <f t="shared" si="12"/>
        <v>0.25162497682091711</v>
      </c>
      <c r="AG30" s="553">
        <f t="shared" si="21"/>
        <v>1.7544142794547777</v>
      </c>
      <c r="AH30" s="297">
        <f t="shared" si="13"/>
        <v>0.1853681047000823</v>
      </c>
      <c r="AI30" s="296">
        <f t="shared" si="22"/>
        <v>1.2924490006918041</v>
      </c>
      <c r="AL30" s="324">
        <v>1.25</v>
      </c>
      <c r="AM30" s="324">
        <v>-5.4</v>
      </c>
      <c r="AN30" s="324">
        <v>1.31</v>
      </c>
      <c r="AO30" s="573">
        <v>2.0499999999999998</v>
      </c>
      <c r="AP30" s="573">
        <v>2.6</v>
      </c>
      <c r="AQ30" s="324">
        <v>2.95</v>
      </c>
      <c r="AR30" s="324">
        <v>3.6</v>
      </c>
    </row>
    <row r="31" spans="1:44" ht="15" customHeight="1">
      <c r="A31" s="567">
        <v>5.6</v>
      </c>
      <c r="B31" s="569">
        <v>42</v>
      </c>
      <c r="C31" s="569">
        <v>42</v>
      </c>
      <c r="D31" s="567">
        <v>0.9</v>
      </c>
      <c r="E31" s="567">
        <v>0.65</v>
      </c>
      <c r="F31" s="569">
        <v>53</v>
      </c>
      <c r="G31" s="569">
        <v>35</v>
      </c>
      <c r="H31" s="141">
        <v>0.111</v>
      </c>
      <c r="J31"/>
      <c r="K31" s="557">
        <v>5.6</v>
      </c>
      <c r="L31" s="557">
        <f t="shared" si="24"/>
        <v>4200</v>
      </c>
      <c r="M31" s="558">
        <f t="shared" si="14"/>
        <v>100</v>
      </c>
      <c r="N31" s="557">
        <f t="shared" si="15"/>
        <v>18.5</v>
      </c>
      <c r="O31" s="557">
        <f t="shared" si="23"/>
        <v>8.5</v>
      </c>
      <c r="P31" s="557">
        <f t="shared" si="1"/>
        <v>103.6</v>
      </c>
      <c r="Q31" s="557">
        <f t="shared" si="2"/>
        <v>47.599999999999994</v>
      </c>
      <c r="R31" s="573"/>
      <c r="S31" s="21">
        <f t="shared" si="3"/>
        <v>2.4411678547016895</v>
      </c>
      <c r="T31" s="475">
        <f t="shared" si="4"/>
        <v>0.69553320826339893</v>
      </c>
      <c r="U31" s="475">
        <f t="shared" si="19"/>
        <v>68.649507825891376</v>
      </c>
      <c r="V31" s="476">
        <f t="shared" si="17"/>
        <v>2.2917773609155683</v>
      </c>
      <c r="W31" s="475">
        <f t="shared" si="5"/>
        <v>70.385688133176387</v>
      </c>
      <c r="X31" s="296">
        <f t="shared" si="20"/>
        <v>1.9226213959781155</v>
      </c>
      <c r="Y31" s="296">
        <f t="shared" si="18"/>
        <v>135.32502997548787</v>
      </c>
      <c r="Z31" s="552">
        <f t="shared" si="6"/>
        <v>52.773423726485163</v>
      </c>
      <c r="AA31" s="11">
        <f t="shared" si="7"/>
        <v>0.75</v>
      </c>
      <c r="AB31" s="296">
        <f t="shared" si="8"/>
        <v>0.99119718768004195</v>
      </c>
      <c r="AC31" s="297">
        <f t="shared" si="9"/>
        <v>0.95716000000000001</v>
      </c>
      <c r="AD31" s="297">
        <f t="shared" si="10"/>
        <v>0.27623637600000001</v>
      </c>
      <c r="AE31" s="297">
        <f t="shared" si="11"/>
        <v>0.14446674141797117</v>
      </c>
      <c r="AF31" s="297">
        <f t="shared" si="12"/>
        <v>0.31047156158653666</v>
      </c>
      <c r="AG31" s="553">
        <f t="shared" si="21"/>
        <v>2.1490867623869243</v>
      </c>
      <c r="AH31" s="297">
        <f t="shared" si="13"/>
        <v>0.21772835539300217</v>
      </c>
      <c r="AI31" s="296">
        <f t="shared" si="22"/>
        <v>1.5071175085417792</v>
      </c>
      <c r="AL31" s="324">
        <v>1.25</v>
      </c>
      <c r="AM31" s="324">
        <v>-5.6</v>
      </c>
      <c r="AN31" s="324">
        <v>1.31</v>
      </c>
      <c r="AO31" s="573">
        <v>2.0499999999999998</v>
      </c>
      <c r="AP31" s="573">
        <v>2.6</v>
      </c>
      <c r="AQ31" s="324">
        <v>2.95</v>
      </c>
      <c r="AR31" s="324">
        <v>3.6</v>
      </c>
    </row>
    <row r="32" spans="1:44" ht="15" customHeight="1">
      <c r="A32" s="567">
        <v>5.8</v>
      </c>
      <c r="B32" s="569">
        <v>30</v>
      </c>
      <c r="C32" s="569">
        <v>56</v>
      </c>
      <c r="D32" s="567">
        <v>0.88</v>
      </c>
      <c r="E32" s="567">
        <v>0.67</v>
      </c>
      <c r="F32" s="569">
        <v>41</v>
      </c>
      <c r="G32" s="569">
        <v>34</v>
      </c>
      <c r="H32" s="141">
        <v>8.1000000000000003E-2</v>
      </c>
      <c r="J32"/>
      <c r="K32" s="557">
        <v>5.8</v>
      </c>
      <c r="L32" s="557">
        <f t="shared" si="24"/>
        <v>3000</v>
      </c>
      <c r="M32" s="558">
        <f t="shared" si="14"/>
        <v>53.571428571428569</v>
      </c>
      <c r="N32" s="557">
        <f t="shared" si="15"/>
        <v>18.5</v>
      </c>
      <c r="O32" s="557">
        <f t="shared" si="23"/>
        <v>8.5</v>
      </c>
      <c r="P32" s="557">
        <f t="shared" si="1"/>
        <v>107.3</v>
      </c>
      <c r="Q32" s="557">
        <f t="shared" si="2"/>
        <v>49.3</v>
      </c>
      <c r="R32" s="573"/>
      <c r="S32" s="21">
        <f t="shared" si="3"/>
        <v>1.8519524517381192</v>
      </c>
      <c r="T32" s="475">
        <f t="shared" si="4"/>
        <v>0.70662451957105343</v>
      </c>
      <c r="U32" s="475">
        <f t="shared" si="19"/>
        <v>47.680993251136385</v>
      </c>
      <c r="V32" s="476">
        <f t="shared" si="17"/>
        <v>2.3287483986170807</v>
      </c>
      <c r="W32" s="475">
        <f t="shared" si="5"/>
        <v>49.449642117540414</v>
      </c>
      <c r="X32" s="296">
        <f t="shared" si="20"/>
        <v>2.0444185410087918</v>
      </c>
      <c r="Y32" s="296">
        <f t="shared" si="18"/>
        <v>101.09576519134887</v>
      </c>
      <c r="Z32" s="552">
        <f t="shared" si="6"/>
        <v>42.626054475349122</v>
      </c>
      <c r="AA32" s="11">
        <f t="shared" si="7"/>
        <v>0.75</v>
      </c>
      <c r="AB32" s="296">
        <f t="shared" si="8"/>
        <v>0.98253961453697569</v>
      </c>
      <c r="AC32" s="297">
        <f t="shared" si="9"/>
        <v>0.95562999999999998</v>
      </c>
      <c r="AD32" s="297">
        <f t="shared" si="10"/>
        <v>0.275794818</v>
      </c>
      <c r="AE32" s="297">
        <f t="shared" si="11"/>
        <v>0.14550673730666344</v>
      </c>
      <c r="AF32" s="297">
        <f t="shared" si="12"/>
        <v>0.17609080681052361</v>
      </c>
      <c r="AG32" s="553">
        <f t="shared" si="21"/>
        <v>1.2101900576562483</v>
      </c>
      <c r="AH32" s="297">
        <f t="shared" si="13"/>
        <v>0.14433685955394035</v>
      </c>
      <c r="AI32" s="296">
        <f t="shared" si="22"/>
        <v>0.99195997536349456</v>
      </c>
      <c r="AL32" s="324">
        <v>1.25</v>
      </c>
      <c r="AM32" s="324">
        <v>-5.8</v>
      </c>
      <c r="AN32" s="324">
        <v>1.31</v>
      </c>
      <c r="AO32" s="573">
        <v>2.0499999999999998</v>
      </c>
      <c r="AP32" s="573">
        <v>2.6</v>
      </c>
      <c r="AQ32" s="324">
        <v>2.95</v>
      </c>
      <c r="AR32" s="324">
        <v>3.6</v>
      </c>
    </row>
    <row r="33" spans="1:44" ht="15" customHeight="1">
      <c r="A33" s="527" t="s">
        <v>192</v>
      </c>
      <c r="B33" s="569">
        <v>32</v>
      </c>
      <c r="C33" s="569">
        <v>53</v>
      </c>
      <c r="D33" s="567">
        <v>0.88</v>
      </c>
      <c r="E33" s="567">
        <v>0.68</v>
      </c>
      <c r="F33" s="569">
        <v>42</v>
      </c>
      <c r="G33" s="569">
        <v>34</v>
      </c>
      <c r="H33" s="141">
        <v>8.5000000000000006E-2</v>
      </c>
      <c r="J33"/>
      <c r="K33" s="557">
        <v>6</v>
      </c>
      <c r="L33" s="557">
        <f t="shared" si="24"/>
        <v>3200</v>
      </c>
      <c r="M33" s="558">
        <f t="shared" si="14"/>
        <v>60.377358490566039</v>
      </c>
      <c r="N33" s="557">
        <f t="shared" si="15"/>
        <v>18.5</v>
      </c>
      <c r="O33" s="557">
        <f t="shared" si="23"/>
        <v>8.5</v>
      </c>
      <c r="P33" s="557">
        <f t="shared" si="1"/>
        <v>111</v>
      </c>
      <c r="Q33" s="557">
        <f t="shared" si="2"/>
        <v>51</v>
      </c>
      <c r="R33" s="573"/>
      <c r="S33" s="21">
        <f t="shared" si="3"/>
        <v>1.9545923758681139</v>
      </c>
      <c r="T33" s="475">
        <f t="shared" si="4"/>
        <v>0.70696739471399117</v>
      </c>
      <c r="U33" s="475">
        <f t="shared" si="19"/>
        <v>49.722878118225907</v>
      </c>
      <c r="V33" s="476">
        <f t="shared" si="17"/>
        <v>2.329891315740543</v>
      </c>
      <c r="W33" s="475">
        <f t="shared" si="5"/>
        <v>51.509617992335031</v>
      </c>
      <c r="X33" s="296">
        <f t="shared" si="20"/>
        <v>2.0483658999171546</v>
      </c>
      <c r="Y33" s="296">
        <f t="shared" si="18"/>
        <v>105.5105450132582</v>
      </c>
      <c r="Z33" s="552">
        <f t="shared" si="6"/>
        <v>43.990082757881908</v>
      </c>
      <c r="AA33" s="11">
        <f t="shared" si="7"/>
        <v>0.75</v>
      </c>
      <c r="AB33" s="296">
        <f t="shared" si="8"/>
        <v>0.97424739966422236</v>
      </c>
      <c r="AC33" s="297">
        <f t="shared" si="9"/>
        <v>0.95409999999999995</v>
      </c>
      <c r="AD33" s="297">
        <f t="shared" si="10"/>
        <v>0.27535325999999993</v>
      </c>
      <c r="AE33" s="297">
        <f t="shared" si="11"/>
        <v>0.1465102595234497</v>
      </c>
      <c r="AF33" s="297">
        <f t="shared" si="12"/>
        <v>0.18923719699698108</v>
      </c>
      <c r="AG33" s="553">
        <f t="shared" si="21"/>
        <v>1.2916310271547413</v>
      </c>
      <c r="AH33" s="297">
        <f t="shared" si="13"/>
        <v>0.15182667952336013</v>
      </c>
      <c r="AI33" s="296">
        <f t="shared" si="22"/>
        <v>1.0362870151018981</v>
      </c>
      <c r="AL33" s="324">
        <v>1.25</v>
      </c>
      <c r="AM33" s="324">
        <v>-6</v>
      </c>
      <c r="AN33" s="324">
        <v>1.31</v>
      </c>
      <c r="AO33" s="573">
        <v>2.0499999999999998</v>
      </c>
      <c r="AP33" s="573">
        <v>2.6</v>
      </c>
      <c r="AQ33" s="324">
        <v>2.95</v>
      </c>
      <c r="AR33" s="324">
        <v>3.6</v>
      </c>
    </row>
    <row r="34" spans="1:44" ht="15" customHeight="1">
      <c r="A34" s="567">
        <v>6.2</v>
      </c>
      <c r="B34" s="569">
        <v>37</v>
      </c>
      <c r="C34" s="569">
        <v>37</v>
      </c>
      <c r="D34" s="567">
        <v>0.89</v>
      </c>
      <c r="E34" s="567">
        <v>0.7</v>
      </c>
      <c r="F34" s="569">
        <v>46</v>
      </c>
      <c r="G34" s="569">
        <v>35</v>
      </c>
      <c r="H34" s="141">
        <v>9.5000000000000001E-2</v>
      </c>
      <c r="J34"/>
      <c r="K34" s="557">
        <v>6.2</v>
      </c>
      <c r="L34" s="557">
        <f t="shared" si="24"/>
        <v>3700</v>
      </c>
      <c r="M34" s="558">
        <f t="shared" si="14"/>
        <v>100</v>
      </c>
      <c r="N34" s="557">
        <f t="shared" si="15"/>
        <v>18.5</v>
      </c>
      <c r="O34" s="557">
        <f t="shared" si="23"/>
        <v>8.5</v>
      </c>
      <c r="P34" s="557">
        <f t="shared" si="1"/>
        <v>114.7</v>
      </c>
      <c r="Q34" s="557">
        <f t="shared" si="2"/>
        <v>52.7</v>
      </c>
      <c r="R34" s="573"/>
      <c r="S34" s="21">
        <f t="shared" si="3"/>
        <v>2.7891668758541819</v>
      </c>
      <c r="T34" s="475">
        <f t="shared" si="4"/>
        <v>0.72492726869263291</v>
      </c>
      <c r="U34" s="475">
        <f t="shared" si="19"/>
        <v>57.041714684300665</v>
      </c>
      <c r="V34" s="476">
        <f t="shared" si="17"/>
        <v>2.3897575623182523</v>
      </c>
      <c r="W34" s="475">
        <f t="shared" si="5"/>
        <v>58.866578621569317</v>
      </c>
      <c r="X34" s="296">
        <f t="shared" si="20"/>
        <v>2.271051204452565</v>
      </c>
      <c r="Y34" s="296">
        <f t="shared" si="18"/>
        <v>133.6890142805166</v>
      </c>
      <c r="Z34" s="552">
        <f t="shared" si="6"/>
        <v>47.68156348640764</v>
      </c>
      <c r="AA34" s="11">
        <f t="shared" si="7"/>
        <v>0.75</v>
      </c>
      <c r="AB34" s="296">
        <f t="shared" si="8"/>
        <v>0.96629369437200952</v>
      </c>
      <c r="AC34" s="297">
        <f t="shared" si="9"/>
        <v>0.95257000000000003</v>
      </c>
      <c r="AD34" s="297">
        <f t="shared" si="10"/>
        <v>0.27491170199999998</v>
      </c>
      <c r="AE34" s="297">
        <f t="shared" si="11"/>
        <v>0.14747932846286047</v>
      </c>
      <c r="AF34" s="297">
        <f t="shared" si="12"/>
        <v>0.30221333225960378</v>
      </c>
      <c r="AG34" s="553">
        <f t="shared" si="21"/>
        <v>2.0491911334930561</v>
      </c>
      <c r="AH34" s="297">
        <f t="shared" si="13"/>
        <v>0.21300537935170111</v>
      </c>
      <c r="AI34" s="296">
        <f t="shared" si="22"/>
        <v>1.4443066806162057</v>
      </c>
      <c r="AL34" s="324">
        <v>1.25</v>
      </c>
      <c r="AM34" s="324">
        <v>-6.2</v>
      </c>
      <c r="AN34" s="324">
        <v>1.31</v>
      </c>
      <c r="AO34" s="573">
        <v>2.0499999999999998</v>
      </c>
      <c r="AP34" s="573">
        <v>2.6</v>
      </c>
      <c r="AQ34" s="324">
        <v>2.95</v>
      </c>
      <c r="AR34" s="324">
        <v>3.6</v>
      </c>
    </row>
    <row r="35" spans="1:44" ht="15" customHeight="1">
      <c r="A35" s="567">
        <v>6.4</v>
      </c>
      <c r="B35" s="569">
        <v>41</v>
      </c>
      <c r="C35" s="569">
        <v>56</v>
      </c>
      <c r="D35" s="567">
        <v>0.9</v>
      </c>
      <c r="E35" s="567">
        <v>0.72</v>
      </c>
      <c r="F35" s="569">
        <v>49</v>
      </c>
      <c r="G35" s="569">
        <v>35</v>
      </c>
      <c r="H35" s="141">
        <v>0.10199999999999999</v>
      </c>
      <c r="J35"/>
      <c r="K35" s="557">
        <v>6.4</v>
      </c>
      <c r="L35" s="557">
        <f t="shared" si="24"/>
        <v>4100</v>
      </c>
      <c r="M35" s="558">
        <f t="shared" si="14"/>
        <v>73.214285714285708</v>
      </c>
      <c r="N35" s="557">
        <f t="shared" si="15"/>
        <v>18.5</v>
      </c>
      <c r="O35" s="557">
        <f t="shared" si="23"/>
        <v>8.5</v>
      </c>
      <c r="P35" s="557">
        <f t="shared" si="1"/>
        <v>118.4</v>
      </c>
      <c r="Q35" s="557">
        <f t="shared" si="2"/>
        <v>54.400000000000006</v>
      </c>
      <c r="R35" s="573"/>
      <c r="S35" s="21">
        <f t="shared" si="3"/>
        <v>1.838815695054393</v>
      </c>
      <c r="T35" s="475">
        <f t="shared" si="4"/>
        <v>0.6827028826771171</v>
      </c>
      <c r="U35" s="475">
        <f t="shared" si="19"/>
        <v>60.334403178451154</v>
      </c>
      <c r="V35" s="476">
        <f t="shared" si="17"/>
        <v>2.2490096089342213</v>
      </c>
      <c r="W35" s="475">
        <f t="shared" si="5"/>
        <v>62.128554609114353</v>
      </c>
      <c r="X35" s="296">
        <f t="shared" si="20"/>
        <v>1.7954699290350185</v>
      </c>
      <c r="Y35" s="296">
        <f t="shared" si="18"/>
        <v>111.54995153507481</v>
      </c>
      <c r="Z35" s="552">
        <f t="shared" si="6"/>
        <v>50.168970853462582</v>
      </c>
      <c r="AA35" s="11">
        <f t="shared" si="7"/>
        <v>0.75</v>
      </c>
      <c r="AB35" s="296">
        <f t="shared" si="8"/>
        <v>0.95865440989819661</v>
      </c>
      <c r="AC35" s="297">
        <f t="shared" si="9"/>
        <v>0.95104</v>
      </c>
      <c r="AD35" s="297">
        <f t="shared" si="10"/>
        <v>0.27447014399999997</v>
      </c>
      <c r="AE35" s="297">
        <f t="shared" si="11"/>
        <v>0.14841578931245825</v>
      </c>
      <c r="AF35" s="297">
        <f t="shared" si="12"/>
        <v>0.20908955578931676</v>
      </c>
      <c r="AG35" s="553">
        <f t="shared" si="21"/>
        <v>1.4088093777483652</v>
      </c>
      <c r="AH35" s="297">
        <f t="shared" si="13"/>
        <v>0.16271731215848559</v>
      </c>
      <c r="AI35" s="296">
        <f t="shared" si="22"/>
        <v>1.0963611952089443</v>
      </c>
      <c r="AL35" s="324">
        <v>1.25</v>
      </c>
      <c r="AM35" s="324">
        <v>-6.4</v>
      </c>
      <c r="AN35" s="324">
        <v>1.31</v>
      </c>
      <c r="AO35" s="573">
        <v>2.0499999999999998</v>
      </c>
      <c r="AP35" s="573">
        <v>2.6</v>
      </c>
      <c r="AQ35" s="324">
        <v>2.95</v>
      </c>
      <c r="AR35" s="324">
        <v>3.6</v>
      </c>
    </row>
    <row r="36" spans="1:44" ht="15" customHeight="1">
      <c r="A36" s="567">
        <v>6.6</v>
      </c>
      <c r="B36" s="569">
        <v>33</v>
      </c>
      <c r="C36" s="569">
        <v>45</v>
      </c>
      <c r="D36" s="567">
        <v>0.88</v>
      </c>
      <c r="E36" s="567">
        <v>0.74</v>
      </c>
      <c r="F36" s="569">
        <v>41</v>
      </c>
      <c r="G36" s="569">
        <v>34</v>
      </c>
      <c r="H36" s="141">
        <v>8.3000000000000004E-2</v>
      </c>
      <c r="J36"/>
      <c r="K36" s="557">
        <v>6.6</v>
      </c>
      <c r="L36" s="557">
        <f t="shared" si="24"/>
        <v>3300</v>
      </c>
      <c r="M36" s="558">
        <f t="shared" si="14"/>
        <v>73.333333333333329</v>
      </c>
      <c r="N36" s="557">
        <f t="shared" si="15"/>
        <v>18.5</v>
      </c>
      <c r="O36" s="557">
        <f t="shared" si="23"/>
        <v>8.5</v>
      </c>
      <c r="P36" s="557">
        <f t="shared" si="1"/>
        <v>122.1</v>
      </c>
      <c r="Q36" s="557">
        <f t="shared" si="2"/>
        <v>56.099999999999994</v>
      </c>
      <c r="R36" s="573"/>
      <c r="S36" s="21">
        <f t="shared" si="3"/>
        <v>2.3076035537094723</v>
      </c>
      <c r="T36" s="475">
        <f t="shared" si="4"/>
        <v>0.72402418780699374</v>
      </c>
      <c r="U36" s="475">
        <f t="shared" si="19"/>
        <v>48.294445886618526</v>
      </c>
      <c r="V36" s="476">
        <f t="shared" si="17"/>
        <v>2.3867472926955076</v>
      </c>
      <c r="W36" s="475">
        <f t="shared" si="5"/>
        <v>50.149995728575831</v>
      </c>
      <c r="X36" s="296">
        <f t="shared" si="20"/>
        <v>2.2590901083709092</v>
      </c>
      <c r="Y36" s="296">
        <f t="shared" si="18"/>
        <v>113.29335928526901</v>
      </c>
      <c r="Z36" s="552">
        <f t="shared" si="6"/>
        <v>43.506145610487266</v>
      </c>
      <c r="AA36" s="11">
        <f t="shared" si="7"/>
        <v>0.75</v>
      </c>
      <c r="AB36" s="296">
        <f t="shared" si="8"/>
        <v>0.95130785775864091</v>
      </c>
      <c r="AC36" s="297">
        <f t="shared" si="9"/>
        <v>0.94950999999999997</v>
      </c>
      <c r="AD36" s="297">
        <f t="shared" si="10"/>
        <v>0.27402858600000002</v>
      </c>
      <c r="AE36" s="297">
        <f t="shared" si="11"/>
        <v>0.14932133225160327</v>
      </c>
      <c r="AF36" s="297">
        <f t="shared" si="12"/>
        <v>0.21523724396623395</v>
      </c>
      <c r="AG36" s="553">
        <f t="shared" si="21"/>
        <v>1.4414366703048416</v>
      </c>
      <c r="AH36" s="297">
        <f t="shared" si="13"/>
        <v>0.16602299528681552</v>
      </c>
      <c r="AI36" s="296">
        <f t="shared" si="22"/>
        <v>1.1118504823347699</v>
      </c>
      <c r="AL36" s="324">
        <v>1.25</v>
      </c>
      <c r="AM36" s="324">
        <v>-6.6</v>
      </c>
      <c r="AN36" s="324">
        <v>1.31</v>
      </c>
      <c r="AO36" s="573">
        <v>2.0499999999999998</v>
      </c>
      <c r="AP36" s="573">
        <v>2.6</v>
      </c>
      <c r="AQ36" s="324">
        <v>2.95</v>
      </c>
      <c r="AR36" s="324">
        <v>3.6</v>
      </c>
    </row>
    <row r="37" spans="1:44" ht="15" customHeight="1">
      <c r="A37" s="567">
        <v>6.8</v>
      </c>
      <c r="B37" s="569">
        <v>26</v>
      </c>
      <c r="C37" s="569">
        <v>65</v>
      </c>
      <c r="D37" s="567">
        <v>0.87</v>
      </c>
      <c r="E37" s="567">
        <v>0.75</v>
      </c>
      <c r="F37" s="569">
        <v>33</v>
      </c>
      <c r="G37" s="569">
        <v>33</v>
      </c>
      <c r="H37" s="141">
        <v>6.3E-2</v>
      </c>
      <c r="J37"/>
      <c r="K37" s="557">
        <v>6.8</v>
      </c>
      <c r="L37" s="557">
        <f t="shared" si="24"/>
        <v>2600</v>
      </c>
      <c r="M37" s="558">
        <f t="shared" si="14"/>
        <v>40</v>
      </c>
      <c r="N37" s="557">
        <f t="shared" si="15"/>
        <v>18.5</v>
      </c>
      <c r="O37" s="557">
        <f t="shared" si="23"/>
        <v>8.5</v>
      </c>
      <c r="P37" s="557">
        <f t="shared" si="1"/>
        <v>125.8</v>
      </c>
      <c r="Q37" s="557">
        <f t="shared" si="2"/>
        <v>57.8</v>
      </c>
      <c r="R37" s="573"/>
      <c r="S37" s="21">
        <f t="shared" si="3"/>
        <v>1.6166841807452914</v>
      </c>
      <c r="T37" s="475">
        <f t="shared" si="4"/>
        <v>0.72226017271307008</v>
      </c>
      <c r="U37" s="475">
        <f t="shared" si="19"/>
        <v>36.760790607350074</v>
      </c>
      <c r="V37" s="476">
        <f t="shared" si="17"/>
        <v>2.3808672423832116</v>
      </c>
      <c r="W37" s="475">
        <f t="shared" si="5"/>
        <v>38.629882620285422</v>
      </c>
      <c r="X37" s="296">
        <f t="shared" si="20"/>
        <v>2.2359640992615333</v>
      </c>
      <c r="Y37" s="296">
        <f t="shared" si="18"/>
        <v>86.375030697645258</v>
      </c>
      <c r="Z37" s="552">
        <f t="shared" si="6"/>
        <v>36.244622298196532</v>
      </c>
      <c r="AA37" s="11">
        <f t="shared" si="7"/>
        <v>1</v>
      </c>
      <c r="AB37" s="296">
        <f t="shared" si="8"/>
        <v>1</v>
      </c>
      <c r="AC37" s="297">
        <f t="shared" si="9"/>
        <v>0.94798000000000004</v>
      </c>
      <c r="AD37" s="297">
        <f t="shared" si="10"/>
        <v>0.27358702800000007</v>
      </c>
      <c r="AE37" s="297">
        <f t="shared" si="11"/>
        <v>0.1418216624809682</v>
      </c>
      <c r="AF37" s="297">
        <f t="shared" si="12"/>
        <v>0.13993045745829327</v>
      </c>
      <c r="AG37" s="553">
        <f t="shared" si="21"/>
        <v>0.98666490725329981</v>
      </c>
      <c r="AH37" s="297">
        <f t="shared" si="13"/>
        <v>0.12158724079104102</v>
      </c>
      <c r="AI37" s="296">
        <f t="shared" si="22"/>
        <v>0.85732488721430311</v>
      </c>
      <c r="AL37" s="324">
        <v>1.25</v>
      </c>
      <c r="AM37" s="324">
        <v>-6.8</v>
      </c>
      <c r="AN37" s="324">
        <v>1.31</v>
      </c>
      <c r="AO37" s="573">
        <v>2.0499999999999998</v>
      </c>
      <c r="AP37" s="573">
        <v>2.6</v>
      </c>
      <c r="AQ37" s="324">
        <v>2.95</v>
      </c>
      <c r="AR37" s="324">
        <v>3.6</v>
      </c>
    </row>
    <row r="38" spans="1:44" ht="15" customHeight="1">
      <c r="A38" s="527" t="s">
        <v>194</v>
      </c>
      <c r="B38" s="569">
        <v>20</v>
      </c>
      <c r="C38" s="569">
        <v>25</v>
      </c>
      <c r="D38" s="567">
        <v>0.93</v>
      </c>
      <c r="E38" s="567">
        <v>0.77</v>
      </c>
      <c r="F38" s="569">
        <v>23</v>
      </c>
      <c r="G38" s="569">
        <v>31</v>
      </c>
      <c r="H38" s="141">
        <v>4.3999999999999997E-2</v>
      </c>
      <c r="J38"/>
      <c r="K38" s="557">
        <v>7</v>
      </c>
      <c r="L38" s="557">
        <f t="shared" si="24"/>
        <v>2000</v>
      </c>
      <c r="M38" s="558">
        <f t="shared" si="14"/>
        <v>80</v>
      </c>
      <c r="N38" s="557">
        <f t="shared" si="15"/>
        <v>18.5</v>
      </c>
      <c r="O38" s="557">
        <f t="shared" si="23"/>
        <v>8.5</v>
      </c>
      <c r="P38" s="557">
        <f t="shared" si="1"/>
        <v>129.5</v>
      </c>
      <c r="Q38" s="557">
        <f t="shared" si="2"/>
        <v>59.5</v>
      </c>
      <c r="R38" s="573"/>
      <c r="S38" s="21">
        <f t="shared" si="3"/>
        <v>4.2769313017909649</v>
      </c>
      <c r="T38" s="475">
        <f t="shared" si="4"/>
        <v>0.82805632939910767</v>
      </c>
      <c r="U38" s="475">
        <f t="shared" si="19"/>
        <v>28.752152697770466</v>
      </c>
      <c r="V38" s="476">
        <f t="shared" si="17"/>
        <v>2.7335210979981492</v>
      </c>
      <c r="W38" s="475">
        <f t="shared" si="5"/>
        <v>30.742745466742015</v>
      </c>
      <c r="X38" s="296">
        <f t="shared" si="20"/>
        <v>4.2466628874648045</v>
      </c>
      <c r="Y38" s="296">
        <f t="shared" si="18"/>
        <v>130.55407623239017</v>
      </c>
      <c r="Z38" s="552">
        <f t="shared" si="6"/>
        <v>28.308919844780618</v>
      </c>
      <c r="AA38" s="11">
        <f t="shared" si="7"/>
        <v>1</v>
      </c>
      <c r="AB38" s="296">
        <f t="shared" si="8"/>
        <v>1</v>
      </c>
      <c r="AC38" s="297">
        <f t="shared" si="9"/>
        <v>0.94645000000000001</v>
      </c>
      <c r="AD38" s="297">
        <f t="shared" si="10"/>
        <v>0.27314546999999995</v>
      </c>
      <c r="AE38" s="297">
        <f t="shared" si="11"/>
        <v>0.14159276825999736</v>
      </c>
      <c r="AF38" s="297">
        <f t="shared" si="12"/>
        <v>0.28694467556989178</v>
      </c>
      <c r="AG38" s="553">
        <f t="shared" si="21"/>
        <v>2.0265489480578158</v>
      </c>
      <c r="AH38" s="297">
        <f t="shared" si="13"/>
        <v>0.20446139839048427</v>
      </c>
      <c r="AI38" s="296">
        <f t="shared" si="22"/>
        <v>1.4440101772362091</v>
      </c>
      <c r="AL38" s="324">
        <v>1.25</v>
      </c>
      <c r="AM38" s="324">
        <v>-7</v>
      </c>
      <c r="AN38" s="324">
        <v>1.31</v>
      </c>
      <c r="AO38" s="573">
        <v>2.0499999999999998</v>
      </c>
      <c r="AP38" s="573">
        <v>2.6</v>
      </c>
      <c r="AQ38" s="324">
        <v>2.95</v>
      </c>
      <c r="AR38" s="324">
        <v>3.6</v>
      </c>
    </row>
    <row r="39" spans="1:44" ht="15" customHeight="1">
      <c r="A39" s="567">
        <v>7.2</v>
      </c>
      <c r="B39" s="569">
        <v>10</v>
      </c>
      <c r="C39" s="569">
        <v>25</v>
      </c>
      <c r="D39" s="567">
        <v>0.9</v>
      </c>
      <c r="E39" s="567">
        <v>0.79</v>
      </c>
      <c r="F39" s="568" t="s">
        <v>178</v>
      </c>
      <c r="G39" s="568" t="s">
        <v>178</v>
      </c>
      <c r="H39" s="568" t="s">
        <v>178</v>
      </c>
      <c r="J39"/>
      <c r="K39" s="557">
        <v>7.2</v>
      </c>
      <c r="L39" s="557">
        <f t="shared" si="24"/>
        <v>1000</v>
      </c>
      <c r="M39" s="558">
        <f t="shared" si="14"/>
        <v>40</v>
      </c>
      <c r="N39" s="557">
        <f t="shared" si="15"/>
        <v>18.5</v>
      </c>
      <c r="O39" s="557">
        <f t="shared" si="23"/>
        <v>8.5</v>
      </c>
      <c r="P39" s="557">
        <f t="shared" si="1"/>
        <v>133.20000000000002</v>
      </c>
      <c r="Q39" s="557">
        <f t="shared" si="2"/>
        <v>61.2</v>
      </c>
      <c r="R39" s="573"/>
      <c r="S39" s="21">
        <f t="shared" si="3"/>
        <v>4.6146746654360875</v>
      </c>
      <c r="T39" s="475">
        <f t="shared" si="4"/>
        <v>0.90887316298555121</v>
      </c>
      <c r="U39" s="475">
        <f t="shared" si="19"/>
        <v>13.543621623082563</v>
      </c>
      <c r="V39" s="476">
        <f t="shared" si="17"/>
        <v>3.0029105432857723</v>
      </c>
      <c r="W39" s="475">
        <f t="shared" si="5"/>
        <v>15.624851895572871</v>
      </c>
      <c r="X39" s="296">
        <f t="shared" si="20"/>
        <v>6.7764610147600557</v>
      </c>
      <c r="Y39" s="296">
        <f t="shared" si="18"/>
        <v>105.88119973174932</v>
      </c>
      <c r="Z39" s="552">
        <f t="shared" si="6"/>
        <v>8.0372030691964795</v>
      </c>
      <c r="AA39" s="11">
        <f t="shared" si="7"/>
        <v>1</v>
      </c>
      <c r="AB39" s="296">
        <f t="shared" si="8"/>
        <v>1</v>
      </c>
      <c r="AC39" s="297">
        <f t="shared" si="9"/>
        <v>0.94491999999999998</v>
      </c>
      <c r="AD39" s="297">
        <f t="shared" si="10"/>
        <v>0.27270391200000005</v>
      </c>
      <c r="AE39" s="297">
        <f t="shared" si="11"/>
        <v>0.14136387403902664</v>
      </c>
      <c r="AF39" s="297">
        <f t="shared" si="12"/>
        <v>0.1903924849287035</v>
      </c>
      <c r="AG39" s="553">
        <f t="shared" si="21"/>
        <v>1.3468256032382178</v>
      </c>
      <c r="AH39" s="297">
        <f t="shared" si="13"/>
        <v>0.15247235656982899</v>
      </c>
      <c r="AI39" s="296">
        <f t="shared" si="22"/>
        <v>1.0785807732443411</v>
      </c>
      <c r="AL39" s="324">
        <v>1.25</v>
      </c>
      <c r="AM39" s="324">
        <v>-7.2</v>
      </c>
      <c r="AN39" s="324">
        <v>1.31</v>
      </c>
      <c r="AO39" s="573">
        <v>2.0499999999999998</v>
      </c>
      <c r="AP39" s="573">
        <v>2.6</v>
      </c>
      <c r="AQ39" s="324">
        <v>2.95</v>
      </c>
      <c r="AR39" s="324">
        <v>3.6</v>
      </c>
    </row>
    <row r="40" spans="1:44" ht="15" customHeight="1">
      <c r="A40" s="567">
        <v>7.4</v>
      </c>
      <c r="B40" s="569">
        <v>40</v>
      </c>
      <c r="C40" s="569">
        <v>46</v>
      </c>
      <c r="D40" s="567">
        <v>0.9</v>
      </c>
      <c r="E40" s="567">
        <v>0.81</v>
      </c>
      <c r="F40" s="569">
        <v>46</v>
      </c>
      <c r="G40" s="569">
        <v>34</v>
      </c>
      <c r="H40" s="141">
        <v>9.2999999999999999E-2</v>
      </c>
      <c r="J40"/>
      <c r="K40" s="557">
        <v>7.4</v>
      </c>
      <c r="L40" s="557">
        <f t="shared" si="24"/>
        <v>4000</v>
      </c>
      <c r="M40" s="558">
        <f t="shared" si="14"/>
        <v>86.956521739130437</v>
      </c>
      <c r="N40" s="557">
        <f t="shared" si="15"/>
        <v>18.5</v>
      </c>
      <c r="O40" s="557">
        <f t="shared" si="23"/>
        <v>8.5</v>
      </c>
      <c r="P40" s="557">
        <f t="shared" si="1"/>
        <v>136.9</v>
      </c>
      <c r="Q40" s="557">
        <f t="shared" si="2"/>
        <v>62.900000000000006</v>
      </c>
      <c r="R40" s="573"/>
      <c r="S40" s="21">
        <f t="shared" si="3"/>
        <v>2.2509518712725645</v>
      </c>
      <c r="T40" s="475">
        <f t="shared" si="4"/>
        <v>0.71151398289344436</v>
      </c>
      <c r="U40" s="475">
        <f t="shared" si="19"/>
        <v>53.727772017716113</v>
      </c>
      <c r="V40" s="476">
        <f t="shared" si="17"/>
        <v>2.345046609645542</v>
      </c>
      <c r="W40" s="475">
        <f t="shared" si="5"/>
        <v>55.631769322788557</v>
      </c>
      <c r="X40" s="296">
        <f t="shared" si="20"/>
        <v>2.1017655460848665</v>
      </c>
      <c r="Y40" s="296">
        <f t="shared" si="18"/>
        <v>116.92493603037802</v>
      </c>
      <c r="Z40" s="552">
        <f t="shared" si="6"/>
        <v>47.380488127951651</v>
      </c>
      <c r="AA40" s="11">
        <f t="shared" si="7"/>
        <v>0.75</v>
      </c>
      <c r="AB40" s="296">
        <f t="shared" si="8"/>
        <v>0.92448344381246006</v>
      </c>
      <c r="AC40" s="297">
        <f t="shared" si="9"/>
        <v>0.94338999999999995</v>
      </c>
      <c r="AD40" s="297">
        <f t="shared" si="10"/>
        <v>0.27226235399999993</v>
      </c>
      <c r="AE40" s="297">
        <f t="shared" si="11"/>
        <v>0.15266360989227873</v>
      </c>
      <c r="AF40" s="297">
        <f t="shared" si="12"/>
        <v>0.22866350625113452</v>
      </c>
      <c r="AG40" s="553">
        <f t="shared" si="21"/>
        <v>1.4978258827528199</v>
      </c>
      <c r="AH40" s="297">
        <f t="shared" si="13"/>
        <v>0.17318133019290641</v>
      </c>
      <c r="AI40" s="296">
        <f t="shared" si="22"/>
        <v>1.134398238814772</v>
      </c>
      <c r="AL40" s="324">
        <v>1.25</v>
      </c>
      <c r="AM40" s="324">
        <v>-7.4</v>
      </c>
      <c r="AN40" s="324">
        <v>1.31</v>
      </c>
      <c r="AO40" s="573">
        <v>2.0499999999999998</v>
      </c>
      <c r="AP40" s="573">
        <v>2.6</v>
      </c>
      <c r="AQ40" s="324">
        <v>2.95</v>
      </c>
      <c r="AR40" s="324">
        <v>3.6</v>
      </c>
    </row>
    <row r="41" spans="1:44" ht="15" customHeight="1">
      <c r="A41" s="567">
        <v>7.6</v>
      </c>
      <c r="B41" s="569">
        <v>35</v>
      </c>
      <c r="C41" s="569">
        <v>52</v>
      </c>
      <c r="D41" s="567">
        <v>0.89</v>
      </c>
      <c r="E41" s="567">
        <v>0.83</v>
      </c>
      <c r="F41" s="569">
        <v>41</v>
      </c>
      <c r="G41" s="569">
        <v>34</v>
      </c>
      <c r="H41" s="141">
        <v>8.1000000000000003E-2</v>
      </c>
      <c r="J41"/>
      <c r="K41" s="557">
        <v>7.6</v>
      </c>
      <c r="L41" s="557">
        <f t="shared" si="24"/>
        <v>3500</v>
      </c>
      <c r="M41" s="558">
        <f t="shared" si="14"/>
        <v>67.307692307692307</v>
      </c>
      <c r="N41" s="557">
        <f t="shared" si="15"/>
        <v>18.5</v>
      </c>
      <c r="O41" s="557">
        <f t="shared" si="23"/>
        <v>8.5</v>
      </c>
      <c r="P41" s="557">
        <f t="shared" si="1"/>
        <v>140.6</v>
      </c>
      <c r="Q41" s="557">
        <f t="shared" si="2"/>
        <v>64.599999999999994</v>
      </c>
      <c r="R41" s="573"/>
      <c r="S41" s="21">
        <f t="shared" si="3"/>
        <v>2.0035629072957168</v>
      </c>
      <c r="T41" s="475">
        <f t="shared" si="4"/>
        <v>0.71689226386924443</v>
      </c>
      <c r="U41" s="475">
        <f t="shared" si="19"/>
        <v>45.952014753470401</v>
      </c>
      <c r="V41" s="476">
        <f t="shared" si="17"/>
        <v>2.3629742128980333</v>
      </c>
      <c r="W41" s="475">
        <f t="shared" si="5"/>
        <v>47.875231183290587</v>
      </c>
      <c r="X41" s="296">
        <f t="shared" si="20"/>
        <v>2.1675079483894102</v>
      </c>
      <c r="Y41" s="296">
        <f t="shared" si="18"/>
        <v>103.7699441207629</v>
      </c>
      <c r="Z41" s="552">
        <f t="shared" si="6"/>
        <v>43.17081783328041</v>
      </c>
      <c r="AA41" s="11">
        <f t="shared" si="7"/>
        <v>0.75</v>
      </c>
      <c r="AB41" s="296">
        <f t="shared" si="8"/>
        <v>0.91834035651281998</v>
      </c>
      <c r="AC41" s="297">
        <f t="shared" si="9"/>
        <v>0.94186000000000003</v>
      </c>
      <c r="AD41" s="297">
        <f t="shared" si="10"/>
        <v>0.27182079600000003</v>
      </c>
      <c r="AE41" s="297">
        <f t="shared" si="11"/>
        <v>0.15343558038997931</v>
      </c>
      <c r="AF41" s="297">
        <f t="shared" si="12"/>
        <v>0.18391965521521281</v>
      </c>
      <c r="AG41" s="553">
        <f t="shared" si="21"/>
        <v>1.1986767003308729</v>
      </c>
      <c r="AH41" s="297">
        <f t="shared" si="13"/>
        <v>0.14883055787725818</v>
      </c>
      <c r="AI41" s="296">
        <f t="shared" si="22"/>
        <v>0.96998725783800088</v>
      </c>
      <c r="AL41" s="324">
        <v>1.25</v>
      </c>
      <c r="AM41" s="324">
        <v>-7.6</v>
      </c>
      <c r="AN41" s="324">
        <v>1.31</v>
      </c>
      <c r="AO41" s="573">
        <v>2.0499999999999998</v>
      </c>
      <c r="AP41" s="573">
        <v>2.6</v>
      </c>
      <c r="AQ41" s="324">
        <v>2.95</v>
      </c>
      <c r="AR41" s="324">
        <v>3.6</v>
      </c>
    </row>
    <row r="42" spans="1:44" ht="15" customHeight="1">
      <c r="A42" s="567">
        <v>7.8</v>
      </c>
      <c r="B42" s="569">
        <v>44</v>
      </c>
      <c r="C42" s="569">
        <v>35</v>
      </c>
      <c r="D42" s="567">
        <v>0.91</v>
      </c>
      <c r="E42" s="567">
        <v>0.85</v>
      </c>
      <c r="F42" s="569">
        <v>48</v>
      </c>
      <c r="G42" s="569">
        <v>35</v>
      </c>
      <c r="H42" s="141">
        <v>9.9000000000000005E-2</v>
      </c>
      <c r="J42"/>
      <c r="K42" s="557">
        <v>7.8</v>
      </c>
      <c r="L42" s="557">
        <f t="shared" si="24"/>
        <v>4400</v>
      </c>
      <c r="M42" s="558">
        <f t="shared" si="14"/>
        <v>125.71428571428571</v>
      </c>
      <c r="N42" s="557">
        <f t="shared" si="15"/>
        <v>18.5</v>
      </c>
      <c r="O42" s="557">
        <f t="shared" si="23"/>
        <v>8.5</v>
      </c>
      <c r="P42" s="557">
        <f t="shared" si="1"/>
        <v>144.29999999999998</v>
      </c>
      <c r="Q42" s="557">
        <f t="shared" si="2"/>
        <v>66.3</v>
      </c>
      <c r="R42" s="573"/>
      <c r="S42" s="21">
        <f t="shared" si="3"/>
        <v>2.9540213293767348</v>
      </c>
      <c r="T42" s="475">
        <f t="shared" si="4"/>
        <v>0.72952336869245626</v>
      </c>
      <c r="U42" s="475">
        <f t="shared" si="19"/>
        <v>57.435586125938123</v>
      </c>
      <c r="V42" s="476">
        <f t="shared" si="17"/>
        <v>2.4050778956416776</v>
      </c>
      <c r="W42" s="475">
        <f t="shared" si="5"/>
        <v>59.383081268446503</v>
      </c>
      <c r="X42" s="296">
        <f t="shared" si="20"/>
        <v>2.3332155757103514</v>
      </c>
      <c r="Y42" s="296">
        <f t="shared" si="18"/>
        <v>138.553530149213</v>
      </c>
      <c r="Z42" s="552">
        <f t="shared" si="6"/>
        <v>49.357930210730871</v>
      </c>
      <c r="AA42" s="11">
        <f t="shared" si="7"/>
        <v>0.75</v>
      </c>
      <c r="AB42" s="296">
        <f t="shared" si="8"/>
        <v>0.91239609368087293</v>
      </c>
      <c r="AC42" s="297">
        <f t="shared" si="9"/>
        <v>0.94033</v>
      </c>
      <c r="AD42" s="297">
        <f t="shared" si="10"/>
        <v>0.27137923799999997</v>
      </c>
      <c r="AE42" s="297">
        <f t="shared" si="11"/>
        <v>0.15418434203130055</v>
      </c>
      <c r="AF42" s="297">
        <f t="shared" si="12"/>
        <v>0.32736356707421266</v>
      </c>
      <c r="AG42" s="553">
        <f t="shared" si="21"/>
        <v>2.1231959274292294</v>
      </c>
      <c r="AH42" s="297">
        <f t="shared" si="13"/>
        <v>0.22765267181281482</v>
      </c>
      <c r="AI42" s="296">
        <f t="shared" si="22"/>
        <v>1.4764966974830664</v>
      </c>
      <c r="AL42" s="324">
        <v>1.25</v>
      </c>
      <c r="AM42" s="324">
        <v>-7.8</v>
      </c>
      <c r="AN42" s="324">
        <v>1.31</v>
      </c>
      <c r="AO42" s="573">
        <v>2.0499999999999998</v>
      </c>
      <c r="AP42" s="573">
        <v>2.6</v>
      </c>
      <c r="AQ42" s="324">
        <v>2.95</v>
      </c>
      <c r="AR42" s="324">
        <v>3.6</v>
      </c>
    </row>
    <row r="43" spans="1:44" ht="15" customHeight="1">
      <c r="A43" s="527" t="s">
        <v>196</v>
      </c>
      <c r="B43" s="569">
        <v>37</v>
      </c>
      <c r="C43" s="569">
        <v>62</v>
      </c>
      <c r="D43" s="567">
        <v>0.89</v>
      </c>
      <c r="E43" s="567">
        <v>0.86</v>
      </c>
      <c r="F43" s="569">
        <v>41</v>
      </c>
      <c r="G43" s="569">
        <v>34</v>
      </c>
      <c r="H43" s="141">
        <v>8.3000000000000004E-2</v>
      </c>
      <c r="J43"/>
      <c r="K43" s="557">
        <v>8</v>
      </c>
      <c r="L43" s="557">
        <f t="shared" si="24"/>
        <v>3700</v>
      </c>
      <c r="M43" s="558">
        <f t="shared" si="14"/>
        <v>59.677419354838712</v>
      </c>
      <c r="N43" s="557">
        <f t="shared" si="15"/>
        <v>18.5</v>
      </c>
      <c r="O43" s="557">
        <f t="shared" si="23"/>
        <v>8.5</v>
      </c>
      <c r="P43" s="557">
        <f t="shared" si="1"/>
        <v>148</v>
      </c>
      <c r="Q43" s="557">
        <f t="shared" si="2"/>
        <v>68</v>
      </c>
      <c r="R43" s="573"/>
      <c r="S43" s="21">
        <f t="shared" si="3"/>
        <v>1.6801075268817203</v>
      </c>
      <c r="T43" s="475">
        <f t="shared" si="4"/>
        <v>0.70103252870335186</v>
      </c>
      <c r="U43" s="475">
        <f t="shared" si="19"/>
        <v>46.546781576791531</v>
      </c>
      <c r="V43" s="476">
        <f t="shared" si="17"/>
        <v>2.310108429011398</v>
      </c>
      <c r="W43" s="475">
        <f t="shared" si="5"/>
        <v>48.486230809157846</v>
      </c>
      <c r="X43" s="296">
        <f t="shared" si="20"/>
        <v>1.9815949488547524</v>
      </c>
      <c r="Y43" s="296">
        <f t="shared" si="18"/>
        <v>96.08007006043286</v>
      </c>
      <c r="Z43" s="552">
        <f t="shared" si="6"/>
        <v>44.028519669115866</v>
      </c>
      <c r="AA43" s="11">
        <f t="shared" si="7"/>
        <v>0.75</v>
      </c>
      <c r="AB43" s="296">
        <f t="shared" si="8"/>
        <v>0.90663936409511059</v>
      </c>
      <c r="AC43" s="297">
        <f t="shared" si="9"/>
        <v>0.93879999999999997</v>
      </c>
      <c r="AD43" s="297">
        <f t="shared" si="10"/>
        <v>0.27093767999999996</v>
      </c>
      <c r="AE43" s="297">
        <f t="shared" si="11"/>
        <v>0.1549108749489613</v>
      </c>
      <c r="AF43" s="297">
        <f t="shared" si="12"/>
        <v>0.16248650102958129</v>
      </c>
      <c r="AG43" s="553">
        <f t="shared" si="21"/>
        <v>1.0489031262854589</v>
      </c>
      <c r="AH43" s="297">
        <f t="shared" si="13"/>
        <v>0.13623205822782683</v>
      </c>
      <c r="AI43" s="296">
        <f t="shared" si="22"/>
        <v>0.87942217273455714</v>
      </c>
      <c r="AL43" s="324">
        <v>1.25</v>
      </c>
      <c r="AM43" s="324">
        <v>-8</v>
      </c>
      <c r="AN43" s="324">
        <v>1.31</v>
      </c>
      <c r="AO43" s="573">
        <v>2.0499999999999998</v>
      </c>
      <c r="AP43" s="573">
        <v>2.6</v>
      </c>
      <c r="AQ43" s="324">
        <v>2.95</v>
      </c>
      <c r="AR43" s="324">
        <v>3.6</v>
      </c>
    </row>
    <row r="44" spans="1:44" ht="15" customHeight="1">
      <c r="A44" s="567">
        <v>8.1999999999999993</v>
      </c>
      <c r="B44" s="569">
        <v>49</v>
      </c>
      <c r="C44" s="569">
        <v>46</v>
      </c>
      <c r="D44" s="567">
        <v>0.92</v>
      </c>
      <c r="E44" s="567">
        <v>0.88</v>
      </c>
      <c r="F44" s="569">
        <v>51</v>
      </c>
      <c r="G44" s="569">
        <v>35</v>
      </c>
      <c r="H44" s="141">
        <v>0.105</v>
      </c>
      <c r="J44"/>
      <c r="K44" s="557">
        <v>8.1999999999999993</v>
      </c>
      <c r="L44" s="557">
        <f t="shared" si="24"/>
        <v>4900</v>
      </c>
      <c r="M44" s="558">
        <f t="shared" si="14"/>
        <v>106.52173913043478</v>
      </c>
      <c r="N44" s="557">
        <f t="shared" si="15"/>
        <v>18.5</v>
      </c>
      <c r="O44" s="557">
        <f t="shared" si="23"/>
        <v>8.5</v>
      </c>
      <c r="P44" s="557">
        <f t="shared" si="1"/>
        <v>151.69999999999999</v>
      </c>
      <c r="Q44" s="557">
        <f t="shared" si="2"/>
        <v>69.699999999999989</v>
      </c>
      <c r="R44" s="573"/>
      <c r="S44" s="21">
        <f t="shared" si="3"/>
        <v>2.2433658178808158</v>
      </c>
      <c r="T44" s="475">
        <f t="shared" si="4"/>
        <v>0.69886398367559754</v>
      </c>
      <c r="U44" s="475">
        <f t="shared" si="19"/>
        <v>61.107865674551455</v>
      </c>
      <c r="V44" s="476">
        <f t="shared" si="17"/>
        <v>2.3028799455853948</v>
      </c>
      <c r="W44" s="475">
        <f t="shared" si="5"/>
        <v>63.060156646652935</v>
      </c>
      <c r="X44" s="296">
        <f t="shared" si="20"/>
        <v>1.9580111597421599</v>
      </c>
      <c r="Y44" s="296">
        <f t="shared" si="18"/>
        <v>123.47249044923518</v>
      </c>
      <c r="Z44" s="552">
        <f t="shared" si="6"/>
        <v>51.726259604647595</v>
      </c>
      <c r="AA44" s="11">
        <f t="shared" si="7"/>
        <v>0.75</v>
      </c>
      <c r="AB44" s="296">
        <f t="shared" si="8"/>
        <v>0.90105977998333042</v>
      </c>
      <c r="AC44" s="297">
        <f t="shared" si="9"/>
        <v>0.93727000000000005</v>
      </c>
      <c r="AD44" s="297">
        <f t="shared" si="10"/>
        <v>0.27049612200000006</v>
      </c>
      <c r="AE44" s="297">
        <f t="shared" si="11"/>
        <v>0.15561609345915625</v>
      </c>
      <c r="AF44" s="297">
        <f t="shared" si="12"/>
        <v>0.25506267991865778</v>
      </c>
      <c r="AG44" s="553">
        <f t="shared" si="21"/>
        <v>1.6390507835592387</v>
      </c>
      <c r="AH44" s="297">
        <f t="shared" si="13"/>
        <v>0.187199248247406</v>
      </c>
      <c r="AI44" s="296">
        <f t="shared" si="22"/>
        <v>1.2029555818180155</v>
      </c>
      <c r="AL44" s="324">
        <v>1.25</v>
      </c>
      <c r="AM44" s="324">
        <v>-8.1999999999999993</v>
      </c>
      <c r="AN44" s="324">
        <v>1.31</v>
      </c>
      <c r="AO44" s="573">
        <v>2.0499999999999998</v>
      </c>
      <c r="AP44" s="573">
        <v>2.6</v>
      </c>
      <c r="AQ44" s="324">
        <v>2.95</v>
      </c>
      <c r="AR44" s="324">
        <v>3.6</v>
      </c>
    </row>
    <row r="45" spans="1:44" ht="15" customHeight="1">
      <c r="A45" s="567">
        <v>8.4</v>
      </c>
      <c r="B45" s="569">
        <v>56</v>
      </c>
      <c r="C45" s="569">
        <v>40</v>
      </c>
      <c r="D45" s="567">
        <v>0.93</v>
      </c>
      <c r="E45" s="567">
        <v>0.9</v>
      </c>
      <c r="F45" s="569">
        <v>55</v>
      </c>
      <c r="G45" s="569">
        <v>36</v>
      </c>
      <c r="H45" s="141">
        <v>0.11600000000000001</v>
      </c>
      <c r="J45"/>
      <c r="K45" s="557">
        <v>8.4</v>
      </c>
      <c r="L45" s="557">
        <f t="shared" si="24"/>
        <v>5600</v>
      </c>
      <c r="M45" s="558">
        <f t="shared" si="14"/>
        <v>140</v>
      </c>
      <c r="N45" s="557">
        <f t="shared" si="15"/>
        <v>18.5</v>
      </c>
      <c r="O45" s="557">
        <f t="shared" si="23"/>
        <v>8.5</v>
      </c>
      <c r="P45" s="557">
        <f t="shared" si="1"/>
        <v>155.4</v>
      </c>
      <c r="Q45" s="557">
        <f t="shared" si="2"/>
        <v>71.400000000000006</v>
      </c>
      <c r="R45" s="573"/>
      <c r="S45" s="21">
        <f t="shared" si="3"/>
        <v>2.5713551041398817</v>
      </c>
      <c r="T45" s="475">
        <f t="shared" si="4"/>
        <v>0.69993125469993678</v>
      </c>
      <c r="U45" s="475">
        <f t="shared" si="19"/>
        <v>68.923476163690708</v>
      </c>
      <c r="V45" s="476">
        <f t="shared" si="17"/>
        <v>2.3064375156664836</v>
      </c>
      <c r="W45" s="475">
        <f t="shared" si="5"/>
        <v>70.890692891427818</v>
      </c>
      <c r="X45" s="296">
        <f t="shared" si="20"/>
        <v>1.9695642992803322</v>
      </c>
      <c r="Y45" s="296">
        <f t="shared" si="18"/>
        <v>139.62377787020225</v>
      </c>
      <c r="Z45" s="552">
        <f t="shared" si="6"/>
        <v>55.208368793795472</v>
      </c>
      <c r="AA45" s="11">
        <f t="shared" si="7"/>
        <v>0.75</v>
      </c>
      <c r="AB45" s="296">
        <f t="shared" si="8"/>
        <v>0.89564776476012919</v>
      </c>
      <c r="AC45" s="297">
        <f t="shared" si="9"/>
        <v>0.93574000000000002</v>
      </c>
      <c r="AD45" s="297">
        <f t="shared" si="10"/>
        <v>0.270054564</v>
      </c>
      <c r="AE45" s="297">
        <f t="shared" si="11"/>
        <v>0.15630085198805127</v>
      </c>
      <c r="AF45" s="297">
        <f t="shared" si="12"/>
        <v>0.3331401906261437</v>
      </c>
      <c r="AG45" s="553">
        <f t="shared" si="21"/>
        <v>2.1314035489173868</v>
      </c>
      <c r="AH45" s="297">
        <f t="shared" si="13"/>
        <v>0.23113719688657178</v>
      </c>
      <c r="AI45" s="296">
        <f t="shared" si="22"/>
        <v>1.478796781633932</v>
      </c>
      <c r="AL45" s="324">
        <v>1.25</v>
      </c>
      <c r="AM45" s="324">
        <v>-8.4</v>
      </c>
      <c r="AN45" s="324">
        <v>1.31</v>
      </c>
      <c r="AO45" s="573">
        <v>2.0499999999999998</v>
      </c>
      <c r="AP45" s="573">
        <v>2.6</v>
      </c>
      <c r="AQ45" s="324">
        <v>2.95</v>
      </c>
      <c r="AR45" s="324">
        <v>3.6</v>
      </c>
    </row>
    <row r="46" spans="1:44" ht="15" customHeight="1">
      <c r="A46" s="567">
        <v>8.6</v>
      </c>
      <c r="B46" s="569">
        <v>55</v>
      </c>
      <c r="C46" s="569">
        <v>46</v>
      </c>
      <c r="D46" s="567">
        <v>0.93</v>
      </c>
      <c r="E46" s="567">
        <v>0.92</v>
      </c>
      <c r="F46" s="569">
        <v>54</v>
      </c>
      <c r="G46" s="569">
        <v>35</v>
      </c>
      <c r="H46" s="141">
        <v>0.113</v>
      </c>
      <c r="J46"/>
      <c r="K46" s="557">
        <v>8.6</v>
      </c>
      <c r="L46" s="557">
        <f t="shared" si="24"/>
        <v>5500</v>
      </c>
      <c r="M46" s="558">
        <f t="shared" si="14"/>
        <v>119.56521739130434</v>
      </c>
      <c r="N46" s="557">
        <f t="shared" si="15"/>
        <v>18.5</v>
      </c>
      <c r="O46" s="557">
        <f t="shared" si="23"/>
        <v>8.5</v>
      </c>
      <c r="P46" s="557">
        <f t="shared" si="1"/>
        <v>159.1</v>
      </c>
      <c r="Q46" s="557">
        <f t="shared" si="2"/>
        <v>73.099999999999994</v>
      </c>
      <c r="R46" s="573"/>
      <c r="S46" s="21">
        <f t="shared" si="3"/>
        <v>2.2386717105975467</v>
      </c>
      <c r="T46" s="475">
        <f t="shared" si="4"/>
        <v>0.69091837800079858</v>
      </c>
      <c r="U46" s="475">
        <f t="shared" si="19"/>
        <v>66.318765250324105</v>
      </c>
      <c r="V46" s="476">
        <f t="shared" si="17"/>
        <v>2.2763945933360139</v>
      </c>
      <c r="W46" s="475">
        <f t="shared" si="5"/>
        <v>68.294334077923679</v>
      </c>
      <c r="X46" s="296">
        <f t="shared" si="20"/>
        <v>1.8752316219988749</v>
      </c>
      <c r="Y46" s="296">
        <f t="shared" si="18"/>
        <v>128.06769486627786</v>
      </c>
      <c r="Z46" s="552">
        <f t="shared" si="6"/>
        <v>54.354664067010702</v>
      </c>
      <c r="AA46" s="11">
        <f t="shared" si="7"/>
        <v>0.75</v>
      </c>
      <c r="AB46" s="296">
        <f t="shared" si="8"/>
        <v>0.89039447213071388</v>
      </c>
      <c r="AC46" s="297">
        <f t="shared" si="9"/>
        <v>0.93420999999999998</v>
      </c>
      <c r="AD46" s="297">
        <f t="shared" si="10"/>
        <v>0.26961300599999999</v>
      </c>
      <c r="AE46" s="297">
        <f t="shared" si="11"/>
        <v>0.15696595033635105</v>
      </c>
      <c r="AF46" s="297">
        <f t="shared" si="12"/>
        <v>0.27534474212273802</v>
      </c>
      <c r="AG46" s="553">
        <f t="shared" si="21"/>
        <v>1.7541686049281489</v>
      </c>
      <c r="AH46" s="297">
        <f t="shared" si="13"/>
        <v>0.19810674572663728</v>
      </c>
      <c r="AI46" s="296">
        <f t="shared" si="22"/>
        <v>1.2621001261874221</v>
      </c>
      <c r="AL46" s="324">
        <v>1.25</v>
      </c>
      <c r="AM46" s="324">
        <v>-8.6</v>
      </c>
      <c r="AN46" s="324">
        <v>1.31</v>
      </c>
      <c r="AO46" s="573">
        <v>2.0499999999999998</v>
      </c>
      <c r="AP46" s="573">
        <v>2.6</v>
      </c>
      <c r="AQ46" s="324">
        <v>2.95</v>
      </c>
      <c r="AR46" s="324">
        <v>3.6</v>
      </c>
    </row>
    <row r="47" spans="1:44" ht="15" customHeight="1">
      <c r="A47" s="567">
        <v>8.8000000000000007</v>
      </c>
      <c r="B47" s="569">
        <v>66</v>
      </c>
      <c r="C47" s="569">
        <v>49</v>
      </c>
      <c r="D47" s="567">
        <v>0.94</v>
      </c>
      <c r="E47" s="567">
        <v>0.94</v>
      </c>
      <c r="F47" s="569">
        <v>59</v>
      </c>
      <c r="G47" s="569">
        <v>36</v>
      </c>
      <c r="H47" s="141">
        <v>0.128</v>
      </c>
      <c r="J47"/>
      <c r="K47" s="557">
        <v>8.8000000000000007</v>
      </c>
      <c r="L47" s="557">
        <f t="shared" si="24"/>
        <v>6600</v>
      </c>
      <c r="M47" s="558">
        <f t="shared" si="14"/>
        <v>134.69387755102042</v>
      </c>
      <c r="N47" s="557">
        <f t="shared" si="15"/>
        <v>18.5</v>
      </c>
      <c r="O47" s="557">
        <f t="shared" si="23"/>
        <v>8.5</v>
      </c>
      <c r="P47" s="557">
        <f t="shared" si="1"/>
        <v>162.80000000000001</v>
      </c>
      <c r="Q47" s="557">
        <f t="shared" si="2"/>
        <v>74.800000000000011</v>
      </c>
      <c r="R47" s="573"/>
      <c r="S47" s="21">
        <f t="shared" si="3"/>
        <v>2.0924295897443055</v>
      </c>
      <c r="T47" s="475">
        <f t="shared" si="4"/>
        <v>0.6693761918967901</v>
      </c>
      <c r="U47" s="475">
        <f t="shared" si="19"/>
        <v>78.181549007288581</v>
      </c>
      <c r="V47" s="476">
        <f t="shared" si="17"/>
        <v>2.2045873063226424</v>
      </c>
      <c r="W47" s="475">
        <f t="shared" si="5"/>
        <v>80.158799392298619</v>
      </c>
      <c r="X47" s="296">
        <f t="shared" si="20"/>
        <v>1.6780818878769672</v>
      </c>
      <c r="Y47" s="296">
        <f t="shared" si="18"/>
        <v>134.51302941417956</v>
      </c>
      <c r="Z47" s="552">
        <f t="shared" si="6"/>
        <v>59.251147016236104</v>
      </c>
      <c r="AA47" s="11">
        <f t="shared" si="7"/>
        <v>0.75</v>
      </c>
      <c r="AB47" s="296">
        <f t="shared" si="8"/>
        <v>0.88529171493220016</v>
      </c>
      <c r="AC47" s="297">
        <f t="shared" si="9"/>
        <v>0.93267999999999995</v>
      </c>
      <c r="AD47" s="297">
        <f t="shared" si="10"/>
        <v>0.26917144799999992</v>
      </c>
      <c r="AE47" s="297">
        <f t="shared" si="11"/>
        <v>0.1576121383694937</v>
      </c>
      <c r="AF47" s="297">
        <f t="shared" si="12"/>
        <v>0.30634766029114746</v>
      </c>
      <c r="AG47" s="553">
        <f t="shared" si="21"/>
        <v>1.9436806292988027</v>
      </c>
      <c r="AH47" s="297">
        <f t="shared" si="13"/>
        <v>0.21536011356479459</v>
      </c>
      <c r="AI47" s="296">
        <f t="shared" si="22"/>
        <v>1.3663929427816086</v>
      </c>
      <c r="AL47" s="324">
        <v>1.25</v>
      </c>
      <c r="AM47" s="324">
        <v>-8.8000000000000007</v>
      </c>
      <c r="AN47" s="324">
        <v>1.31</v>
      </c>
      <c r="AO47" s="573">
        <v>2.0499999999999998</v>
      </c>
      <c r="AP47" s="573">
        <v>2.6</v>
      </c>
      <c r="AQ47" s="324">
        <v>2.95</v>
      </c>
      <c r="AR47" s="324">
        <v>3.6</v>
      </c>
    </row>
    <row r="48" spans="1:44" ht="15" customHeight="1">
      <c r="A48" s="527" t="s">
        <v>197</v>
      </c>
      <c r="B48" s="569">
        <v>50</v>
      </c>
      <c r="C48" s="569">
        <v>34</v>
      </c>
      <c r="D48" s="567">
        <v>0.92</v>
      </c>
      <c r="E48" s="567">
        <v>0.96</v>
      </c>
      <c r="F48" s="569">
        <v>49</v>
      </c>
      <c r="G48" s="569">
        <v>35</v>
      </c>
      <c r="H48" s="141">
        <v>0.10199999999999999</v>
      </c>
      <c r="J48"/>
      <c r="K48" s="557">
        <v>9</v>
      </c>
      <c r="L48" s="557">
        <f t="shared" si="24"/>
        <v>5000</v>
      </c>
      <c r="M48" s="558">
        <f t="shared" si="14"/>
        <v>147.05882352941177</v>
      </c>
      <c r="N48" s="557">
        <f t="shared" si="15"/>
        <v>18.5</v>
      </c>
      <c r="O48" s="557">
        <f t="shared" si="23"/>
        <v>8.5</v>
      </c>
      <c r="P48" s="557">
        <f t="shared" si="1"/>
        <v>166.5</v>
      </c>
      <c r="Q48" s="557">
        <f t="shared" si="2"/>
        <v>76.5</v>
      </c>
      <c r="R48" s="573"/>
      <c r="S48" s="21">
        <f t="shared" si="3"/>
        <v>3.0424914353866095</v>
      </c>
      <c r="T48" s="475">
        <f t="shared" si="4"/>
        <v>0.73010365978438208</v>
      </c>
      <c r="U48" s="475">
        <f t="shared" si="19"/>
        <v>58.776122894144322</v>
      </c>
      <c r="V48" s="476">
        <f t="shared" si="17"/>
        <v>2.4070121992812763</v>
      </c>
      <c r="W48" s="475">
        <f t="shared" si="5"/>
        <v>60.800789173626072</v>
      </c>
      <c r="X48" s="296">
        <f t="shared" si="20"/>
        <v>2.3412187645957339</v>
      </c>
      <c r="Y48" s="296">
        <f t="shared" si="18"/>
        <v>142.34794851552249</v>
      </c>
      <c r="Z48" s="552">
        <f t="shared" si="6"/>
        <v>50.971192926107875</v>
      </c>
      <c r="AA48" s="11">
        <f t="shared" si="7"/>
        <v>0.75</v>
      </c>
      <c r="AB48" s="296">
        <f t="shared" si="8"/>
        <v>0.88033190234827263</v>
      </c>
      <c r="AC48" s="297">
        <f t="shared" si="9"/>
        <v>0.93115000000000003</v>
      </c>
      <c r="AD48" s="297">
        <f t="shared" si="10"/>
        <v>0.26872988999999997</v>
      </c>
      <c r="AE48" s="297">
        <f t="shared" si="11"/>
        <v>0.15824012020772918</v>
      </c>
      <c r="AF48" s="297">
        <f t="shared" si="12"/>
        <v>0.34824805784529977</v>
      </c>
      <c r="AG48" s="553">
        <f t="shared" si="21"/>
        <v>2.2007570354985724</v>
      </c>
      <c r="AH48" s="297">
        <f t="shared" si="13"/>
        <v>0.24049631318575543</v>
      </c>
      <c r="AI48" s="296">
        <f t="shared" si="22"/>
        <v>1.51981882262251</v>
      </c>
      <c r="AL48" s="324">
        <v>1.25</v>
      </c>
      <c r="AM48" s="324">
        <v>-9</v>
      </c>
      <c r="AN48" s="324">
        <v>1.31</v>
      </c>
      <c r="AO48" s="573">
        <v>2.0499999999999998</v>
      </c>
      <c r="AP48" s="573">
        <v>2.6</v>
      </c>
      <c r="AQ48" s="324">
        <v>2.95</v>
      </c>
      <c r="AR48" s="324">
        <v>3.6</v>
      </c>
    </row>
    <row r="49" spans="1:49" ht="15" customHeight="1">
      <c r="A49" s="567">
        <v>9.1999999999999993</v>
      </c>
      <c r="B49" s="569">
        <v>64</v>
      </c>
      <c r="C49" s="569">
        <v>44</v>
      </c>
      <c r="D49" s="567">
        <v>0.94</v>
      </c>
      <c r="E49" s="567">
        <v>0.97</v>
      </c>
      <c r="F49" s="569">
        <v>57</v>
      </c>
      <c r="G49" s="569">
        <v>36</v>
      </c>
      <c r="H49" s="141">
        <v>0.123</v>
      </c>
      <c r="J49"/>
      <c r="K49" s="557">
        <v>9.1999999999999993</v>
      </c>
      <c r="L49" s="557">
        <f t="shared" si="24"/>
        <v>6400</v>
      </c>
      <c r="M49" s="558">
        <f t="shared" si="14"/>
        <v>145.45454545454547</v>
      </c>
      <c r="N49" s="557">
        <f t="shared" si="15"/>
        <v>18.5</v>
      </c>
      <c r="O49" s="557">
        <f t="shared" si="23"/>
        <v>8.5</v>
      </c>
      <c r="P49" s="557">
        <f t="shared" si="1"/>
        <v>170.2</v>
      </c>
      <c r="Q49" s="557">
        <f t="shared" si="2"/>
        <v>78.199999999999989</v>
      </c>
      <c r="R49" s="573"/>
      <c r="S49" s="21">
        <f t="shared" si="3"/>
        <v>2.3348188618341754</v>
      </c>
      <c r="T49" s="475">
        <f t="shared" si="4"/>
        <v>0.68484409828191906</v>
      </c>
      <c r="U49" s="475">
        <f t="shared" si="19"/>
        <v>73.724329132155148</v>
      </c>
      <c r="V49" s="476">
        <f t="shared" si="17"/>
        <v>2.2561469942730654</v>
      </c>
      <c r="W49" s="475">
        <f t="shared" si="5"/>
        <v>75.738499862883714</v>
      </c>
      <c r="X49" s="296">
        <f t="shared" si="20"/>
        <v>1.8157002203180248</v>
      </c>
      <c r="Y49" s="296">
        <f t="shared" si="18"/>
        <v>137.51841088759465</v>
      </c>
      <c r="Z49" s="552">
        <f t="shared" si="6"/>
        <v>57.732055431961584</v>
      </c>
      <c r="AA49" s="11">
        <f t="shared" si="7"/>
        <v>0.75</v>
      </c>
      <c r="AB49" s="296">
        <f t="shared" si="8"/>
        <v>0.87550798434989729</v>
      </c>
      <c r="AC49" s="297">
        <f t="shared" si="9"/>
        <v>0.92835999999999996</v>
      </c>
      <c r="AD49" s="297">
        <f t="shared" si="10"/>
        <v>0.26792469600000002</v>
      </c>
      <c r="AE49" s="297">
        <f t="shared" si="11"/>
        <v>0.15863525312027349</v>
      </c>
      <c r="AF49" s="297">
        <f t="shared" si="12"/>
        <v>0.32186079943432394</v>
      </c>
      <c r="AG49" s="553">
        <f t="shared" si="21"/>
        <v>2.0289361481983876</v>
      </c>
      <c r="AH49" s="297">
        <f t="shared" si="13"/>
        <v>0.22437794945871806</v>
      </c>
      <c r="AI49" s="296">
        <f t="shared" si="22"/>
        <v>1.4144267749149051</v>
      </c>
      <c r="AL49" s="324">
        <v>1.25</v>
      </c>
      <c r="AM49" s="324">
        <v>-9.1999999999999993</v>
      </c>
      <c r="AN49" s="324">
        <v>1.31</v>
      </c>
      <c r="AO49" s="573">
        <v>2.0499999999999998</v>
      </c>
      <c r="AP49" s="573">
        <v>2.6</v>
      </c>
      <c r="AQ49" s="324">
        <v>2.95</v>
      </c>
      <c r="AR49" s="324">
        <v>3.6</v>
      </c>
    </row>
    <row r="50" spans="1:49" ht="15" customHeight="1">
      <c r="A50" s="567">
        <v>9.4</v>
      </c>
      <c r="B50" s="569">
        <v>68</v>
      </c>
      <c r="C50" s="569">
        <v>42</v>
      </c>
      <c r="D50" s="567">
        <v>0.95</v>
      </c>
      <c r="E50" s="567">
        <v>0.99</v>
      </c>
      <c r="F50" s="569">
        <v>59</v>
      </c>
      <c r="G50" s="569">
        <v>36</v>
      </c>
      <c r="H50" s="141">
        <v>0.127</v>
      </c>
      <c r="J50"/>
      <c r="K50" s="557">
        <v>9.4</v>
      </c>
      <c r="L50" s="557">
        <f t="shared" si="24"/>
        <v>6800</v>
      </c>
      <c r="M50" s="558">
        <f t="shared" si="14"/>
        <v>161.9047619047619</v>
      </c>
      <c r="N50" s="557">
        <f t="shared" si="15"/>
        <v>18.5</v>
      </c>
      <c r="O50" s="557">
        <f t="shared" si="23"/>
        <v>8.5</v>
      </c>
      <c r="P50" s="557">
        <f t="shared" si="1"/>
        <v>173.9</v>
      </c>
      <c r="Q50" s="557">
        <f t="shared" si="2"/>
        <v>79.900000000000006</v>
      </c>
      <c r="R50" s="573"/>
      <c r="S50" s="21">
        <f t="shared" si="3"/>
        <v>2.4434397595080348</v>
      </c>
      <c r="T50" s="475">
        <f t="shared" si="4"/>
        <v>0.68472678955350563</v>
      </c>
      <c r="U50" s="475">
        <f t="shared" si="19"/>
        <v>77.265713044167882</v>
      </c>
      <c r="V50" s="476">
        <f t="shared" si="17"/>
        <v>2.2557559651783525</v>
      </c>
      <c r="W50" s="475">
        <f t="shared" si="5"/>
        <v>79.29352842552052</v>
      </c>
      <c r="X50" s="296">
        <f t="shared" si="20"/>
        <v>1.8145818004449232</v>
      </c>
      <c r="Y50" s="296">
        <f t="shared" si="18"/>
        <v>143.88459357401172</v>
      </c>
      <c r="Z50" s="552">
        <f t="shared" si="6"/>
        <v>59.16154452124988</v>
      </c>
      <c r="AA50" s="11">
        <f t="shared" si="7"/>
        <v>0.75</v>
      </c>
      <c r="AB50" s="296">
        <f t="shared" si="8"/>
        <v>0.87081340239323546</v>
      </c>
      <c r="AC50" s="297">
        <f t="shared" si="9"/>
        <v>0.92301999999999995</v>
      </c>
      <c r="AD50" s="297">
        <f t="shared" si="10"/>
        <v>0.26638357199999996</v>
      </c>
      <c r="AE50" s="297">
        <f t="shared" si="11"/>
        <v>0.15857305895184418</v>
      </c>
      <c r="AF50" s="297">
        <f t="shared" si="12"/>
        <v>0.35702938107270843</v>
      </c>
      <c r="AG50" s="553">
        <f t="shared" si="21"/>
        <v>2.251513488058094</v>
      </c>
      <c r="AH50" s="297">
        <f t="shared" si="13"/>
        <v>0.24611396057021506</v>
      </c>
      <c r="AI50" s="296">
        <f t="shared" si="22"/>
        <v>1.5520540638933851</v>
      </c>
      <c r="AL50" s="324">
        <v>1.25</v>
      </c>
      <c r="AM50" s="324">
        <v>-9.4</v>
      </c>
      <c r="AN50" s="324">
        <v>1.31</v>
      </c>
      <c r="AO50" s="573">
        <v>2.0499999999999998</v>
      </c>
      <c r="AP50" s="573">
        <v>2.6</v>
      </c>
      <c r="AQ50" s="324">
        <v>2.95</v>
      </c>
      <c r="AR50" s="324">
        <v>3.6</v>
      </c>
    </row>
    <row r="51" spans="1:49" ht="15.75" customHeight="1" thickBot="1">
      <c r="A51" s="567">
        <v>9.6</v>
      </c>
      <c r="B51" s="569">
        <v>72</v>
      </c>
      <c r="C51" s="570" t="s">
        <v>178</v>
      </c>
      <c r="D51" s="567">
        <v>0.95</v>
      </c>
      <c r="E51" s="567">
        <v>1.01</v>
      </c>
      <c r="F51" s="569">
        <v>60</v>
      </c>
      <c r="G51" s="569">
        <v>36</v>
      </c>
      <c r="H51" s="141">
        <v>0.13200000000000001</v>
      </c>
      <c r="J51"/>
      <c r="K51" s="557">
        <v>9.6</v>
      </c>
      <c r="L51" s="557">
        <f t="shared" si="24"/>
        <v>7200</v>
      </c>
      <c r="M51" s="557"/>
      <c r="N51" s="557">
        <f t="shared" si="15"/>
        <v>18.5</v>
      </c>
      <c r="O51" s="557">
        <f t="shared" si="23"/>
        <v>8.5</v>
      </c>
      <c r="P51" s="557">
        <f t="shared" si="1"/>
        <v>177.6</v>
      </c>
      <c r="Q51" s="557">
        <f t="shared" si="2"/>
        <v>81.599999999999994</v>
      </c>
      <c r="R51" s="573"/>
      <c r="S51" s="21">
        <f t="shared" si="3"/>
        <v>0</v>
      </c>
      <c r="T51" s="475" t="e">
        <f t="shared" si="4"/>
        <v>#NUM!</v>
      </c>
      <c r="U51" s="475" t="e">
        <f t="shared" si="19"/>
        <v>#NUM!</v>
      </c>
      <c r="V51" s="476"/>
      <c r="W51" s="475" t="e">
        <f t="shared" si="5"/>
        <v>#NUM!</v>
      </c>
      <c r="X51" s="296">
        <f t="shared" si="20"/>
        <v>-17.88</v>
      </c>
      <c r="Y51" s="490" t="e">
        <f t="shared" si="18"/>
        <v>#NUM!</v>
      </c>
      <c r="Z51" s="552">
        <f t="shared" si="6"/>
        <v>60.49816952558632</v>
      </c>
      <c r="AA51" s="11">
        <f t="shared" si="7"/>
        <v>0.75</v>
      </c>
      <c r="AB51" s="296">
        <f t="shared" si="8"/>
        <v>0.86624204555342388</v>
      </c>
      <c r="AC51" s="297">
        <f t="shared" si="9"/>
        <v>0.91767999999999994</v>
      </c>
      <c r="AD51" s="297">
        <f t="shared" si="10"/>
        <v>0.26484244800000001</v>
      </c>
      <c r="AE51" s="297">
        <f t="shared" si="11"/>
        <v>0.15848764209273619</v>
      </c>
      <c r="AF51" s="297" t="e">
        <f>IF(Y51&lt;160,93*(Y51/1000)^3+0.08,0)</f>
        <v>#NUM!</v>
      </c>
      <c r="AG51" s="553"/>
      <c r="AH51" s="11" t="e">
        <f t="shared" si="13"/>
        <v>#NUM!</v>
      </c>
      <c r="AI51" s="11"/>
      <c r="AL51" s="324">
        <v>1.25</v>
      </c>
      <c r="AM51" s="324">
        <v>-9.6</v>
      </c>
      <c r="AN51" s="324">
        <v>1.31</v>
      </c>
      <c r="AO51" s="573">
        <v>2.0499999999999998</v>
      </c>
      <c r="AP51" s="573">
        <v>2.6</v>
      </c>
      <c r="AQ51" s="324">
        <v>2.95</v>
      </c>
      <c r="AR51" s="324">
        <v>3.6</v>
      </c>
    </row>
    <row r="52" spans="1:49">
      <c r="T52" s="550"/>
      <c r="AR52" s="207"/>
      <c r="AS52" s="207"/>
      <c r="AT52" s="207"/>
      <c r="AU52" s="207"/>
      <c r="AV52" s="207"/>
      <c r="AW52" s="207"/>
    </row>
    <row r="56" spans="1:49">
      <c r="M56" s="695" t="s">
        <v>600</v>
      </c>
      <c r="N56" s="695"/>
      <c r="O56" s="695"/>
      <c r="P56" s="695" t="s">
        <v>601</v>
      </c>
      <c r="Q56" s="695"/>
      <c r="R56" s="695"/>
      <c r="S56" s="695" t="s">
        <v>602</v>
      </c>
      <c r="T56" s="695"/>
      <c r="U56" s="695"/>
      <c r="V56" s="695" t="s">
        <v>603</v>
      </c>
      <c r="W56" s="695"/>
      <c r="X56" s="695"/>
      <c r="Y56" s="697" t="s">
        <v>604</v>
      </c>
      <c r="Z56" s="698"/>
      <c r="AA56" s="699"/>
      <c r="AB56" s="695" t="s">
        <v>605</v>
      </c>
      <c r="AC56" s="695"/>
      <c r="AD56" s="695"/>
      <c r="AE56" s="695" t="s">
        <v>606</v>
      </c>
      <c r="AF56" s="695"/>
      <c r="AG56" s="695"/>
      <c r="AH56" s="695" t="s">
        <v>607</v>
      </c>
      <c r="AI56" s="695"/>
      <c r="AJ56" s="695"/>
    </row>
    <row r="57" spans="1:49">
      <c r="K57" s="543" t="s">
        <v>594</v>
      </c>
      <c r="L57" s="543" t="s">
        <v>598</v>
      </c>
      <c r="M57" s="543" t="s">
        <v>529</v>
      </c>
      <c r="N57" s="543" t="s">
        <v>599</v>
      </c>
      <c r="O57" s="543" t="s">
        <v>598</v>
      </c>
      <c r="P57" s="543" t="s">
        <v>529</v>
      </c>
      <c r="Q57" s="543" t="s">
        <v>599</v>
      </c>
      <c r="R57" s="543" t="s">
        <v>598</v>
      </c>
      <c r="S57" s="543" t="s">
        <v>529</v>
      </c>
      <c r="T57" s="543" t="s">
        <v>599</v>
      </c>
      <c r="U57" s="543" t="s">
        <v>598</v>
      </c>
      <c r="V57" s="543" t="s">
        <v>529</v>
      </c>
      <c r="W57" s="543" t="s">
        <v>599</v>
      </c>
      <c r="X57" s="543" t="s">
        <v>598</v>
      </c>
      <c r="Y57" s="543" t="s">
        <v>529</v>
      </c>
      <c r="Z57" s="543" t="s">
        <v>599</v>
      </c>
      <c r="AA57" s="543" t="s">
        <v>598</v>
      </c>
      <c r="AB57" s="543" t="s">
        <v>529</v>
      </c>
      <c r="AC57" s="543" t="s">
        <v>599</v>
      </c>
      <c r="AD57" s="543" t="s">
        <v>598</v>
      </c>
      <c r="AE57" s="543" t="s">
        <v>529</v>
      </c>
      <c r="AF57" s="543" t="s">
        <v>599</v>
      </c>
      <c r="AG57" s="543" t="s">
        <v>598</v>
      </c>
      <c r="AH57" s="543" t="s">
        <v>529</v>
      </c>
      <c r="AI57" s="543" t="s">
        <v>599</v>
      </c>
      <c r="AJ57" s="543" t="s">
        <v>598</v>
      </c>
    </row>
    <row r="58" spans="1:49">
      <c r="K58" s="540" t="s">
        <v>176</v>
      </c>
      <c r="L58" s="540" t="s">
        <v>176</v>
      </c>
      <c r="M58" s="540" t="s">
        <v>176</v>
      </c>
      <c r="N58" s="540" t="s">
        <v>176</v>
      </c>
      <c r="O58" s="540" t="s">
        <v>176</v>
      </c>
      <c r="P58" s="540" t="s">
        <v>176</v>
      </c>
      <c r="Q58" s="540" t="s">
        <v>176</v>
      </c>
      <c r="R58" s="540" t="s">
        <v>176</v>
      </c>
      <c r="S58" s="540" t="s">
        <v>176</v>
      </c>
      <c r="T58" s="540" t="s">
        <v>176</v>
      </c>
      <c r="U58" s="540" t="s">
        <v>176</v>
      </c>
      <c r="V58" s="540" t="s">
        <v>176</v>
      </c>
      <c r="W58" s="540" t="s">
        <v>176</v>
      </c>
      <c r="X58" s="540" t="s">
        <v>176</v>
      </c>
      <c r="Y58" s="540" t="s">
        <v>176</v>
      </c>
      <c r="Z58" s="540" t="s">
        <v>176</v>
      </c>
      <c r="AA58" s="540" t="s">
        <v>176</v>
      </c>
      <c r="AB58" s="540" t="s">
        <v>176</v>
      </c>
      <c r="AC58" s="540" t="s">
        <v>176</v>
      </c>
      <c r="AD58" s="540" t="s">
        <v>176</v>
      </c>
      <c r="AE58" s="540" t="s">
        <v>176</v>
      </c>
      <c r="AF58" s="540" t="s">
        <v>176</v>
      </c>
      <c r="AG58" s="540" t="s">
        <v>176</v>
      </c>
      <c r="AH58" s="540" t="s">
        <v>176</v>
      </c>
      <c r="AI58" s="540" t="s">
        <v>176</v>
      </c>
      <c r="AJ58" s="540" t="s">
        <v>176</v>
      </c>
    </row>
    <row r="59" spans="1:49">
      <c r="K59" s="278">
        <f t="shared" ref="K59:K106" si="25">((L4-P4)/$R$4)*(($R$4/Q4)^$R$10)</f>
        <v>431.43243243243239</v>
      </c>
      <c r="L59" s="11" t="e">
        <f t="shared" ref="L59:L106" si="26">((3.47-LOG(K59))^2+(LOG(S4)+1.22)^2)^0.5</f>
        <v>#VALUE!</v>
      </c>
      <c r="M59" s="11" t="e">
        <f>((L59-1.64)*0.3)+0.5</f>
        <v>#VALUE!</v>
      </c>
      <c r="N59" s="11" t="e">
        <f t="shared" ref="N59:N106" si="27">((L4-P4)/$R$4)*(($R$4/Q4)^M59)</f>
        <v>#VALUE!</v>
      </c>
      <c r="O59" s="296" t="e">
        <f t="shared" ref="O59:O106" si="28">((3.47-LOG(N59))^2+(LOG(S4)+1.22)^2)^0.5</f>
        <v>#VALUE!</v>
      </c>
      <c r="P59" s="11" t="e">
        <f>((O59-1.64)*0.3)+0.5</f>
        <v>#VALUE!</v>
      </c>
      <c r="Q59" s="296" t="e">
        <f t="shared" ref="Q59:Q106" si="29">(($L4-$P4)/$R$4)*(($R$4/$Q4)^P59)</f>
        <v>#VALUE!</v>
      </c>
      <c r="R59" s="296" t="e">
        <f t="shared" ref="R59:R106" si="30">((3.47-LOG(Q59))^2+(LOG($S4)+1.22)^2)^0.5</f>
        <v>#VALUE!</v>
      </c>
      <c r="S59" s="296" t="e">
        <f>((R59-1.64)*0.3)+0.5</f>
        <v>#VALUE!</v>
      </c>
      <c r="T59" s="296" t="e">
        <f t="shared" ref="T59:T106" si="31">(($L4-$P4)/$R$4)*(($R$4/$Q4)^S59)</f>
        <v>#VALUE!</v>
      </c>
      <c r="U59" s="296" t="e">
        <f t="shared" ref="U59:U106" si="32">((3.47-LOG(T59))^2+(LOG($S4)+1.22)^2)^0.5</f>
        <v>#VALUE!</v>
      </c>
      <c r="V59" s="296" t="e">
        <f t="shared" ref="V59:V106" si="33">((U59-1.64)*0.3)+0.5</f>
        <v>#VALUE!</v>
      </c>
      <c r="W59" s="296" t="e">
        <f t="shared" ref="W59:W106" si="34">(($L4-$P4)/$R$4)*(($R$4/$Q4)^V59)</f>
        <v>#VALUE!</v>
      </c>
      <c r="X59" s="296" t="e">
        <f t="shared" ref="X59:X106" si="35">((3.47-LOG(W59))^2+(LOG($S4)+1.22)^2)^0.5</f>
        <v>#VALUE!</v>
      </c>
      <c r="Y59" s="296" t="e">
        <f t="shared" ref="Y59:Y106" si="36">((X59-1.64)*0.3)+0.5</f>
        <v>#VALUE!</v>
      </c>
      <c r="Z59" s="296" t="e">
        <f t="shared" ref="Z59:Z106" si="37">(($L4-$P4)/$R$4)*(($R$4/$Q4)^Y59)</f>
        <v>#VALUE!</v>
      </c>
      <c r="AA59" s="296" t="e">
        <f t="shared" ref="AA59:AA106" si="38">((3.47-LOG(Z59))^2+(LOG($S4)+1.22)^2)^0.5</f>
        <v>#VALUE!</v>
      </c>
      <c r="AB59" s="296" t="e">
        <f t="shared" ref="AB59:AB106" si="39">((AA59-1.64)*0.3)+0.5</f>
        <v>#VALUE!</v>
      </c>
      <c r="AC59" s="296" t="e">
        <f t="shared" ref="AC59:AC106" si="40">(($L4-$P4)/$R$4)*(($R$4/$Q4)^AB59)</f>
        <v>#VALUE!</v>
      </c>
      <c r="AD59" s="296" t="e">
        <f t="shared" ref="AD59:AD106" si="41">((3.47-LOG(AC59))^2+(LOG($S4)+1.22)^2)^0.5</f>
        <v>#VALUE!</v>
      </c>
      <c r="AE59" s="296" t="e">
        <f t="shared" ref="AE59:AE106" si="42">((AD59-1.64)*0.3)+0.5</f>
        <v>#VALUE!</v>
      </c>
      <c r="AF59" s="296" t="e">
        <f t="shared" ref="AF59:AF106" si="43">(($L4-$P4)/$R$4)*(($R$4/$Q4)^AE59)</f>
        <v>#VALUE!</v>
      </c>
      <c r="AG59" s="296" t="e">
        <f t="shared" ref="AG59:AG106" si="44">((3.47-LOG(AF59))^2+(LOG($S4)+1.22)^2)^0.5</f>
        <v>#VALUE!</v>
      </c>
      <c r="AH59" s="475" t="e">
        <f t="shared" ref="AH59:AH106" si="45">((AG59-1.64)*0.3)+0.5</f>
        <v>#VALUE!</v>
      </c>
      <c r="AI59" s="475" t="e">
        <f t="shared" ref="AI59:AI106" si="46">(($L4-$P4)/$R$4)*(($R$4/$Q4)^AH59)</f>
        <v>#VALUE!</v>
      </c>
      <c r="AJ59" s="475" t="e">
        <f t="shared" ref="AJ59:AJ106" si="47">((3.47-LOG(AI59))^2+(LOG($S4)+1.22)^2)^0.5</f>
        <v>#VALUE!</v>
      </c>
    </row>
    <row r="60" spans="1:49">
      <c r="K60" s="278">
        <f t="shared" si="25"/>
        <v>350.3513513513513</v>
      </c>
      <c r="L60" s="296">
        <f t="shared" si="26"/>
        <v>2.0295651271845845</v>
      </c>
      <c r="M60" s="296">
        <f t="shared" ref="M60:M106" si="48">((L60-1.64)*0.3)+0.5</f>
        <v>0.61686953815537537</v>
      </c>
      <c r="N60" s="11">
        <f t="shared" si="27"/>
        <v>129.20282915307666</v>
      </c>
      <c r="O60" s="296">
        <f t="shared" si="28"/>
        <v>2.2602506714431607</v>
      </c>
      <c r="P60" s="11">
        <f t="shared" ref="P60:P106" si="49">((O60-1.64)*0.3)+0.5</f>
        <v>0.6860752014329482</v>
      </c>
      <c r="Q60" s="296">
        <f t="shared" si="29"/>
        <v>154.71327959644458</v>
      </c>
      <c r="R60" s="296">
        <f t="shared" si="30"/>
        <v>2.2140914548390209</v>
      </c>
      <c r="S60" s="296">
        <f>((R60-1.64)*0.3)+0.5</f>
        <v>0.67222743645170624</v>
      </c>
      <c r="T60" s="296">
        <f t="shared" si="31"/>
        <v>149.23441207023748</v>
      </c>
      <c r="U60" s="296">
        <f t="shared" si="32"/>
        <v>2.2231839796447512</v>
      </c>
      <c r="V60" s="296">
        <f t="shared" si="33"/>
        <v>0.6749551938934254</v>
      </c>
      <c r="W60" s="296">
        <f t="shared" si="34"/>
        <v>150.29808272517334</v>
      </c>
      <c r="X60" s="296">
        <f t="shared" si="35"/>
        <v>2.2213871316249318</v>
      </c>
      <c r="Y60" s="296">
        <f t="shared" si="36"/>
        <v>0.67441613948747958</v>
      </c>
      <c r="Z60" s="296">
        <f t="shared" si="37"/>
        <v>150.08728272371104</v>
      </c>
      <c r="AA60" s="296">
        <f t="shared" si="38"/>
        <v>2.2217419971359211</v>
      </c>
      <c r="AB60" s="296">
        <f t="shared" si="39"/>
        <v>0.67452259914077639</v>
      </c>
      <c r="AC60" s="296">
        <f t="shared" si="40"/>
        <v>150.12889087697425</v>
      </c>
      <c r="AD60" s="296">
        <f t="shared" si="41"/>
        <v>2.2216719048011795</v>
      </c>
      <c r="AE60" s="296">
        <f t="shared" si="42"/>
        <v>0.67450157144035383</v>
      </c>
      <c r="AF60" s="296">
        <f t="shared" si="43"/>
        <v>150.12067160266824</v>
      </c>
      <c r="AG60" s="296">
        <f t="shared" si="44"/>
        <v>2.2216857489589867</v>
      </c>
      <c r="AH60" s="475">
        <f t="shared" si="45"/>
        <v>0.67450572468769598</v>
      </c>
      <c r="AI60" s="475">
        <f t="shared" si="46"/>
        <v>150.12229498176211</v>
      </c>
      <c r="AJ60" s="475">
        <f t="shared" si="47"/>
        <v>2.221683014542442</v>
      </c>
    </row>
    <row r="61" spans="1:49">
      <c r="K61" s="278">
        <f t="shared" si="25"/>
        <v>269.27027027027026</v>
      </c>
      <c r="L61" s="296">
        <f t="shared" si="26"/>
        <v>1.8817753363538294</v>
      </c>
      <c r="M61" s="296">
        <f t="shared" si="48"/>
        <v>0.57253260090614888</v>
      </c>
      <c r="N61" s="11">
        <f t="shared" si="27"/>
        <v>105.21922605961755</v>
      </c>
      <c r="O61" s="296">
        <f t="shared" si="28"/>
        <v>2.1345488649169808</v>
      </c>
      <c r="P61" s="11">
        <f t="shared" si="49"/>
        <v>0.64836465947509425</v>
      </c>
      <c r="Q61" s="296">
        <f t="shared" si="29"/>
        <v>124.30546623097999</v>
      </c>
      <c r="R61" s="296">
        <f t="shared" si="30"/>
        <v>2.0861201792247521</v>
      </c>
      <c r="S61" s="296">
        <f t="shared" ref="S61:S106" si="50">((R61-1.64)*0.3)+0.5</f>
        <v>0.63383605376742569</v>
      </c>
      <c r="T61" s="296">
        <f t="shared" si="31"/>
        <v>120.39822957663978</v>
      </c>
      <c r="U61" s="296">
        <f t="shared" si="32"/>
        <v>2.095291571680348</v>
      </c>
      <c r="V61" s="296">
        <f t="shared" si="33"/>
        <v>0.63658747150410444</v>
      </c>
      <c r="W61" s="296">
        <f t="shared" si="34"/>
        <v>121.1286330184585</v>
      </c>
      <c r="X61" s="296">
        <f t="shared" si="35"/>
        <v>2.0935507300137286</v>
      </c>
      <c r="Y61" s="296">
        <f t="shared" si="36"/>
        <v>0.63606521900411861</v>
      </c>
      <c r="Z61" s="296">
        <f t="shared" si="37"/>
        <v>120.98965368184497</v>
      </c>
      <c r="AA61" s="296">
        <f t="shared" si="38"/>
        <v>2.0938810208213812</v>
      </c>
      <c r="AB61" s="296">
        <f t="shared" si="39"/>
        <v>0.6361643062464144</v>
      </c>
      <c r="AC61" s="296">
        <f t="shared" si="40"/>
        <v>121.01601004193367</v>
      </c>
      <c r="AD61" s="296">
        <f t="shared" si="41"/>
        <v>2.0938183494513014</v>
      </c>
      <c r="AE61" s="296">
        <f t="shared" si="42"/>
        <v>0.63614550483539045</v>
      </c>
      <c r="AF61" s="296">
        <f t="shared" si="43"/>
        <v>121.01100858587981</v>
      </c>
      <c r="AG61" s="296">
        <f t="shared" si="44"/>
        <v>2.093830240910751</v>
      </c>
      <c r="AH61" s="475">
        <f t="shared" si="45"/>
        <v>0.63614907227322526</v>
      </c>
      <c r="AI61" s="475">
        <f t="shared" si="46"/>
        <v>121.01195756171913</v>
      </c>
      <c r="AJ61" s="475">
        <f t="shared" si="47"/>
        <v>2.0938279845818473</v>
      </c>
    </row>
    <row r="62" spans="1:49">
      <c r="K62" s="278">
        <f t="shared" si="25"/>
        <v>167.91891891891888</v>
      </c>
      <c r="L62" s="296">
        <f t="shared" si="26"/>
        <v>2.0999036372192919</v>
      </c>
      <c r="M62" s="296">
        <f t="shared" si="48"/>
        <v>0.63797109116578754</v>
      </c>
      <c r="N62" s="11">
        <f t="shared" si="27"/>
        <v>84.083423083421948</v>
      </c>
      <c r="O62" s="296">
        <f t="shared" si="28"/>
        <v>2.2907942621136201</v>
      </c>
      <c r="P62" s="11">
        <f t="shared" si="49"/>
        <v>0.69523827863408605</v>
      </c>
      <c r="Q62" s="296">
        <f t="shared" si="29"/>
        <v>93.805253546819358</v>
      </c>
      <c r="R62" s="296">
        <f t="shared" si="30"/>
        <v>2.259013463563142</v>
      </c>
      <c r="S62" s="296">
        <f t="shared" si="50"/>
        <v>0.68570403906894262</v>
      </c>
      <c r="T62" s="296">
        <f t="shared" si="31"/>
        <v>92.112005504696825</v>
      </c>
      <c r="U62" s="296">
        <f t="shared" si="32"/>
        <v>2.2642663147707833</v>
      </c>
      <c r="V62" s="296">
        <f t="shared" si="33"/>
        <v>0.68727989443123505</v>
      </c>
      <c r="W62" s="296">
        <f t="shared" si="34"/>
        <v>92.389748648853995</v>
      </c>
      <c r="X62" s="296">
        <f t="shared" si="35"/>
        <v>2.2633970371397965</v>
      </c>
      <c r="Y62" s="296">
        <f t="shared" si="36"/>
        <v>0.68701911114193892</v>
      </c>
      <c r="Z62" s="296">
        <f t="shared" si="37"/>
        <v>92.343728059525546</v>
      </c>
      <c r="AA62" s="296">
        <f t="shared" si="38"/>
        <v>2.2635408620253945</v>
      </c>
      <c r="AB62" s="296">
        <f t="shared" si="39"/>
        <v>0.68706225860761838</v>
      </c>
      <c r="AC62" s="296">
        <f t="shared" si="40"/>
        <v>92.351340736714903</v>
      </c>
      <c r="AD62" s="296">
        <f t="shared" si="41"/>
        <v>2.2635170649208445</v>
      </c>
      <c r="AE62" s="296">
        <f t="shared" si="42"/>
        <v>0.68705511947625331</v>
      </c>
      <c r="AF62" s="296">
        <f t="shared" si="43"/>
        <v>92.350081108342735</v>
      </c>
      <c r="AG62" s="296">
        <f t="shared" si="44"/>
        <v>2.2635210023412995</v>
      </c>
      <c r="AH62" s="475">
        <f t="shared" si="45"/>
        <v>0.68705630070238988</v>
      </c>
      <c r="AI62" s="475">
        <f t="shared" si="46"/>
        <v>92.350289522701743</v>
      </c>
      <c r="AJ62" s="475">
        <f t="shared" si="47"/>
        <v>2.2635203508631325</v>
      </c>
    </row>
    <row r="63" spans="1:49">
      <c r="K63" s="278">
        <f t="shared" si="25"/>
        <v>90.891891891891902</v>
      </c>
      <c r="L63" s="296">
        <f t="shared" si="26"/>
        <v>2.2894513592964287</v>
      </c>
      <c r="M63" s="296">
        <f t="shared" si="48"/>
        <v>0.69483540778892861</v>
      </c>
      <c r="N63" s="11">
        <f t="shared" si="27"/>
        <v>54.311513141210739</v>
      </c>
      <c r="O63" s="296">
        <f t="shared" si="28"/>
        <v>2.4428735934765013</v>
      </c>
      <c r="P63" s="11">
        <f t="shared" si="49"/>
        <v>0.74086207804295046</v>
      </c>
      <c r="Q63" s="296">
        <f t="shared" si="29"/>
        <v>58.697762649047753</v>
      </c>
      <c r="R63" s="296">
        <f t="shared" si="30"/>
        <v>2.4190328483959185</v>
      </c>
      <c r="S63" s="296">
        <f t="shared" si="50"/>
        <v>0.73370985451877557</v>
      </c>
      <c r="T63" s="296">
        <f t="shared" si="31"/>
        <v>57.993617015363341</v>
      </c>
      <c r="U63" s="296">
        <f t="shared" si="32"/>
        <v>2.4227221133967594</v>
      </c>
      <c r="V63" s="296">
        <f t="shared" si="33"/>
        <v>0.73481663401902786</v>
      </c>
      <c r="W63" s="296">
        <f t="shared" si="34"/>
        <v>58.102025883404828</v>
      </c>
      <c r="X63" s="296">
        <f t="shared" si="35"/>
        <v>2.4221508393515894</v>
      </c>
      <c r="Y63" s="296">
        <f t="shared" si="36"/>
        <v>0.7346452518054768</v>
      </c>
      <c r="Z63" s="296">
        <f t="shared" si="37"/>
        <v>58.085225773138703</v>
      </c>
      <c r="AA63" s="296">
        <f t="shared" si="38"/>
        <v>2.4222392908444688</v>
      </c>
      <c r="AB63" s="296">
        <f t="shared" si="39"/>
        <v>0.73467178725334059</v>
      </c>
      <c r="AC63" s="296">
        <f t="shared" si="40"/>
        <v>58.087826649640881</v>
      </c>
      <c r="AD63" s="296">
        <f t="shared" si="41"/>
        <v>2.4222255955097345</v>
      </c>
      <c r="AE63" s="296">
        <f t="shared" si="42"/>
        <v>0.73466767865292038</v>
      </c>
      <c r="AF63" s="296">
        <f t="shared" si="43"/>
        <v>58.087423936841745</v>
      </c>
      <c r="AG63" s="296">
        <f t="shared" si="44"/>
        <v>2.4222277160136629</v>
      </c>
      <c r="AH63" s="475">
        <f t="shared" si="45"/>
        <v>0.73466831480409889</v>
      </c>
      <c r="AI63" s="475">
        <f t="shared" si="46"/>
        <v>58.087486290306437</v>
      </c>
      <c r="AJ63" s="475">
        <f t="shared" si="47"/>
        <v>2.4222273876873612</v>
      </c>
    </row>
    <row r="64" spans="1:49">
      <c r="K64" s="278">
        <f t="shared" si="25"/>
        <v>53.054054054054049</v>
      </c>
      <c r="L64" s="296">
        <f t="shared" si="26"/>
        <v>2.5694012473805903</v>
      </c>
      <c r="M64" s="296">
        <f t="shared" si="48"/>
        <v>0.77882037421417705</v>
      </c>
      <c r="N64" s="11">
        <f t="shared" si="27"/>
        <v>38.031650295585102</v>
      </c>
      <c r="O64" s="296">
        <f t="shared" si="28"/>
        <v>2.6697128673413189</v>
      </c>
      <c r="P64" s="11">
        <f t="shared" si="49"/>
        <v>0.80891386020239575</v>
      </c>
      <c r="Q64" s="296">
        <f t="shared" si="29"/>
        <v>39.793825265795618</v>
      </c>
      <c r="R64" s="296">
        <f t="shared" si="30"/>
        <v>2.655824707683784</v>
      </c>
      <c r="S64" s="296">
        <f t="shared" si="50"/>
        <v>0.80474741230513525</v>
      </c>
      <c r="T64" s="296">
        <f t="shared" si="31"/>
        <v>39.545065785843803</v>
      </c>
      <c r="U64" s="296">
        <f t="shared" si="32"/>
        <v>2.6577431710659387</v>
      </c>
      <c r="V64" s="296">
        <f t="shared" si="33"/>
        <v>0.80532295131978171</v>
      </c>
      <c r="W64" s="296">
        <f t="shared" si="34"/>
        <v>39.579335790424736</v>
      </c>
      <c r="X64" s="296">
        <f t="shared" si="35"/>
        <v>2.6574780773320472</v>
      </c>
      <c r="Y64" s="296">
        <f t="shared" si="36"/>
        <v>0.80524342319961417</v>
      </c>
      <c r="Z64" s="296">
        <f t="shared" si="37"/>
        <v>39.574598585138077</v>
      </c>
      <c r="AA64" s="296">
        <f t="shared" si="38"/>
        <v>2.657514706451849</v>
      </c>
      <c r="AB64" s="296">
        <f t="shared" si="39"/>
        <v>0.80525441193555469</v>
      </c>
      <c r="AC64" s="296">
        <f t="shared" si="40"/>
        <v>39.575253111020899</v>
      </c>
      <c r="AD64" s="296">
        <f t="shared" si="41"/>
        <v>2.6575096452213227</v>
      </c>
      <c r="AE64" s="296">
        <f t="shared" si="42"/>
        <v>0.80525289356639684</v>
      </c>
      <c r="AF64" s="296">
        <f t="shared" si="43"/>
        <v>39.575162671228597</v>
      </c>
      <c r="AG64" s="296">
        <f t="shared" si="44"/>
        <v>2.6575103445565307</v>
      </c>
      <c r="AH64" s="475">
        <f t="shared" si="45"/>
        <v>0.80525310336695921</v>
      </c>
      <c r="AI64" s="475">
        <f t="shared" si="46"/>
        <v>39.575175167728872</v>
      </c>
      <c r="AJ64" s="475">
        <f t="shared" si="47"/>
        <v>2.6575102479259214</v>
      </c>
    </row>
    <row r="65" spans="11:36">
      <c r="K65" s="278">
        <f t="shared" si="25"/>
        <v>91.664092664092664</v>
      </c>
      <c r="L65" s="296">
        <f t="shared" si="26"/>
        <v>2.1778600711890488</v>
      </c>
      <c r="M65" s="296">
        <f t="shared" si="48"/>
        <v>0.66135802135671462</v>
      </c>
      <c r="N65" s="11">
        <f t="shared" si="27"/>
        <v>58.012010268964907</v>
      </c>
      <c r="O65" s="296">
        <f t="shared" si="28"/>
        <v>2.3198475112652699</v>
      </c>
      <c r="P65" s="11">
        <f t="shared" si="49"/>
        <v>0.70395425337958095</v>
      </c>
      <c r="Q65" s="296">
        <f t="shared" si="29"/>
        <v>61.448195602167289</v>
      </c>
      <c r="R65" s="296">
        <f t="shared" si="30"/>
        <v>2.3015262110781811</v>
      </c>
      <c r="S65" s="296">
        <f t="shared" si="50"/>
        <v>0.69845786332345439</v>
      </c>
      <c r="T65" s="296">
        <f t="shared" si="31"/>
        <v>60.993618807135043</v>
      </c>
      <c r="U65" s="296">
        <f t="shared" si="32"/>
        <v>2.3038832475851048</v>
      </c>
      <c r="V65" s="296">
        <f t="shared" si="33"/>
        <v>0.69916497427553148</v>
      </c>
      <c r="W65" s="296">
        <f t="shared" si="34"/>
        <v>61.051911130341125</v>
      </c>
      <c r="X65" s="296">
        <f t="shared" si="35"/>
        <v>2.3035798968347514</v>
      </c>
      <c r="Y65" s="296">
        <f t="shared" si="36"/>
        <v>0.6990739690504254</v>
      </c>
      <c r="Z65" s="296">
        <f t="shared" si="37"/>
        <v>61.04440578211468</v>
      </c>
      <c r="AA65" s="296">
        <f t="shared" si="38"/>
        <v>2.3036189361465751</v>
      </c>
      <c r="AB65" s="296">
        <f t="shared" si="39"/>
        <v>0.69908568084397249</v>
      </c>
      <c r="AC65" s="296">
        <f t="shared" si="40"/>
        <v>61.045371620954484</v>
      </c>
      <c r="AD65" s="296">
        <f t="shared" si="41"/>
        <v>2.3036139120031991</v>
      </c>
      <c r="AE65" s="296">
        <f t="shared" si="42"/>
        <v>0.69908417360095976</v>
      </c>
      <c r="AF65" s="296">
        <f t="shared" si="43"/>
        <v>61.045247321984284</v>
      </c>
      <c r="AG65" s="296">
        <f t="shared" si="44"/>
        <v>2.3036145585821117</v>
      </c>
      <c r="AH65" s="475">
        <f t="shared" si="45"/>
        <v>0.69908436757463355</v>
      </c>
      <c r="AI65" s="475">
        <f t="shared" si="46"/>
        <v>61.045263318546432</v>
      </c>
      <c r="AJ65" s="475">
        <f t="shared" si="47"/>
        <v>2.3036144753710439</v>
      </c>
    </row>
    <row r="66" spans="11:36">
      <c r="K66" s="278">
        <f t="shared" si="25"/>
        <v>66.567567567567565</v>
      </c>
      <c r="L66" s="296">
        <f t="shared" si="26"/>
        <v>2.193031506385922</v>
      </c>
      <c r="M66" s="296">
        <f t="shared" si="48"/>
        <v>0.66590945191577666</v>
      </c>
      <c r="N66" s="11">
        <f t="shared" si="27"/>
        <v>44.322703812629463</v>
      </c>
      <c r="O66" s="296">
        <f t="shared" si="28"/>
        <v>2.3285908314323076</v>
      </c>
      <c r="P66" s="11">
        <f t="shared" si="49"/>
        <v>0.70657724942969224</v>
      </c>
      <c r="Q66" s="296">
        <f t="shared" si="29"/>
        <v>46.57229582151281</v>
      </c>
      <c r="R66" s="296">
        <f t="shared" si="30"/>
        <v>2.3117931109093588</v>
      </c>
      <c r="S66" s="296">
        <f t="shared" si="50"/>
        <v>0.70153793327280767</v>
      </c>
      <c r="T66" s="296">
        <f t="shared" si="31"/>
        <v>46.287456738985725</v>
      </c>
      <c r="U66" s="296">
        <f t="shared" si="32"/>
        <v>2.3138703604607063</v>
      </c>
      <c r="V66" s="296">
        <f t="shared" si="33"/>
        <v>0.70216110813821186</v>
      </c>
      <c r="W66" s="296">
        <f t="shared" si="34"/>
        <v>46.322586063975272</v>
      </c>
      <c r="X66" s="296">
        <f t="shared" si="35"/>
        <v>2.3136134172162723</v>
      </c>
      <c r="Y66" s="296">
        <f t="shared" si="36"/>
        <v>0.70208402516488166</v>
      </c>
      <c r="Z66" s="296">
        <f t="shared" si="37"/>
        <v>46.318239333759159</v>
      </c>
      <c r="AA66" s="296">
        <f t="shared" si="38"/>
        <v>2.3136451985499384</v>
      </c>
      <c r="AB66" s="296">
        <f t="shared" si="39"/>
        <v>0.70209355956498154</v>
      </c>
      <c r="AC66" s="296">
        <f t="shared" si="40"/>
        <v>46.31877695911556</v>
      </c>
      <c r="AD66" s="296">
        <f t="shared" si="41"/>
        <v>2.3136412674985918</v>
      </c>
      <c r="AE66" s="296">
        <f t="shared" si="42"/>
        <v>0.70209238024957754</v>
      </c>
      <c r="AF66" s="296">
        <f t="shared" si="43"/>
        <v>46.318710459589397</v>
      </c>
      <c r="AG66" s="296">
        <f t="shared" si="44"/>
        <v>2.313641753732349</v>
      </c>
      <c r="AH66" s="475">
        <f t="shared" si="45"/>
        <v>0.70209252611970474</v>
      </c>
      <c r="AI66" s="475">
        <f t="shared" si="46"/>
        <v>46.31871868494472</v>
      </c>
      <c r="AJ66" s="475">
        <f t="shared" si="47"/>
        <v>2.313641693589843</v>
      </c>
    </row>
    <row r="67" spans="11:36">
      <c r="K67" s="278">
        <f t="shared" si="25"/>
        <v>56.647058823529406</v>
      </c>
      <c r="L67" s="296">
        <f t="shared" si="26"/>
        <v>2.4195342986502824</v>
      </c>
      <c r="M67" s="296">
        <f t="shared" si="48"/>
        <v>0.73386028959508476</v>
      </c>
      <c r="N67" s="11">
        <f t="shared" si="27"/>
        <v>34.37093759178186</v>
      </c>
      <c r="O67" s="296">
        <f t="shared" si="28"/>
        <v>2.5780384106007794</v>
      </c>
      <c r="P67" s="11">
        <f t="shared" si="49"/>
        <v>0.78141152318023388</v>
      </c>
      <c r="Q67" s="296">
        <f t="shared" si="29"/>
        <v>37.580305603822488</v>
      </c>
      <c r="R67" s="296">
        <f t="shared" si="30"/>
        <v>2.5490864444190935</v>
      </c>
      <c r="S67" s="296">
        <f t="shared" si="50"/>
        <v>0.77272593332572814</v>
      </c>
      <c r="T67" s="296">
        <f t="shared" si="31"/>
        <v>36.972504598843649</v>
      </c>
      <c r="U67" s="296">
        <f t="shared" si="32"/>
        <v>2.5543553104132348</v>
      </c>
      <c r="V67" s="296">
        <f t="shared" si="33"/>
        <v>0.77430659312397054</v>
      </c>
      <c r="W67" s="296">
        <f t="shared" si="34"/>
        <v>37.082379752933669</v>
      </c>
      <c r="X67" s="296">
        <f t="shared" si="35"/>
        <v>2.553395795548965</v>
      </c>
      <c r="Y67" s="296">
        <f t="shared" si="36"/>
        <v>0.77401873866468951</v>
      </c>
      <c r="Z67" s="296">
        <f t="shared" si="37"/>
        <v>37.062346064530878</v>
      </c>
      <c r="AA67" s="296">
        <f t="shared" si="38"/>
        <v>2.5535705115206997</v>
      </c>
      <c r="AB67" s="296">
        <f t="shared" si="39"/>
        <v>0.77407115345620991</v>
      </c>
      <c r="AC67" s="296">
        <f t="shared" si="40"/>
        <v>37.065993149088662</v>
      </c>
      <c r="AD67" s="296">
        <f t="shared" si="41"/>
        <v>2.5535386971539169</v>
      </c>
      <c r="AE67" s="296">
        <f t="shared" si="42"/>
        <v>0.77406160914617517</v>
      </c>
      <c r="AF67" s="296">
        <f t="shared" si="43"/>
        <v>37.065329017734058</v>
      </c>
      <c r="AG67" s="296">
        <f t="shared" si="44"/>
        <v>2.5535444902693145</v>
      </c>
      <c r="AH67" s="475">
        <f t="shared" si="45"/>
        <v>0.77406334708079438</v>
      </c>
      <c r="AI67" s="475">
        <f t="shared" si="46"/>
        <v>37.065449949305972</v>
      </c>
      <c r="AJ67" s="475">
        <f t="shared" si="47"/>
        <v>2.5535434353933431</v>
      </c>
    </row>
    <row r="68" spans="11:36">
      <c r="K68" s="278">
        <f t="shared" si="25"/>
        <v>56.64705882352942</v>
      </c>
      <c r="L68" s="296">
        <f t="shared" si="26"/>
        <v>2.1057708574581615</v>
      </c>
      <c r="M68" s="296">
        <f t="shared" si="48"/>
        <v>0.6397312572374485</v>
      </c>
      <c r="N68" s="11">
        <f t="shared" si="27"/>
        <v>29.917973017486819</v>
      </c>
      <c r="O68" s="296">
        <f t="shared" si="28"/>
        <v>2.3373269930822458</v>
      </c>
      <c r="P68" s="11">
        <f t="shared" si="49"/>
        <v>0.7091980979246737</v>
      </c>
      <c r="Q68" s="296">
        <f t="shared" si="29"/>
        <v>33.836890685919172</v>
      </c>
      <c r="R68" s="296">
        <f t="shared" si="30"/>
        <v>2.2918892596790656</v>
      </c>
      <c r="S68" s="296">
        <f t="shared" si="50"/>
        <v>0.69556677790371968</v>
      </c>
      <c r="T68" s="296">
        <f t="shared" si="31"/>
        <v>33.029382263335911</v>
      </c>
      <c r="U68" s="296">
        <f t="shared" si="32"/>
        <v>2.3007782151953933</v>
      </c>
      <c r="V68" s="296">
        <f t="shared" si="33"/>
        <v>0.69823346455861801</v>
      </c>
      <c r="W68" s="296">
        <f t="shared" si="34"/>
        <v>33.185823794750739</v>
      </c>
      <c r="X68" s="296">
        <f t="shared" si="35"/>
        <v>2.2990382125478801</v>
      </c>
      <c r="Y68" s="296">
        <f t="shared" si="36"/>
        <v>0.69771146376436399</v>
      </c>
      <c r="Z68" s="296">
        <f t="shared" si="37"/>
        <v>33.155142331430596</v>
      </c>
      <c r="AA68" s="296">
        <f t="shared" si="38"/>
        <v>2.2993787755086732</v>
      </c>
      <c r="AB68" s="296">
        <f t="shared" si="39"/>
        <v>0.69781363265260199</v>
      </c>
      <c r="AC68" s="296">
        <f t="shared" si="40"/>
        <v>33.161145243983349</v>
      </c>
      <c r="AD68" s="296">
        <f t="shared" si="41"/>
        <v>2.2993121170850972</v>
      </c>
      <c r="AE68" s="296">
        <f t="shared" si="42"/>
        <v>0.69779363512552917</v>
      </c>
      <c r="AF68" s="296">
        <f t="shared" si="43"/>
        <v>33.159970207747499</v>
      </c>
      <c r="AG68" s="296">
        <f t="shared" si="44"/>
        <v>2.2993251640857362</v>
      </c>
      <c r="AH68" s="475">
        <f t="shared" si="45"/>
        <v>0.6977975492257209</v>
      </c>
      <c r="AI68" s="475">
        <f t="shared" si="46"/>
        <v>33.160200193385357</v>
      </c>
      <c r="AJ68" s="475">
        <f t="shared" si="47"/>
        <v>2.2993226104043178</v>
      </c>
    </row>
    <row r="69" spans="11:36">
      <c r="K69" s="278">
        <f t="shared" si="25"/>
        <v>56.647058823529406</v>
      </c>
      <c r="L69" s="296">
        <f t="shared" si="26"/>
        <v>2.1671743220308568</v>
      </c>
      <c r="M69" s="296">
        <f t="shared" si="48"/>
        <v>0.658152296609257</v>
      </c>
      <c r="N69" s="11">
        <f t="shared" si="27"/>
        <v>31.934350764290752</v>
      </c>
      <c r="O69" s="296">
        <f t="shared" si="28"/>
        <v>2.3692416163099144</v>
      </c>
      <c r="P69" s="11">
        <f t="shared" si="49"/>
        <v>0.71877248489297429</v>
      </c>
      <c r="Q69" s="296">
        <f t="shared" si="29"/>
        <v>35.350795415647362</v>
      </c>
      <c r="R69" s="296">
        <f t="shared" si="30"/>
        <v>2.3327482198057861</v>
      </c>
      <c r="S69" s="296">
        <f t="shared" si="50"/>
        <v>0.70782446594173587</v>
      </c>
      <c r="T69" s="296">
        <f t="shared" si="31"/>
        <v>34.707816946205782</v>
      </c>
      <c r="U69" s="296">
        <f t="shared" si="32"/>
        <v>2.3393194300683962</v>
      </c>
      <c r="V69" s="296">
        <f t="shared" si="33"/>
        <v>0.70979582902051885</v>
      </c>
      <c r="W69" s="296">
        <f t="shared" si="34"/>
        <v>34.822725774277835</v>
      </c>
      <c r="X69" s="296">
        <f t="shared" si="35"/>
        <v>2.338135537120912</v>
      </c>
      <c r="Y69" s="296">
        <f t="shared" si="36"/>
        <v>0.70944066113627358</v>
      </c>
      <c r="Z69" s="296">
        <f t="shared" si="37"/>
        <v>34.801995325836543</v>
      </c>
      <c r="AA69" s="296">
        <f t="shared" si="38"/>
        <v>2.3383488107335082</v>
      </c>
      <c r="AB69" s="296">
        <f t="shared" si="39"/>
        <v>0.70950464322005247</v>
      </c>
      <c r="AC69" s="296">
        <f t="shared" si="40"/>
        <v>34.805728922226351</v>
      </c>
      <c r="AD69" s="296">
        <f t="shared" si="41"/>
        <v>2.3383103896634552</v>
      </c>
      <c r="AE69" s="296">
        <f t="shared" si="42"/>
        <v>0.7094931168990366</v>
      </c>
      <c r="AF69" s="296">
        <f t="shared" si="43"/>
        <v>34.805056288256729</v>
      </c>
      <c r="AG69" s="296">
        <f t="shared" si="44"/>
        <v>2.3383173111664441</v>
      </c>
      <c r="AH69" s="475">
        <f t="shared" si="45"/>
        <v>0.70949519334993327</v>
      </c>
      <c r="AI69" s="475">
        <f t="shared" si="46"/>
        <v>34.805177461382378</v>
      </c>
      <c r="AJ69" s="475">
        <f t="shared" si="47"/>
        <v>2.3383160642664773</v>
      </c>
    </row>
    <row r="70" spans="11:36">
      <c r="K70" s="278">
        <f t="shared" si="25"/>
        <v>27.235294117647062</v>
      </c>
      <c r="L70" s="296">
        <f t="shared" si="26"/>
        <v>2.4142222624582956</v>
      </c>
      <c r="M70" s="296">
        <f t="shared" si="48"/>
        <v>0.73226667873748874</v>
      </c>
      <c r="N70" s="11">
        <f t="shared" si="27"/>
        <v>17.794961857914142</v>
      </c>
      <c r="O70" s="296">
        <f t="shared" si="28"/>
        <v>2.5719375524846066</v>
      </c>
      <c r="P70" s="11">
        <f t="shared" si="49"/>
        <v>0.779581265745382</v>
      </c>
      <c r="Q70" s="296">
        <f t="shared" si="29"/>
        <v>19.184992112175649</v>
      </c>
      <c r="R70" s="296">
        <f t="shared" si="30"/>
        <v>2.5438000102931513</v>
      </c>
      <c r="S70" s="296">
        <f t="shared" si="50"/>
        <v>0.77114000308794539</v>
      </c>
      <c r="T70" s="296">
        <f t="shared" si="31"/>
        <v>18.929277235368751</v>
      </c>
      <c r="U70" s="296">
        <f t="shared" si="32"/>
        <v>2.5488120355651036</v>
      </c>
      <c r="V70" s="296">
        <f t="shared" si="33"/>
        <v>0.77264361066953113</v>
      </c>
      <c r="W70" s="296">
        <f t="shared" si="34"/>
        <v>18.974575874914944</v>
      </c>
      <c r="X70" s="296">
        <f t="shared" si="35"/>
        <v>2.5479190100341067</v>
      </c>
      <c r="Y70" s="296">
        <f t="shared" si="36"/>
        <v>0.77237570301023206</v>
      </c>
      <c r="Z70" s="296">
        <f t="shared" si="37"/>
        <v>18.96649678899125</v>
      </c>
      <c r="AA70" s="296">
        <f t="shared" si="38"/>
        <v>2.5480781182241157</v>
      </c>
      <c r="AB70" s="296">
        <f t="shared" si="39"/>
        <v>0.7724234354672348</v>
      </c>
      <c r="AC70" s="296">
        <f t="shared" si="40"/>
        <v>18.967935968221294</v>
      </c>
      <c r="AD70" s="296">
        <f t="shared" si="41"/>
        <v>2.5480497700488001</v>
      </c>
      <c r="AE70" s="296">
        <f t="shared" si="42"/>
        <v>0.77241493101463998</v>
      </c>
      <c r="AF70" s="296">
        <f t="shared" si="43"/>
        <v>18.967679542846955</v>
      </c>
      <c r="AG70" s="296">
        <f t="shared" si="44"/>
        <v>2.548054820811763</v>
      </c>
      <c r="AH70" s="475">
        <f t="shared" si="45"/>
        <v>0.77241644624352901</v>
      </c>
      <c r="AI70" s="475">
        <f t="shared" si="46"/>
        <v>18.967725229617777</v>
      </c>
      <c r="AJ70" s="475">
        <f t="shared" si="47"/>
        <v>2.5480539209226687</v>
      </c>
    </row>
    <row r="71" spans="11:36">
      <c r="K71" s="278">
        <f t="shared" si="25"/>
        <v>20.447963800904976</v>
      </c>
      <c r="L71" s="296">
        <f t="shared" si="26"/>
        <v>2.9332078322206945</v>
      </c>
      <c r="M71" s="296">
        <f t="shared" si="48"/>
        <v>0.88796234966620835</v>
      </c>
      <c r="N71" s="11">
        <f t="shared" si="27"/>
        <v>17.266221916830709</v>
      </c>
      <c r="O71" s="296">
        <f t="shared" si="28"/>
        <v>2.9876954114141081</v>
      </c>
      <c r="P71" s="11">
        <f t="shared" si="49"/>
        <v>0.90430862342423246</v>
      </c>
      <c r="Q71" s="296">
        <f t="shared" si="29"/>
        <v>17.697587238646555</v>
      </c>
      <c r="R71" s="296">
        <f t="shared" si="30"/>
        <v>2.9796949463486126</v>
      </c>
      <c r="S71" s="296">
        <f t="shared" si="50"/>
        <v>0.90190848390458389</v>
      </c>
      <c r="T71" s="296">
        <f t="shared" si="31"/>
        <v>17.633580785179422</v>
      </c>
      <c r="U71" s="296">
        <f t="shared" si="32"/>
        <v>2.9808685942306017</v>
      </c>
      <c r="V71" s="296">
        <f t="shared" si="33"/>
        <v>0.9022605782691806</v>
      </c>
      <c r="W71" s="296">
        <f t="shared" si="34"/>
        <v>17.642955860393648</v>
      </c>
      <c r="X71" s="296">
        <f t="shared" si="35"/>
        <v>2.9806964000019809</v>
      </c>
      <c r="Y71" s="296">
        <f t="shared" si="36"/>
        <v>0.90220892000059427</v>
      </c>
      <c r="Z71" s="296">
        <f t="shared" si="37"/>
        <v>17.641580064491141</v>
      </c>
      <c r="AA71" s="296">
        <f t="shared" si="38"/>
        <v>2.9807216633457108</v>
      </c>
      <c r="AB71" s="296">
        <f t="shared" si="39"/>
        <v>0.90221649900371326</v>
      </c>
      <c r="AC71" s="296">
        <f t="shared" si="40"/>
        <v>17.641781906612529</v>
      </c>
      <c r="AD71" s="296">
        <f t="shared" si="41"/>
        <v>2.9807179568429945</v>
      </c>
      <c r="AE71" s="296">
        <f t="shared" si="42"/>
        <v>0.90221538705289839</v>
      </c>
      <c r="AF71" s="296">
        <f t="shared" si="43"/>
        <v>17.641752293271121</v>
      </c>
      <c r="AG71" s="296">
        <f t="shared" si="44"/>
        <v>2.9807185006410255</v>
      </c>
      <c r="AH71" s="475">
        <f t="shared" si="45"/>
        <v>0.9022155501923077</v>
      </c>
      <c r="AI71" s="475">
        <f t="shared" si="46"/>
        <v>17.641756637977291</v>
      </c>
      <c r="AJ71" s="475">
        <f t="shared" si="47"/>
        <v>2.9807184208579143</v>
      </c>
    </row>
    <row r="72" spans="11:36">
      <c r="K72" s="278">
        <f t="shared" si="25"/>
        <v>31.436974789915968</v>
      </c>
      <c r="L72" s="296">
        <f t="shared" si="26"/>
        <v>2.9068480453232475</v>
      </c>
      <c r="M72" s="296">
        <f t="shared" si="48"/>
        <v>0.88005441359697434</v>
      </c>
      <c r="N72" s="11">
        <f t="shared" si="27"/>
        <v>26.464512867731653</v>
      </c>
      <c r="O72" s="296">
        <f t="shared" si="28"/>
        <v>2.9581008501770989</v>
      </c>
      <c r="P72" s="11">
        <f t="shared" si="49"/>
        <v>0.89543025505312968</v>
      </c>
      <c r="Q72" s="296">
        <f t="shared" si="29"/>
        <v>27.055125835516993</v>
      </c>
      <c r="R72" s="296">
        <f t="shared" si="30"/>
        <v>2.9514746169072841</v>
      </c>
      <c r="S72" s="296">
        <f t="shared" si="50"/>
        <v>0.89344238507218532</v>
      </c>
      <c r="T72" s="296">
        <f t="shared" si="31"/>
        <v>26.978032545783226</v>
      </c>
      <c r="U72" s="296">
        <f t="shared" si="32"/>
        <v>2.9523303766543672</v>
      </c>
      <c r="V72" s="296">
        <f t="shared" si="33"/>
        <v>0.89369911299631011</v>
      </c>
      <c r="W72" s="296">
        <f t="shared" si="34"/>
        <v>26.98797656489328</v>
      </c>
      <c r="X72" s="296">
        <f t="shared" si="35"/>
        <v>2.9522198423386756</v>
      </c>
      <c r="Y72" s="296">
        <f t="shared" si="36"/>
        <v>0.89366595270160265</v>
      </c>
      <c r="Z72" s="296">
        <f t="shared" si="37"/>
        <v>26.986691938297863</v>
      </c>
      <c r="AA72" s="296">
        <f t="shared" si="38"/>
        <v>2.9522341192622674</v>
      </c>
      <c r="AB72" s="296">
        <f t="shared" si="39"/>
        <v>0.89367023577868032</v>
      </c>
      <c r="AC72" s="296">
        <f t="shared" si="40"/>
        <v>26.986857860848719</v>
      </c>
      <c r="AD72" s="296">
        <f t="shared" si="41"/>
        <v>2.9522322752103398</v>
      </c>
      <c r="AE72" s="296">
        <f t="shared" si="42"/>
        <v>0.89366968256310197</v>
      </c>
      <c r="AF72" s="296">
        <f t="shared" si="43"/>
        <v>26.98683642971778</v>
      </c>
      <c r="AG72" s="296">
        <f t="shared" si="44"/>
        <v>2.9522325133937599</v>
      </c>
      <c r="AH72" s="475">
        <f t="shared" si="45"/>
        <v>0.89366975401812798</v>
      </c>
      <c r="AI72" s="475">
        <f t="shared" si="46"/>
        <v>26.986839197827624</v>
      </c>
      <c r="AJ72" s="475">
        <f t="shared" si="47"/>
        <v>2.9522324826292556</v>
      </c>
    </row>
    <row r="73" spans="11:36">
      <c r="K73" s="278">
        <f t="shared" si="25"/>
        <v>139</v>
      </c>
      <c r="L73" s="296">
        <f t="shared" si="26"/>
        <v>2.1528644538817674</v>
      </c>
      <c r="M73" s="296">
        <f t="shared" si="48"/>
        <v>0.65385933616453018</v>
      </c>
      <c r="N73" s="11">
        <f t="shared" si="27"/>
        <v>86.615222300139706</v>
      </c>
      <c r="O73" s="296">
        <f t="shared" si="28"/>
        <v>2.2852140157300305</v>
      </c>
      <c r="P73" s="11">
        <f t="shared" si="49"/>
        <v>0.69356420471900915</v>
      </c>
      <c r="Q73" s="296">
        <f t="shared" si="29"/>
        <v>91.444474492240872</v>
      </c>
      <c r="R73" s="296">
        <f t="shared" si="30"/>
        <v>2.2694804298280467</v>
      </c>
      <c r="S73" s="296">
        <f t="shared" si="50"/>
        <v>0.68884412894841396</v>
      </c>
      <c r="T73" s="296">
        <f t="shared" si="31"/>
        <v>90.856560748484554</v>
      </c>
      <c r="U73" s="296">
        <f t="shared" si="32"/>
        <v>2.2713437284706939</v>
      </c>
      <c r="V73" s="296">
        <f t="shared" si="33"/>
        <v>0.68940311854120817</v>
      </c>
      <c r="W73" s="296">
        <f t="shared" si="34"/>
        <v>90.925988468576151</v>
      </c>
      <c r="X73" s="296">
        <f t="shared" si="35"/>
        <v>2.2711229610057844</v>
      </c>
      <c r="Y73" s="296">
        <f t="shared" si="36"/>
        <v>0.68933688830173534</v>
      </c>
      <c r="Z73" s="296">
        <f t="shared" si="37"/>
        <v>90.917759759410714</v>
      </c>
      <c r="AA73" s="296">
        <f t="shared" si="38"/>
        <v>2.2711491165804216</v>
      </c>
      <c r="AB73" s="296">
        <f t="shared" si="39"/>
        <v>0.68934473497412652</v>
      </c>
      <c r="AC73" s="296">
        <f t="shared" si="40"/>
        <v>90.918734622402724</v>
      </c>
      <c r="AD73" s="296">
        <f t="shared" si="41"/>
        <v>2.2711460177612448</v>
      </c>
      <c r="AE73" s="296">
        <f t="shared" si="42"/>
        <v>0.68934380532837347</v>
      </c>
      <c r="AF73" s="296">
        <f t="shared" si="43"/>
        <v>90.918619123567268</v>
      </c>
      <c r="AG73" s="296">
        <f t="shared" si="44"/>
        <v>2.271146384898008</v>
      </c>
      <c r="AH73" s="475">
        <f t="shared" si="45"/>
        <v>0.68934391546940244</v>
      </c>
      <c r="AI73" s="475">
        <f t="shared" si="46"/>
        <v>90.918632807439238</v>
      </c>
      <c r="AJ73" s="475">
        <f t="shared" si="47"/>
        <v>2.2711463414009834</v>
      </c>
    </row>
    <row r="74" spans="11:36">
      <c r="K74" s="278">
        <f t="shared" si="25"/>
        <v>137.52941176470588</v>
      </c>
      <c r="L74" s="296">
        <f t="shared" si="26"/>
        <v>1.9145071733868095</v>
      </c>
      <c r="M74" s="296">
        <f t="shared" si="48"/>
        <v>0.58235215201604285</v>
      </c>
      <c r="N74" s="11">
        <f t="shared" si="27"/>
        <v>79.844407969788563</v>
      </c>
      <c r="O74" s="296">
        <f t="shared" si="28"/>
        <v>2.0856712809283655</v>
      </c>
      <c r="P74" s="11">
        <f t="shared" si="49"/>
        <v>0.63370138427850964</v>
      </c>
      <c r="Q74" s="296">
        <f t="shared" si="29"/>
        <v>85.364825660221982</v>
      </c>
      <c r="R74" s="296">
        <f t="shared" si="30"/>
        <v>2.0639355237220651</v>
      </c>
      <c r="S74" s="296">
        <f t="shared" si="50"/>
        <v>0.62718065711661952</v>
      </c>
      <c r="T74" s="296">
        <f t="shared" si="31"/>
        <v>84.643173098580945</v>
      </c>
      <c r="U74" s="296">
        <f t="shared" si="32"/>
        <v>2.0666857614527667</v>
      </c>
      <c r="V74" s="296">
        <f t="shared" si="33"/>
        <v>0.62800572843583002</v>
      </c>
      <c r="W74" s="296">
        <f t="shared" si="34"/>
        <v>84.734146008253632</v>
      </c>
      <c r="X74" s="296">
        <f t="shared" si="35"/>
        <v>2.0663376110377634</v>
      </c>
      <c r="Y74" s="296">
        <f t="shared" si="36"/>
        <v>0.62790128331132899</v>
      </c>
      <c r="Z74" s="296">
        <f t="shared" si="37"/>
        <v>84.722624416615716</v>
      </c>
      <c r="AA74" s="296">
        <f t="shared" si="38"/>
        <v>2.0663816805430315</v>
      </c>
      <c r="AB74" s="296">
        <f t="shared" si="39"/>
        <v>0.6279145041629095</v>
      </c>
      <c r="AC74" s="296">
        <f t="shared" si="40"/>
        <v>84.724082753786377</v>
      </c>
      <c r="AD74" s="296">
        <f t="shared" si="41"/>
        <v>2.0663761021045013</v>
      </c>
      <c r="AE74" s="296">
        <f t="shared" si="42"/>
        <v>0.62791283063135039</v>
      </c>
      <c r="AF74" s="296">
        <f t="shared" si="43"/>
        <v>84.723898152090342</v>
      </c>
      <c r="AG74" s="296">
        <f t="shared" si="44"/>
        <v>2.0663768082378482</v>
      </c>
      <c r="AH74" s="475">
        <f t="shared" si="45"/>
        <v>0.62791304247135449</v>
      </c>
      <c r="AI74" s="475">
        <f t="shared" si="46"/>
        <v>84.723921519433858</v>
      </c>
      <c r="AJ74" s="475">
        <f t="shared" si="47"/>
        <v>2.0663767188536308</v>
      </c>
    </row>
    <row r="75" spans="11:36">
      <c r="K75" s="278">
        <f t="shared" si="25"/>
        <v>177.75432525951558</v>
      </c>
      <c r="L75" s="296">
        <f t="shared" si="26"/>
        <v>2.1089581329978055</v>
      </c>
      <c r="M75" s="296">
        <f t="shared" si="48"/>
        <v>0.64068743989934163</v>
      </c>
      <c r="N75" s="11">
        <f t="shared" si="27"/>
        <v>113.79259483913499</v>
      </c>
      <c r="O75" s="296">
        <f t="shared" si="28"/>
        <v>2.226643039460305</v>
      </c>
      <c r="P75" s="11">
        <f t="shared" si="49"/>
        <v>0.67599291183809151</v>
      </c>
      <c r="Q75" s="296">
        <f t="shared" si="29"/>
        <v>118.89052831550755</v>
      </c>
      <c r="R75" s="296">
        <f t="shared" si="30"/>
        <v>2.2146060104275058</v>
      </c>
      <c r="S75" s="296">
        <f t="shared" si="50"/>
        <v>0.6723818031282518</v>
      </c>
      <c r="T75" s="296">
        <f t="shared" si="31"/>
        <v>118.35878558245452</v>
      </c>
      <c r="U75" s="296">
        <f t="shared" si="32"/>
        <v>2.2158326761193345</v>
      </c>
      <c r="V75" s="296">
        <f t="shared" si="33"/>
        <v>0.67274980283580033</v>
      </c>
      <c r="W75" s="296">
        <f t="shared" si="34"/>
        <v>118.41286523975653</v>
      </c>
      <c r="X75" s="296">
        <f t="shared" si="35"/>
        <v>2.2157076222701688</v>
      </c>
      <c r="Y75" s="296">
        <f t="shared" si="36"/>
        <v>0.67271228668105065</v>
      </c>
      <c r="Z75" s="296">
        <f t="shared" si="37"/>
        <v>118.40735089576565</v>
      </c>
      <c r="AA75" s="296">
        <f t="shared" si="38"/>
        <v>2.2157203705390467</v>
      </c>
      <c r="AB75" s="296">
        <f t="shared" si="39"/>
        <v>0.67271611116171404</v>
      </c>
      <c r="AC75" s="296">
        <f t="shared" si="40"/>
        <v>118.40791302856151</v>
      </c>
      <c r="AD75" s="296">
        <f t="shared" si="41"/>
        <v>2.2157190709469314</v>
      </c>
      <c r="AE75" s="296">
        <f t="shared" si="42"/>
        <v>0.67271572128407942</v>
      </c>
      <c r="AF75" s="296">
        <f t="shared" si="43"/>
        <v>118.40785572314118</v>
      </c>
      <c r="AG75" s="296">
        <f t="shared" si="44"/>
        <v>2.2157192034307225</v>
      </c>
      <c r="AH75" s="475">
        <f t="shared" si="45"/>
        <v>0.67271576102921671</v>
      </c>
      <c r="AI75" s="475">
        <f t="shared" si="46"/>
        <v>118.40786156500307</v>
      </c>
      <c r="AJ75" s="475">
        <f t="shared" si="47"/>
        <v>2.2157191899249811</v>
      </c>
    </row>
    <row r="76" spans="11:36">
      <c r="K76" s="278">
        <f t="shared" si="25"/>
        <v>115.47058823529413</v>
      </c>
      <c r="L76" s="296">
        <f t="shared" si="26"/>
        <v>2.1589473001133554</v>
      </c>
      <c r="M76" s="296">
        <f t="shared" si="48"/>
        <v>0.65568419003400669</v>
      </c>
      <c r="N76" s="11">
        <f t="shared" si="27"/>
        <v>76.80635134805668</v>
      </c>
      <c r="O76" s="296">
        <f t="shared" si="28"/>
        <v>2.2783509089849066</v>
      </c>
      <c r="P76" s="11">
        <f t="shared" si="49"/>
        <v>0.69150527269547202</v>
      </c>
      <c r="Q76" s="296">
        <f t="shared" si="29"/>
        <v>80.134429595471175</v>
      </c>
      <c r="R76" s="296">
        <f t="shared" si="30"/>
        <v>2.2655769858209345</v>
      </c>
      <c r="S76" s="296">
        <f t="shared" si="50"/>
        <v>0.68767309574628033</v>
      </c>
      <c r="T76" s="296">
        <f t="shared" si="31"/>
        <v>79.771607445186447</v>
      </c>
      <c r="U76" s="296">
        <f t="shared" si="32"/>
        <v>2.2669398407418626</v>
      </c>
      <c r="V76" s="296">
        <f t="shared" si="33"/>
        <v>0.68808195222255875</v>
      </c>
      <c r="W76" s="296">
        <f t="shared" si="34"/>
        <v>79.810238670321368</v>
      </c>
      <c r="X76" s="296">
        <f t="shared" si="35"/>
        <v>2.2667943946041667</v>
      </c>
      <c r="Y76" s="296">
        <f t="shared" si="36"/>
        <v>0.68803831838124996</v>
      </c>
      <c r="Z76" s="296">
        <f t="shared" si="37"/>
        <v>79.806114990318093</v>
      </c>
      <c r="AA76" s="296">
        <f t="shared" si="38"/>
        <v>2.2668099163723854</v>
      </c>
      <c r="AB76" s="296">
        <f t="shared" si="39"/>
        <v>0.68804297491171562</v>
      </c>
      <c r="AC76" s="296">
        <f t="shared" si="40"/>
        <v>79.806555052385747</v>
      </c>
      <c r="AD76" s="296">
        <f t="shared" si="41"/>
        <v>2.2668082599097548</v>
      </c>
      <c r="AE76" s="296">
        <f t="shared" si="42"/>
        <v>0.68804247797292639</v>
      </c>
      <c r="AF76" s="296">
        <f t="shared" si="43"/>
        <v>79.806508089426671</v>
      </c>
      <c r="AG76" s="296">
        <f t="shared" si="44"/>
        <v>2.2668084366851988</v>
      </c>
      <c r="AH76" s="475">
        <f t="shared" si="45"/>
        <v>0.68804253100555968</v>
      </c>
      <c r="AI76" s="475">
        <f t="shared" si="46"/>
        <v>79.806513101248626</v>
      </c>
      <c r="AJ76" s="475">
        <f t="shared" si="47"/>
        <v>2.2668084178199628</v>
      </c>
    </row>
    <row r="77" spans="11:36">
      <c r="K77" s="278">
        <f t="shared" si="25"/>
        <v>96.89473684210526</v>
      </c>
      <c r="L77" s="296">
        <f t="shared" si="26"/>
        <v>2.2275022851547517</v>
      </c>
      <c r="M77" s="296">
        <f t="shared" si="48"/>
        <v>0.67625068554642553</v>
      </c>
      <c r="N77" s="11">
        <f t="shared" si="27"/>
        <v>67.205503727182645</v>
      </c>
      <c r="O77" s="296">
        <f t="shared" si="28"/>
        <v>2.3363476099515874</v>
      </c>
      <c r="P77" s="11">
        <f t="shared" si="49"/>
        <v>0.70890428298547625</v>
      </c>
      <c r="Q77" s="296">
        <f t="shared" si="29"/>
        <v>69.731843031954497</v>
      </c>
      <c r="R77" s="296">
        <f t="shared" si="30"/>
        <v>2.3251080707373033</v>
      </c>
      <c r="S77" s="296">
        <f t="shared" si="50"/>
        <v>0.70553242122119098</v>
      </c>
      <c r="T77" s="296">
        <f t="shared" si="31"/>
        <v>69.466631912659409</v>
      </c>
      <c r="U77" s="296">
        <f t="shared" si="32"/>
        <v>2.3262660855905777</v>
      </c>
      <c r="V77" s="296">
        <f t="shared" si="33"/>
        <v>0.70587982567717333</v>
      </c>
      <c r="W77" s="296">
        <f t="shared" si="34"/>
        <v>69.493910061420436</v>
      </c>
      <c r="X77" s="296">
        <f t="shared" si="35"/>
        <v>2.3261467470273867</v>
      </c>
      <c r="Y77" s="296">
        <f t="shared" si="36"/>
        <v>0.70584402410821601</v>
      </c>
      <c r="Z77" s="296">
        <f t="shared" si="37"/>
        <v>69.491098432301428</v>
      </c>
      <c r="AA77" s="296">
        <f t="shared" si="38"/>
        <v>2.3261590451006011</v>
      </c>
      <c r="AB77" s="296">
        <f t="shared" si="39"/>
        <v>0.70584771353018039</v>
      </c>
      <c r="AC77" s="296">
        <f t="shared" si="40"/>
        <v>69.491388170944376</v>
      </c>
      <c r="AD77" s="296">
        <f t="shared" si="41"/>
        <v>2.326157777756884</v>
      </c>
      <c r="AE77" s="296">
        <f t="shared" si="42"/>
        <v>0.70584733332706517</v>
      </c>
      <c r="AF77" s="296">
        <f t="shared" si="43"/>
        <v>69.491358312678855</v>
      </c>
      <c r="AG77" s="296">
        <f t="shared" si="44"/>
        <v>2.3261579083594315</v>
      </c>
      <c r="AH77" s="475">
        <f t="shared" si="45"/>
        <v>0.70584737250782947</v>
      </c>
      <c r="AI77" s="475">
        <f t="shared" si="46"/>
        <v>69.491361389637959</v>
      </c>
      <c r="AJ77" s="475">
        <f t="shared" si="47"/>
        <v>2.3261578949005526</v>
      </c>
    </row>
    <row r="78" spans="11:36">
      <c r="K78" s="278">
        <f t="shared" si="25"/>
        <v>106.64705882352942</v>
      </c>
      <c r="L78" s="296">
        <f t="shared" si="26"/>
        <v>2.1738697395672641</v>
      </c>
      <c r="M78" s="296">
        <f t="shared" si="48"/>
        <v>0.66016092187017927</v>
      </c>
      <c r="N78" s="11">
        <f t="shared" si="27"/>
        <v>73.914068791242045</v>
      </c>
      <c r="O78" s="296">
        <f t="shared" si="28"/>
        <v>2.2826022624709865</v>
      </c>
      <c r="P78" s="11">
        <f t="shared" si="49"/>
        <v>0.69278067874129601</v>
      </c>
      <c r="Q78" s="296">
        <f t="shared" si="29"/>
        <v>76.561450643524125</v>
      </c>
      <c r="R78" s="296">
        <f t="shared" si="30"/>
        <v>2.2719071311530983</v>
      </c>
      <c r="S78" s="296">
        <f t="shared" si="50"/>
        <v>0.68957213934592954</v>
      </c>
      <c r="T78" s="296">
        <f t="shared" si="31"/>
        <v>76.296898710326985</v>
      </c>
      <c r="U78" s="296">
        <f t="shared" si="32"/>
        <v>2.2729567987724919</v>
      </c>
      <c r="V78" s="296">
        <f t="shared" si="33"/>
        <v>0.68988703963174758</v>
      </c>
      <c r="W78" s="296">
        <f t="shared" si="34"/>
        <v>76.322822502913127</v>
      </c>
      <c r="X78" s="296">
        <f t="shared" si="35"/>
        <v>2.2728537571887979</v>
      </c>
      <c r="Y78" s="296">
        <f t="shared" si="36"/>
        <v>0.68985612715663935</v>
      </c>
      <c r="Z78" s="296">
        <f t="shared" si="37"/>
        <v>76.320277280212864</v>
      </c>
      <c r="AA78" s="296">
        <f t="shared" si="38"/>
        <v>2.2728638721431365</v>
      </c>
      <c r="AB78" s="296">
        <f t="shared" si="39"/>
        <v>0.68985916164294092</v>
      </c>
      <c r="AC78" s="296">
        <f t="shared" si="40"/>
        <v>76.320527125210731</v>
      </c>
      <c r="AD78" s="296">
        <f t="shared" si="41"/>
        <v>2.2728628792185983</v>
      </c>
      <c r="AE78" s="296">
        <f t="shared" si="42"/>
        <v>0.68985886376557948</v>
      </c>
      <c r="AF78" s="296">
        <f t="shared" si="43"/>
        <v>76.320502599386188</v>
      </c>
      <c r="AG78" s="296">
        <f t="shared" si="44"/>
        <v>2.2728629766880384</v>
      </c>
      <c r="AH78" s="475">
        <f t="shared" si="45"/>
        <v>0.68985889300641157</v>
      </c>
      <c r="AI78" s="475">
        <f t="shared" si="46"/>
        <v>76.320505006938774</v>
      </c>
      <c r="AJ78" s="475">
        <f t="shared" si="47"/>
        <v>2.2728629671200484</v>
      </c>
    </row>
    <row r="79" spans="11:36">
      <c r="K79" s="278">
        <f t="shared" si="25"/>
        <v>59.448179271708689</v>
      </c>
      <c r="L79" s="296">
        <f t="shared" si="26"/>
        <v>2.4133763061859508</v>
      </c>
      <c r="M79" s="296">
        <f t="shared" si="48"/>
        <v>0.73201289185578522</v>
      </c>
      <c r="N79" s="11">
        <f t="shared" si="27"/>
        <v>45.108606061559598</v>
      </c>
      <c r="O79" s="296">
        <f t="shared" si="28"/>
        <v>2.4990704404643704</v>
      </c>
      <c r="P79" s="11">
        <f t="shared" si="49"/>
        <v>0.75772113213931114</v>
      </c>
      <c r="Q79" s="296">
        <f t="shared" si="29"/>
        <v>46.319036810377447</v>
      </c>
      <c r="R79" s="296">
        <f t="shared" si="30"/>
        <v>2.4907273787087312</v>
      </c>
      <c r="S79" s="296">
        <f t="shared" si="50"/>
        <v>0.75521821361261932</v>
      </c>
      <c r="T79" s="296">
        <f t="shared" si="31"/>
        <v>46.199777585846718</v>
      </c>
      <c r="U79" s="296">
        <f t="shared" si="32"/>
        <v>2.4915385427976222</v>
      </c>
      <c r="V79" s="296">
        <f t="shared" si="33"/>
        <v>0.75546156283928667</v>
      </c>
      <c r="W79" s="296">
        <f t="shared" si="34"/>
        <v>46.211359217032729</v>
      </c>
      <c r="X79" s="296">
        <f t="shared" si="35"/>
        <v>2.4914596659142889</v>
      </c>
      <c r="Y79" s="296">
        <f t="shared" si="36"/>
        <v>0.75543789977428677</v>
      </c>
      <c r="Z79" s="296">
        <f t="shared" si="37"/>
        <v>46.210232901969825</v>
      </c>
      <c r="AA79" s="296">
        <f t="shared" si="38"/>
        <v>2.4914673357339687</v>
      </c>
      <c r="AB79" s="296">
        <f t="shared" si="39"/>
        <v>0.75544020072019058</v>
      </c>
      <c r="AC79" s="296">
        <f t="shared" si="40"/>
        <v>46.210342421236177</v>
      </c>
      <c r="AD79" s="296">
        <f t="shared" si="41"/>
        <v>2.4914665899361457</v>
      </c>
      <c r="AE79" s="296">
        <f t="shared" si="42"/>
        <v>0.75543997698084375</v>
      </c>
      <c r="AF79" s="296">
        <f t="shared" si="43"/>
        <v>46.21033177179185</v>
      </c>
      <c r="AG79" s="296">
        <f t="shared" si="44"/>
        <v>2.4914666624560158</v>
      </c>
      <c r="AH79" s="475">
        <f t="shared" si="45"/>
        <v>0.75543999873680479</v>
      </c>
      <c r="AI79" s="475">
        <f t="shared" si="46"/>
        <v>46.210332807322139</v>
      </c>
      <c r="AJ79" s="475">
        <f t="shared" si="47"/>
        <v>2.4914666554043303</v>
      </c>
    </row>
    <row r="80" spans="11:36">
      <c r="K80" s="278">
        <f t="shared" si="25"/>
        <v>67.3422459893048</v>
      </c>
      <c r="L80" s="296">
        <f t="shared" si="26"/>
        <v>2.2926678680140098</v>
      </c>
      <c r="M80" s="296">
        <f t="shared" si="48"/>
        <v>0.6958003604042029</v>
      </c>
      <c r="N80" s="11">
        <f t="shared" si="27"/>
        <v>49.929278706604912</v>
      </c>
      <c r="O80" s="296">
        <f t="shared" si="28"/>
        <v>2.3874319485855691</v>
      </c>
      <c r="P80" s="11">
        <f t="shared" si="49"/>
        <v>0.72422958457567077</v>
      </c>
      <c r="Q80" s="296">
        <f t="shared" si="29"/>
        <v>51.345007439864872</v>
      </c>
      <c r="R80" s="296">
        <f t="shared" si="30"/>
        <v>2.3784349577300676</v>
      </c>
      <c r="S80" s="296">
        <f t="shared" si="50"/>
        <v>0.72153048731902025</v>
      </c>
      <c r="T80" s="296">
        <f t="shared" si="31"/>
        <v>51.208889744549694</v>
      </c>
      <c r="U80" s="296">
        <f t="shared" si="32"/>
        <v>2.3792879395959923</v>
      </c>
      <c r="V80" s="296">
        <f t="shared" si="33"/>
        <v>0.72178638187879773</v>
      </c>
      <c r="W80" s="296">
        <f t="shared" si="34"/>
        <v>51.221779218687992</v>
      </c>
      <c r="X80" s="296">
        <f t="shared" si="35"/>
        <v>2.3792070597020385</v>
      </c>
      <c r="Y80" s="296">
        <f t="shared" si="36"/>
        <v>0.72176211791061151</v>
      </c>
      <c r="Z80" s="296">
        <f t="shared" si="37"/>
        <v>51.220556897215225</v>
      </c>
      <c r="AA80" s="296">
        <f t="shared" si="38"/>
        <v>2.3792147286506413</v>
      </c>
      <c r="AB80" s="296">
        <f t="shared" si="39"/>
        <v>0.72176441859519236</v>
      </c>
      <c r="AC80" s="296">
        <f t="shared" si="40"/>
        <v>51.220672795232034</v>
      </c>
      <c r="AD80" s="296">
        <f t="shared" si="41"/>
        <v>2.3792140014879228</v>
      </c>
      <c r="AE80" s="296">
        <f t="shared" si="42"/>
        <v>0.7217642004463769</v>
      </c>
      <c r="AF80" s="296">
        <f t="shared" si="43"/>
        <v>51.220661805876432</v>
      </c>
      <c r="AG80" s="296">
        <f t="shared" si="44"/>
        <v>2.3792140704368214</v>
      </c>
      <c r="AH80" s="475">
        <f t="shared" si="45"/>
        <v>0.72176422113104644</v>
      </c>
      <c r="AI80" s="475">
        <f t="shared" si="46"/>
        <v>51.220662847876895</v>
      </c>
      <c r="AJ80" s="475">
        <f t="shared" si="47"/>
        <v>2.3792140638991506</v>
      </c>
    </row>
    <row r="81" spans="11:36">
      <c r="K81" s="278">
        <f t="shared" si="25"/>
        <v>66.877237851662414</v>
      </c>
      <c r="L81" s="296">
        <f t="shared" si="26"/>
        <v>2.2811641208997706</v>
      </c>
      <c r="M81" s="296">
        <f t="shared" si="48"/>
        <v>0.69234923626993117</v>
      </c>
      <c r="N81" s="11">
        <f t="shared" si="27"/>
        <v>50.096939576640914</v>
      </c>
      <c r="O81" s="296">
        <f t="shared" si="28"/>
        <v>2.3732190733716383</v>
      </c>
      <c r="P81" s="11">
        <f t="shared" si="49"/>
        <v>0.71996572201149145</v>
      </c>
      <c r="Q81" s="296">
        <f t="shared" si="29"/>
        <v>51.4131058647244</v>
      </c>
      <c r="R81" s="296">
        <f t="shared" si="30"/>
        <v>2.3648301423236409</v>
      </c>
      <c r="S81" s="296">
        <f t="shared" si="50"/>
        <v>0.71744904269709231</v>
      </c>
      <c r="T81" s="296">
        <f t="shared" si="31"/>
        <v>51.291745659308198</v>
      </c>
      <c r="U81" s="296">
        <f t="shared" si="32"/>
        <v>2.3655936336330239</v>
      </c>
      <c r="V81" s="296">
        <f t="shared" si="33"/>
        <v>0.71767809008990713</v>
      </c>
      <c r="W81" s="296">
        <f t="shared" si="34"/>
        <v>51.302779004379929</v>
      </c>
      <c r="X81" s="296">
        <f t="shared" si="35"/>
        <v>2.3655241387243144</v>
      </c>
      <c r="Y81" s="296">
        <f t="shared" si="36"/>
        <v>0.71765724161729438</v>
      </c>
      <c r="Z81" s="296">
        <f t="shared" si="37"/>
        <v>51.301774623248733</v>
      </c>
      <c r="AA81" s="296">
        <f t="shared" si="38"/>
        <v>2.3655304642584194</v>
      </c>
      <c r="AB81" s="296">
        <f t="shared" si="39"/>
        <v>0.71765913927752578</v>
      </c>
      <c r="AC81" s="296">
        <f t="shared" si="40"/>
        <v>51.301866042759706</v>
      </c>
      <c r="AD81" s="296">
        <f t="shared" si="41"/>
        <v>2.3655298884979543</v>
      </c>
      <c r="AE81" s="296">
        <f t="shared" si="42"/>
        <v>0.71765896654938632</v>
      </c>
      <c r="AF81" s="296">
        <f t="shared" si="43"/>
        <v>51.301857721599482</v>
      </c>
      <c r="AG81" s="296">
        <f t="shared" si="44"/>
        <v>2.3655299409046093</v>
      </c>
      <c r="AH81" s="475">
        <f t="shared" si="45"/>
        <v>0.71765898227138281</v>
      </c>
      <c r="AI81" s="475">
        <f t="shared" si="46"/>
        <v>51.301858479004984</v>
      </c>
      <c r="AJ81" s="475">
        <f t="shared" si="47"/>
        <v>2.3655299361344704</v>
      </c>
    </row>
    <row r="82" spans="11:36">
      <c r="K82" s="278">
        <f t="shared" si="25"/>
        <v>66.450980392156865</v>
      </c>
      <c r="L82" s="296">
        <f t="shared" si="26"/>
        <v>2.3040742512517616</v>
      </c>
      <c r="M82" s="296">
        <f t="shared" si="48"/>
        <v>0.6992222753755285</v>
      </c>
      <c r="N82" s="11">
        <f t="shared" si="27"/>
        <v>50.745395596067638</v>
      </c>
      <c r="O82" s="296">
        <f t="shared" si="28"/>
        <v>2.3892114815768561</v>
      </c>
      <c r="P82" s="11">
        <f t="shared" si="49"/>
        <v>0.72476344447305685</v>
      </c>
      <c r="Q82" s="296">
        <f t="shared" si="29"/>
        <v>51.920735634352944</v>
      </c>
      <c r="R82" s="296">
        <f t="shared" si="30"/>
        <v>2.3818764183535532</v>
      </c>
      <c r="S82" s="296">
        <f t="shared" si="50"/>
        <v>0.72256292550606593</v>
      </c>
      <c r="T82" s="296">
        <f t="shared" si="31"/>
        <v>51.818410533765807</v>
      </c>
      <c r="U82" s="296">
        <f t="shared" si="32"/>
        <v>2.3825076314120439</v>
      </c>
      <c r="V82" s="296">
        <f t="shared" si="33"/>
        <v>0.72275228942361314</v>
      </c>
      <c r="W82" s="296">
        <f t="shared" si="34"/>
        <v>51.82720810338661</v>
      </c>
      <c r="X82" s="296">
        <f t="shared" si="35"/>
        <v>2.3824533073328253</v>
      </c>
      <c r="Y82" s="296">
        <f t="shared" si="36"/>
        <v>0.72273599219984763</v>
      </c>
      <c r="Z82" s="296">
        <f t="shared" si="37"/>
        <v>51.826450899557237</v>
      </c>
      <c r="AA82" s="296">
        <f t="shared" si="38"/>
        <v>2.3824579825841612</v>
      </c>
      <c r="AB82" s="296">
        <f t="shared" si="39"/>
        <v>0.72273739477524834</v>
      </c>
      <c r="AC82" s="296">
        <f t="shared" si="40"/>
        <v>51.826516065771372</v>
      </c>
      <c r="AD82" s="296">
        <f t="shared" si="41"/>
        <v>2.382457580221307</v>
      </c>
      <c r="AE82" s="296">
        <f t="shared" si="42"/>
        <v>0.7227372740663921</v>
      </c>
      <c r="AF82" s="296">
        <f t="shared" si="43"/>
        <v>51.82651045741428</v>
      </c>
      <c r="AG82" s="296">
        <f t="shared" si="44"/>
        <v>2.3824576148495749</v>
      </c>
      <c r="AH82" s="475">
        <f t="shared" si="45"/>
        <v>0.72273728445487251</v>
      </c>
      <c r="AI82" s="475">
        <f t="shared" si="46"/>
        <v>51.826510940082301</v>
      </c>
      <c r="AJ82" s="475">
        <f t="shared" si="47"/>
        <v>2.3824576118693872</v>
      </c>
    </row>
    <row r="83" spans="11:36">
      <c r="K83" s="278">
        <f t="shared" si="25"/>
        <v>59</v>
      </c>
      <c r="L83" s="296">
        <f t="shared" si="26"/>
        <v>2.5159615812837286</v>
      </c>
      <c r="M83" s="296">
        <f t="shared" si="48"/>
        <v>0.76278847438511854</v>
      </c>
      <c r="N83" s="11">
        <f t="shared" si="27"/>
        <v>48.161675010879023</v>
      </c>
      <c r="O83" s="296">
        <f t="shared" si="28"/>
        <v>2.5763141159933309</v>
      </c>
      <c r="P83" s="11">
        <f t="shared" si="49"/>
        <v>0.78089423479799924</v>
      </c>
      <c r="Q83" s="296">
        <f t="shared" si="29"/>
        <v>48.913628843462384</v>
      </c>
      <c r="R83" s="296">
        <f t="shared" si="30"/>
        <v>2.5716509737614008</v>
      </c>
      <c r="S83" s="296">
        <f t="shared" si="50"/>
        <v>0.77949529212842028</v>
      </c>
      <c r="T83" s="296">
        <f t="shared" si="31"/>
        <v>48.855112897954193</v>
      </c>
      <c r="U83" s="296">
        <f t="shared" si="32"/>
        <v>2.5720109456730538</v>
      </c>
      <c r="V83" s="296">
        <f t="shared" si="33"/>
        <v>0.77960328370191623</v>
      </c>
      <c r="W83" s="296">
        <f t="shared" si="34"/>
        <v>48.859627550036095</v>
      </c>
      <c r="X83" s="296">
        <f t="shared" si="35"/>
        <v>2.5719831556432187</v>
      </c>
      <c r="Y83" s="296">
        <f t="shared" si="36"/>
        <v>0.7795949466929657</v>
      </c>
      <c r="Z83" s="296">
        <f t="shared" si="37"/>
        <v>48.859279001548813</v>
      </c>
      <c r="AA83" s="296">
        <f t="shared" si="38"/>
        <v>2.5719853010372189</v>
      </c>
      <c r="AB83" s="296">
        <f t="shared" si="39"/>
        <v>0.77959559031116576</v>
      </c>
      <c r="AC83" s="296">
        <f t="shared" si="40"/>
        <v>48.85930590944983</v>
      </c>
      <c r="AD83" s="296">
        <f t="shared" si="41"/>
        <v>2.5719851354124477</v>
      </c>
      <c r="AE83" s="296">
        <f t="shared" si="42"/>
        <v>0.77959554062373426</v>
      </c>
      <c r="AF83" s="296">
        <f t="shared" si="43"/>
        <v>48.859303832154893</v>
      </c>
      <c r="AG83" s="296">
        <f t="shared" si="44"/>
        <v>2.5719851481987068</v>
      </c>
      <c r="AH83" s="475">
        <f t="shared" si="45"/>
        <v>0.7795955444596121</v>
      </c>
      <c r="AI83" s="475">
        <f t="shared" si="46"/>
        <v>48.859303992522399</v>
      </c>
      <c r="AJ83" s="475">
        <f t="shared" si="47"/>
        <v>2.5719851472116058</v>
      </c>
    </row>
    <row r="84" spans="11:36">
      <c r="K84" s="278">
        <f t="shared" si="25"/>
        <v>83.796380090497749</v>
      </c>
      <c r="L84" s="296">
        <f t="shared" si="26"/>
        <v>2.1375003510684127</v>
      </c>
      <c r="M84" s="296">
        <f t="shared" si="48"/>
        <v>0.64925010532052385</v>
      </c>
      <c r="N84" s="11">
        <f t="shared" si="27"/>
        <v>62.929916619670216</v>
      </c>
      <c r="O84" s="296">
        <f t="shared" si="28"/>
        <v>2.2291509711807045</v>
      </c>
      <c r="P84" s="11">
        <f t="shared" si="49"/>
        <v>0.67674529135421135</v>
      </c>
      <c r="Q84" s="296">
        <f t="shared" si="29"/>
        <v>64.358562761900529</v>
      </c>
      <c r="R84" s="296">
        <f t="shared" si="30"/>
        <v>2.2218516043675374</v>
      </c>
      <c r="S84" s="296">
        <f t="shared" si="50"/>
        <v>0.67455548131026122</v>
      </c>
      <c r="T84" s="296">
        <f t="shared" si="31"/>
        <v>64.243601438628943</v>
      </c>
      <c r="U84" s="296">
        <f t="shared" si="32"/>
        <v>2.222432261983883</v>
      </c>
      <c r="V84" s="296">
        <f t="shared" si="33"/>
        <v>0.67472967859516486</v>
      </c>
      <c r="W84" s="296">
        <f t="shared" si="34"/>
        <v>64.252738978589164</v>
      </c>
      <c r="X84" s="296">
        <f t="shared" si="35"/>
        <v>2.222386066851032</v>
      </c>
      <c r="Y84" s="296">
        <f t="shared" si="36"/>
        <v>0.67471582005530961</v>
      </c>
      <c r="Z84" s="296">
        <f t="shared" si="37"/>
        <v>64.252011979597327</v>
      </c>
      <c r="AA84" s="296">
        <f t="shared" si="38"/>
        <v>2.222389741950018</v>
      </c>
      <c r="AB84" s="296">
        <f t="shared" si="39"/>
        <v>0.67471692258500537</v>
      </c>
      <c r="AC84" s="296">
        <f t="shared" si="40"/>
        <v>64.25206981641216</v>
      </c>
      <c r="AD84" s="296">
        <f t="shared" si="41"/>
        <v>2.2223894495737477</v>
      </c>
      <c r="AE84" s="296">
        <f t="shared" si="42"/>
        <v>0.6747168348721243</v>
      </c>
      <c r="AF84" s="296">
        <f t="shared" si="43"/>
        <v>64.252065215143119</v>
      </c>
      <c r="AG84" s="296">
        <f t="shared" si="44"/>
        <v>2.222389472834041</v>
      </c>
      <c r="AH84" s="475">
        <f t="shared" si="45"/>
        <v>0.6747168418502123</v>
      </c>
      <c r="AI84" s="475">
        <f t="shared" si="46"/>
        <v>64.252065581201762</v>
      </c>
      <c r="AJ84" s="475">
        <f t="shared" si="47"/>
        <v>2.2223894709835443</v>
      </c>
    </row>
    <row r="85" spans="11:36">
      <c r="K85" s="278">
        <f t="shared" si="25"/>
        <v>102.3986928104575</v>
      </c>
      <c r="L85" s="296">
        <f t="shared" si="26"/>
        <v>2.0581768013432775</v>
      </c>
      <c r="M85" s="296">
        <f t="shared" si="48"/>
        <v>0.62545304040298322</v>
      </c>
      <c r="N85" s="11">
        <f t="shared" si="27"/>
        <v>76.494001884019994</v>
      </c>
      <c r="O85" s="296">
        <f t="shared" si="28"/>
        <v>2.1498673043293577</v>
      </c>
      <c r="P85" s="11">
        <f t="shared" si="49"/>
        <v>0.65296019129880734</v>
      </c>
      <c r="Q85" s="296">
        <f t="shared" si="29"/>
        <v>78.150174429460392</v>
      </c>
      <c r="R85" s="296">
        <f t="shared" si="30"/>
        <v>2.1430121980509953</v>
      </c>
      <c r="S85" s="296">
        <f t="shared" si="50"/>
        <v>0.6509036594152986</v>
      </c>
      <c r="T85" s="296">
        <f t="shared" si="31"/>
        <v>78.025122412654241</v>
      </c>
      <c r="U85" s="296">
        <f t="shared" si="32"/>
        <v>2.1435240719543249</v>
      </c>
      <c r="V85" s="296">
        <f t="shared" si="33"/>
        <v>0.65105722158629753</v>
      </c>
      <c r="W85" s="296">
        <f t="shared" si="34"/>
        <v>78.034453186651731</v>
      </c>
      <c r="X85" s="296">
        <f t="shared" si="35"/>
        <v>2.1434858465240225</v>
      </c>
      <c r="Y85" s="296">
        <f t="shared" si="36"/>
        <v>0.65104575395720676</v>
      </c>
      <c r="Z85" s="296">
        <f t="shared" si="37"/>
        <v>78.033756349829218</v>
      </c>
      <c r="AA85" s="296">
        <f t="shared" si="38"/>
        <v>2.1434887010812016</v>
      </c>
      <c r="AB85" s="296">
        <f t="shared" si="39"/>
        <v>0.65104661032436051</v>
      </c>
      <c r="AC85" s="296">
        <f t="shared" si="40"/>
        <v>78.033808387237841</v>
      </c>
      <c r="AD85" s="296">
        <f t="shared" si="41"/>
        <v>2.1434884879115685</v>
      </c>
      <c r="AE85" s="296">
        <f t="shared" si="42"/>
        <v>0.65104654637347059</v>
      </c>
      <c r="AF85" s="296">
        <f t="shared" si="43"/>
        <v>78.033804501241505</v>
      </c>
      <c r="AG85" s="296">
        <f t="shared" si="44"/>
        <v>2.1434885038304268</v>
      </c>
      <c r="AH85" s="475">
        <f t="shared" si="45"/>
        <v>0.65104655114912802</v>
      </c>
      <c r="AI85" s="475">
        <f t="shared" si="46"/>
        <v>78.033804791435841</v>
      </c>
      <c r="AJ85" s="475">
        <f t="shared" si="47"/>
        <v>2.143488502641655</v>
      </c>
    </row>
    <row r="86" spans="11:36">
      <c r="K86" s="278">
        <f t="shared" si="25"/>
        <v>86.058823529411768</v>
      </c>
      <c r="L86" s="296">
        <f t="shared" si="26"/>
        <v>2.2228862610493074</v>
      </c>
      <c r="M86" s="296">
        <f t="shared" si="48"/>
        <v>0.67486587831479228</v>
      </c>
      <c r="N86" s="11">
        <f t="shared" si="27"/>
        <v>67.60431621693138</v>
      </c>
      <c r="O86" s="296">
        <f t="shared" si="28"/>
        <v>2.2965308769158321</v>
      </c>
      <c r="P86" s="11">
        <f t="shared" si="49"/>
        <v>0.69695926307474965</v>
      </c>
      <c r="Q86" s="296">
        <f t="shared" si="29"/>
        <v>68.722219626167146</v>
      </c>
      <c r="R86" s="296">
        <f t="shared" si="30"/>
        <v>2.2914497170961488</v>
      </c>
      <c r="S86" s="296">
        <f t="shared" si="50"/>
        <v>0.69543491512884459</v>
      </c>
      <c r="T86" s="296">
        <f t="shared" si="31"/>
        <v>68.644498882490282</v>
      </c>
      <c r="U86" s="296">
        <f t="shared" si="32"/>
        <v>2.2917999459678238</v>
      </c>
      <c r="V86" s="296">
        <f t="shared" si="33"/>
        <v>0.69553998379034709</v>
      </c>
      <c r="W86" s="296">
        <f t="shared" si="34"/>
        <v>68.649853115058292</v>
      </c>
      <c r="X86" s="296">
        <f t="shared" si="35"/>
        <v>2.2917758040942284</v>
      </c>
      <c r="Y86" s="296">
        <f t="shared" si="36"/>
        <v>0.69553274122826858</v>
      </c>
      <c r="Z86" s="296">
        <f t="shared" si="37"/>
        <v>68.649484025272059</v>
      </c>
      <c r="AA86" s="296">
        <f t="shared" si="38"/>
        <v>2.2917774682268548</v>
      </c>
      <c r="AB86" s="296">
        <f t="shared" si="39"/>
        <v>0.69553324046805642</v>
      </c>
      <c r="AC86" s="296">
        <f t="shared" si="40"/>
        <v>68.649509467076129</v>
      </c>
      <c r="AD86" s="296">
        <f t="shared" si="41"/>
        <v>2.2917773535158612</v>
      </c>
      <c r="AE86" s="296">
        <f t="shared" si="42"/>
        <v>0.69553320605475832</v>
      </c>
      <c r="AF86" s="296">
        <f t="shared" si="43"/>
        <v>68.649507713336618</v>
      </c>
      <c r="AG86" s="296">
        <f t="shared" si="44"/>
        <v>2.2917773614230508</v>
      </c>
      <c r="AH86" s="475">
        <f t="shared" si="45"/>
        <v>0.69553320842691524</v>
      </c>
      <c r="AI86" s="475">
        <f t="shared" si="46"/>
        <v>68.649507834224352</v>
      </c>
      <c r="AJ86" s="475">
        <f t="shared" si="47"/>
        <v>2.2917773608779965</v>
      </c>
    </row>
    <row r="87" spans="11:36">
      <c r="K87" s="278">
        <f t="shared" si="25"/>
        <v>58.675456389452336</v>
      </c>
      <c r="L87" s="296">
        <f t="shared" si="26"/>
        <v>2.2601532869304823</v>
      </c>
      <c r="M87" s="296">
        <f t="shared" si="48"/>
        <v>0.68604598607914469</v>
      </c>
      <c r="N87" s="11">
        <f t="shared" si="27"/>
        <v>46.992065414589064</v>
      </c>
      <c r="O87" s="296">
        <f t="shared" si="28"/>
        <v>2.3336148556956284</v>
      </c>
      <c r="P87" s="11">
        <f t="shared" si="49"/>
        <v>0.70808445670868858</v>
      </c>
      <c r="Q87" s="296">
        <f t="shared" si="29"/>
        <v>47.730250964320454</v>
      </c>
      <c r="R87" s="296">
        <f t="shared" si="30"/>
        <v>2.3284034149019024</v>
      </c>
      <c r="S87" s="296">
        <f t="shared" si="50"/>
        <v>0.70652102447057075</v>
      </c>
      <c r="T87" s="296">
        <f t="shared" si="31"/>
        <v>47.677503296722371</v>
      </c>
      <c r="U87" s="296">
        <f t="shared" si="32"/>
        <v>2.3287728558874057</v>
      </c>
      <c r="V87" s="296">
        <f t="shared" si="33"/>
        <v>0.70663185676622176</v>
      </c>
      <c r="W87" s="296">
        <f t="shared" si="34"/>
        <v>47.681240678117469</v>
      </c>
      <c r="X87" s="296">
        <f t="shared" si="35"/>
        <v>2.3287466647468866</v>
      </c>
      <c r="Y87" s="296">
        <f t="shared" si="36"/>
        <v>0.70662399942406595</v>
      </c>
      <c r="Z87" s="296">
        <f t="shared" si="37"/>
        <v>47.68097571064056</v>
      </c>
      <c r="AA87" s="296">
        <f t="shared" si="38"/>
        <v>2.3287485215342971</v>
      </c>
      <c r="AB87" s="296">
        <f t="shared" si="39"/>
        <v>0.7066245564602891</v>
      </c>
      <c r="AC87" s="296">
        <f t="shared" si="40"/>
        <v>47.680994495122462</v>
      </c>
      <c r="AD87" s="296">
        <f t="shared" si="41"/>
        <v>2.3287483898996948</v>
      </c>
      <c r="AE87" s="296">
        <f t="shared" si="42"/>
        <v>0.70662451696990847</v>
      </c>
      <c r="AF87" s="296">
        <f t="shared" si="43"/>
        <v>47.680993163420069</v>
      </c>
      <c r="AG87" s="296">
        <f t="shared" si="44"/>
        <v>2.3287483992317637</v>
      </c>
      <c r="AH87" s="475">
        <f t="shared" si="45"/>
        <v>0.70662451976952911</v>
      </c>
      <c r="AI87" s="475">
        <f t="shared" si="46"/>
        <v>47.680993257829421</v>
      </c>
      <c r="AJ87" s="475">
        <f t="shared" si="47"/>
        <v>2.3287483985701782</v>
      </c>
    </row>
    <row r="88" spans="11:36">
      <c r="K88" s="278">
        <f t="shared" si="25"/>
        <v>60.568627450980394</v>
      </c>
      <c r="L88" s="296">
        <f t="shared" si="26"/>
        <v>2.265347337225101</v>
      </c>
      <c r="M88" s="296">
        <f t="shared" si="48"/>
        <v>0.68760420116753029</v>
      </c>
      <c r="N88" s="11">
        <f t="shared" si="27"/>
        <v>49.078794155788742</v>
      </c>
      <c r="O88" s="296">
        <f t="shared" si="28"/>
        <v>2.3342042356340409</v>
      </c>
      <c r="P88" s="11">
        <f t="shared" si="49"/>
        <v>0.70826127069021227</v>
      </c>
      <c r="Q88" s="296">
        <f t="shared" si="29"/>
        <v>49.766216776061917</v>
      </c>
      <c r="R88" s="296">
        <f t="shared" si="30"/>
        <v>2.3296033262924238</v>
      </c>
      <c r="S88" s="296">
        <f t="shared" si="50"/>
        <v>0.70688099788772718</v>
      </c>
      <c r="T88" s="296">
        <f t="shared" si="31"/>
        <v>49.719985582262943</v>
      </c>
      <c r="U88" s="296">
        <f t="shared" si="32"/>
        <v>2.3299105467688181</v>
      </c>
      <c r="V88" s="296">
        <f t="shared" si="33"/>
        <v>0.70697316403064547</v>
      </c>
      <c r="W88" s="296">
        <f t="shared" si="34"/>
        <v>49.723071278952467</v>
      </c>
      <c r="X88" s="296">
        <f t="shared" si="35"/>
        <v>2.3298900315552107</v>
      </c>
      <c r="Y88" s="296">
        <f t="shared" si="36"/>
        <v>0.70696700946656321</v>
      </c>
      <c r="Z88" s="296">
        <f t="shared" si="37"/>
        <v>49.722865219901315</v>
      </c>
      <c r="AA88" s="296">
        <f t="shared" si="38"/>
        <v>2.3298914014923287</v>
      </c>
      <c r="AB88" s="296">
        <f t="shared" si="39"/>
        <v>0.70696742044769856</v>
      </c>
      <c r="AC88" s="296">
        <f t="shared" si="40"/>
        <v>49.72287897980663</v>
      </c>
      <c r="AD88" s="296">
        <f t="shared" si="41"/>
        <v>2.3298913100125067</v>
      </c>
      <c r="AE88" s="296">
        <f t="shared" si="42"/>
        <v>0.706967393003752</v>
      </c>
      <c r="AF88" s="296">
        <f t="shared" si="43"/>
        <v>49.722878060966025</v>
      </c>
      <c r="AG88" s="296">
        <f t="shared" si="44"/>
        <v>2.3298913161212234</v>
      </c>
      <c r="AH88" s="475">
        <f t="shared" si="45"/>
        <v>0.70696739483636706</v>
      </c>
      <c r="AI88" s="475">
        <f t="shared" si="46"/>
        <v>49.722878122323131</v>
      </c>
      <c r="AJ88" s="475">
        <f t="shared" si="47"/>
        <v>2.3298913157133039</v>
      </c>
    </row>
    <row r="89" spans="11:36">
      <c r="K89" s="278">
        <f t="shared" si="25"/>
        <v>68.032258064516128</v>
      </c>
      <c r="L89" s="296">
        <f t="shared" si="26"/>
        <v>2.3354887820889707</v>
      </c>
      <c r="M89" s="296">
        <f t="shared" si="48"/>
        <v>0.7086466346266912</v>
      </c>
      <c r="N89" s="11">
        <f t="shared" si="27"/>
        <v>56.449938411855527</v>
      </c>
      <c r="O89" s="296">
        <f t="shared" si="28"/>
        <v>2.3930076741178379</v>
      </c>
      <c r="P89" s="11">
        <f t="shared" si="49"/>
        <v>0.72590230223535135</v>
      </c>
      <c r="Q89" s="296">
        <f t="shared" si="29"/>
        <v>57.077351919244194</v>
      </c>
      <c r="R89" s="296">
        <f t="shared" si="30"/>
        <v>2.3895630479923198</v>
      </c>
      <c r="S89" s="296">
        <f t="shared" si="50"/>
        <v>0.72486891439769596</v>
      </c>
      <c r="T89" s="296">
        <f t="shared" si="31"/>
        <v>57.039582555070488</v>
      </c>
      <c r="U89" s="296">
        <f t="shared" si="32"/>
        <v>2.3897692041831591</v>
      </c>
      <c r="V89" s="296">
        <f t="shared" si="33"/>
        <v>0.72493076125494771</v>
      </c>
      <c r="W89" s="296">
        <f t="shared" si="34"/>
        <v>57.041842296873348</v>
      </c>
      <c r="X89" s="296">
        <f t="shared" si="35"/>
        <v>2.3897568655428123</v>
      </c>
      <c r="Y89" s="296">
        <f t="shared" si="36"/>
        <v>0.72492705966284365</v>
      </c>
      <c r="Z89" s="296">
        <f t="shared" si="37"/>
        <v>57.041707046699635</v>
      </c>
      <c r="AA89" s="296">
        <f t="shared" si="38"/>
        <v>2.3897576040202555</v>
      </c>
      <c r="AB89" s="296">
        <f t="shared" si="39"/>
        <v>0.72492728120607663</v>
      </c>
      <c r="AC89" s="296">
        <f t="shared" si="40"/>
        <v>57.041715141521138</v>
      </c>
      <c r="AD89" s="296">
        <f t="shared" si="41"/>
        <v>2.3897575598217866</v>
      </c>
      <c r="AE89" s="296">
        <f t="shared" si="42"/>
        <v>0.72492726794653595</v>
      </c>
      <c r="AF89" s="296">
        <f t="shared" si="43"/>
        <v>57.04171465703952</v>
      </c>
      <c r="AG89" s="296">
        <f t="shared" si="44"/>
        <v>2.3897575624671008</v>
      </c>
      <c r="AH89" s="475">
        <f t="shared" si="45"/>
        <v>0.72492726874013025</v>
      </c>
      <c r="AI89" s="475">
        <f t="shared" si="46"/>
        <v>57.041714686036144</v>
      </c>
      <c r="AJ89" s="475">
        <f t="shared" si="47"/>
        <v>2.3897575623087763</v>
      </c>
    </row>
    <row r="90" spans="11:36">
      <c r="K90" s="278">
        <f t="shared" si="25"/>
        <v>73.191176470588232</v>
      </c>
      <c r="L90" s="296">
        <f t="shared" si="26"/>
        <v>2.1866907529655015</v>
      </c>
      <c r="M90" s="296">
        <f t="shared" si="48"/>
        <v>0.66400722588965044</v>
      </c>
      <c r="N90" s="11">
        <f t="shared" si="27"/>
        <v>59.651568667057326</v>
      </c>
      <c r="O90" s="296">
        <f t="shared" si="28"/>
        <v>2.2527252216779372</v>
      </c>
      <c r="P90" s="11">
        <f t="shared" si="49"/>
        <v>0.68381756650338121</v>
      </c>
      <c r="Q90" s="296">
        <f t="shared" si="29"/>
        <v>60.375361583614783</v>
      </c>
      <c r="R90" s="296">
        <f t="shared" si="30"/>
        <v>2.2487882237153185</v>
      </c>
      <c r="S90" s="296">
        <f t="shared" si="50"/>
        <v>0.68263646711459558</v>
      </c>
      <c r="T90" s="296">
        <f t="shared" si="31"/>
        <v>60.331963654742808</v>
      </c>
      <c r="U90" s="296">
        <f t="shared" si="32"/>
        <v>2.2490228001330892</v>
      </c>
      <c r="V90" s="296">
        <f t="shared" si="33"/>
        <v>0.68270684003992677</v>
      </c>
      <c r="W90" s="296">
        <f t="shared" si="34"/>
        <v>60.334548540273573</v>
      </c>
      <c r="X90" s="296">
        <f t="shared" si="35"/>
        <v>2.2490088229402074</v>
      </c>
      <c r="Y90" s="296">
        <f t="shared" si="36"/>
        <v>0.68270264688206228</v>
      </c>
      <c r="Z90" s="296">
        <f t="shared" si="37"/>
        <v>60.334394517239936</v>
      </c>
      <c r="AA90" s="296">
        <f t="shared" si="38"/>
        <v>2.2490096557668058</v>
      </c>
      <c r="AB90" s="296">
        <f t="shared" si="39"/>
        <v>0.6827028967300417</v>
      </c>
      <c r="AC90" s="296">
        <f t="shared" si="40"/>
        <v>60.334403694642454</v>
      </c>
      <c r="AD90" s="296">
        <f t="shared" si="41"/>
        <v>2.2490096061430909</v>
      </c>
      <c r="AE90" s="296">
        <f t="shared" si="42"/>
        <v>0.68270288184292727</v>
      </c>
      <c r="AF90" s="296">
        <f t="shared" si="43"/>
        <v>60.334403147809731</v>
      </c>
      <c r="AG90" s="296">
        <f t="shared" si="44"/>
        <v>2.2490096090999048</v>
      </c>
      <c r="AH90" s="475">
        <f t="shared" si="45"/>
        <v>0.68270288272997148</v>
      </c>
      <c r="AI90" s="475">
        <f t="shared" si="46"/>
        <v>60.334403180392592</v>
      </c>
      <c r="AJ90" s="475">
        <f t="shared" si="47"/>
        <v>2.2490096089237235</v>
      </c>
    </row>
    <row r="91" spans="11:36">
      <c r="K91" s="278">
        <f t="shared" si="25"/>
        <v>56.64705882352942</v>
      </c>
      <c r="L91" s="296">
        <f t="shared" si="26"/>
        <v>2.335354221488056</v>
      </c>
      <c r="M91" s="296">
        <f t="shared" si="48"/>
        <v>0.70860626644641678</v>
      </c>
      <c r="N91" s="11">
        <f t="shared" si="27"/>
        <v>47.865953726276913</v>
      </c>
      <c r="O91" s="296">
        <f t="shared" si="28"/>
        <v>2.3896451070242524</v>
      </c>
      <c r="P91" s="11">
        <f t="shared" si="49"/>
        <v>0.7248935321072757</v>
      </c>
      <c r="Q91" s="296">
        <f t="shared" si="29"/>
        <v>48.318720470113732</v>
      </c>
      <c r="R91" s="296">
        <f t="shared" si="30"/>
        <v>2.3865839806839073</v>
      </c>
      <c r="S91" s="296">
        <f t="shared" si="50"/>
        <v>0.7239751942051722</v>
      </c>
      <c r="T91" s="296">
        <f t="shared" si="31"/>
        <v>48.29307820795681</v>
      </c>
      <c r="U91" s="296">
        <f t="shared" si="32"/>
        <v>2.3867564967253521</v>
      </c>
      <c r="V91" s="296">
        <f t="shared" si="33"/>
        <v>0.72402694901760567</v>
      </c>
      <c r="W91" s="296">
        <f t="shared" si="34"/>
        <v>48.294522968220662</v>
      </c>
      <c r="X91" s="296">
        <f t="shared" si="35"/>
        <v>2.3867467739701378</v>
      </c>
      <c r="Y91" s="296">
        <f t="shared" si="36"/>
        <v>0.72402403219104139</v>
      </c>
      <c r="Z91" s="296">
        <f t="shared" si="37"/>
        <v>48.294441542467176</v>
      </c>
      <c r="AA91" s="296">
        <f t="shared" si="38"/>
        <v>2.3867473219297675</v>
      </c>
      <c r="AB91" s="296">
        <f t="shared" si="39"/>
        <v>0.72402419657893025</v>
      </c>
      <c r="AC91" s="296">
        <f t="shared" si="40"/>
        <v>48.294446131494588</v>
      </c>
      <c r="AD91" s="296">
        <f t="shared" si="41"/>
        <v>2.3867472910475978</v>
      </c>
      <c r="AE91" s="296">
        <f t="shared" si="42"/>
        <v>0.72402418731427931</v>
      </c>
      <c r="AF91" s="296">
        <f t="shared" si="43"/>
        <v>48.294445872863989</v>
      </c>
      <c r="AG91" s="296">
        <f t="shared" si="44"/>
        <v>2.3867472927880695</v>
      </c>
      <c r="AH91" s="475">
        <f t="shared" si="45"/>
        <v>0.72402418783642086</v>
      </c>
      <c r="AI91" s="475">
        <f t="shared" si="46"/>
        <v>48.294445887440013</v>
      </c>
      <c r="AJ91" s="475">
        <f t="shared" si="47"/>
        <v>2.3867472926899791</v>
      </c>
    </row>
    <row r="92" spans="11:36">
      <c r="K92" s="278">
        <f t="shared" si="25"/>
        <v>42.806228373702417</v>
      </c>
      <c r="L92" s="296">
        <f t="shared" si="26"/>
        <v>2.3283098103281765</v>
      </c>
      <c r="M92" s="296">
        <f t="shared" si="48"/>
        <v>0.70649294309845301</v>
      </c>
      <c r="N92" s="11">
        <f t="shared" si="27"/>
        <v>36.44442517679358</v>
      </c>
      <c r="O92" s="296">
        <f t="shared" si="28"/>
        <v>2.38387117324908</v>
      </c>
      <c r="P92" s="11">
        <f t="shared" si="49"/>
        <v>0.72316135197472398</v>
      </c>
      <c r="Q92" s="296">
        <f t="shared" si="29"/>
        <v>36.778955281566738</v>
      </c>
      <c r="R92" s="296">
        <f t="shared" si="30"/>
        <v>2.3806956163942918</v>
      </c>
      <c r="S92" s="296">
        <f t="shared" si="50"/>
        <v>0.7222086849182876</v>
      </c>
      <c r="T92" s="296">
        <f t="shared" si="31"/>
        <v>36.759753061471748</v>
      </c>
      <c r="U92" s="296">
        <f t="shared" si="32"/>
        <v>2.380877048238192</v>
      </c>
      <c r="V92" s="296">
        <f t="shared" si="33"/>
        <v>0.72226311447145763</v>
      </c>
      <c r="W92" s="296">
        <f t="shared" si="34"/>
        <v>36.760849888483357</v>
      </c>
      <c r="X92" s="296">
        <f t="shared" si="35"/>
        <v>2.3808666821257582</v>
      </c>
      <c r="Y92" s="296">
        <f t="shared" si="36"/>
        <v>0.72226000463772744</v>
      </c>
      <c r="Z92" s="296">
        <f t="shared" si="37"/>
        <v>36.760787220366169</v>
      </c>
      <c r="AA92" s="296">
        <f t="shared" si="38"/>
        <v>2.3808672743931383</v>
      </c>
      <c r="AB92" s="296">
        <f t="shared" si="39"/>
        <v>0.72226018231794153</v>
      </c>
      <c r="AC92" s="296">
        <f t="shared" si="40"/>
        <v>36.760790800903422</v>
      </c>
      <c r="AD92" s="296">
        <f t="shared" si="41"/>
        <v>2.380867240553965</v>
      </c>
      <c r="AE92" s="296">
        <f t="shared" si="42"/>
        <v>0.72226017216618954</v>
      </c>
      <c r="AF92" s="296">
        <f t="shared" si="43"/>
        <v>36.760790596329564</v>
      </c>
      <c r="AG92" s="296">
        <f t="shared" si="44"/>
        <v>2.3808672424873651</v>
      </c>
      <c r="AH92" s="475">
        <f t="shared" si="45"/>
        <v>0.72226017274620957</v>
      </c>
      <c r="AI92" s="475">
        <f t="shared" si="46"/>
        <v>36.760790608017885</v>
      </c>
      <c r="AJ92" s="475">
        <f t="shared" si="47"/>
        <v>2.3808672423769002</v>
      </c>
    </row>
    <row r="93" spans="11:36">
      <c r="K93" s="278">
        <f t="shared" si="25"/>
        <v>31.436974789915965</v>
      </c>
      <c r="L93" s="296">
        <f t="shared" si="26"/>
        <v>2.7051211996695392</v>
      </c>
      <c r="M93" s="296">
        <f t="shared" si="48"/>
        <v>0.81953635990086182</v>
      </c>
      <c r="N93" s="11">
        <f t="shared" si="27"/>
        <v>28.625247980728371</v>
      </c>
      <c r="O93" s="296">
        <f t="shared" si="28"/>
        <v>2.7349349624935804</v>
      </c>
      <c r="P93" s="11">
        <f t="shared" si="49"/>
        <v>0.82848048874807412</v>
      </c>
      <c r="Q93" s="296">
        <f t="shared" si="29"/>
        <v>28.758485220982227</v>
      </c>
      <c r="R93" s="296">
        <f t="shared" si="30"/>
        <v>2.7334507261428791</v>
      </c>
      <c r="S93" s="296">
        <f t="shared" si="50"/>
        <v>0.82803521784286382</v>
      </c>
      <c r="T93" s="296">
        <f t="shared" si="31"/>
        <v>28.751837547420457</v>
      </c>
      <c r="U93" s="296">
        <f t="shared" si="32"/>
        <v>2.7335246006355183</v>
      </c>
      <c r="V93" s="296">
        <f t="shared" si="33"/>
        <v>0.82805738019065545</v>
      </c>
      <c r="W93" s="296">
        <f t="shared" si="34"/>
        <v>28.752168383929529</v>
      </c>
      <c r="X93" s="296">
        <f t="shared" si="35"/>
        <v>2.7335209236604734</v>
      </c>
      <c r="Y93" s="296">
        <f t="shared" si="36"/>
        <v>0.82805627709814211</v>
      </c>
      <c r="Z93" s="296">
        <f t="shared" si="37"/>
        <v>28.752151917024719</v>
      </c>
      <c r="AA93" s="296">
        <f t="shared" si="38"/>
        <v>2.733521106675445</v>
      </c>
      <c r="AB93" s="296">
        <f t="shared" si="39"/>
        <v>0.82805633200263351</v>
      </c>
      <c r="AC93" s="296">
        <f t="shared" si="40"/>
        <v>28.752152736635747</v>
      </c>
      <c r="AD93" s="296">
        <f t="shared" si="41"/>
        <v>2.7335210975661957</v>
      </c>
      <c r="AE93" s="296">
        <f t="shared" si="42"/>
        <v>0.82805632926985873</v>
      </c>
      <c r="AF93" s="296">
        <f t="shared" si="43"/>
        <v>28.752152695841048</v>
      </c>
      <c r="AG93" s="296">
        <f t="shared" si="44"/>
        <v>2.733521098019593</v>
      </c>
      <c r="AH93" s="475">
        <f t="shared" si="45"/>
        <v>0.82805632940587792</v>
      </c>
      <c r="AI93" s="475">
        <f t="shared" si="46"/>
        <v>28.752152697871534</v>
      </c>
      <c r="AJ93" s="475">
        <f t="shared" si="47"/>
        <v>2.7335210979970257</v>
      </c>
    </row>
    <row r="94" spans="11:36">
      <c r="K94" s="278">
        <f t="shared" si="25"/>
        <v>14.163398692810455</v>
      </c>
      <c r="L94" s="296">
        <f t="shared" si="26"/>
        <v>2.9878038582767394</v>
      </c>
      <c r="M94" s="296">
        <f t="shared" si="48"/>
        <v>0.9043411574830218</v>
      </c>
      <c r="N94" s="11">
        <f t="shared" si="27"/>
        <v>13.513516255060221</v>
      </c>
      <c r="O94" s="296">
        <f t="shared" si="28"/>
        <v>3.0036631416392137</v>
      </c>
      <c r="P94" s="11">
        <f t="shared" si="49"/>
        <v>0.90909894249176415</v>
      </c>
      <c r="Q94" s="296">
        <f t="shared" si="29"/>
        <v>13.545123191886825</v>
      </c>
      <c r="R94" s="296">
        <f t="shared" si="30"/>
        <v>3.0028730528687455</v>
      </c>
      <c r="S94" s="296">
        <f t="shared" si="50"/>
        <v>0.9088619158606237</v>
      </c>
      <c r="T94" s="296">
        <f t="shared" si="31"/>
        <v>13.543546827325175</v>
      </c>
      <c r="U94" s="296">
        <f t="shared" si="32"/>
        <v>3.0029124108653642</v>
      </c>
      <c r="V94" s="296">
        <f t="shared" si="33"/>
        <v>0.90887372325960936</v>
      </c>
      <c r="W94" s="296">
        <f t="shared" si="34"/>
        <v>13.54362534903424</v>
      </c>
      <c r="X94" s="296">
        <f t="shared" si="35"/>
        <v>3.0029104502525583</v>
      </c>
      <c r="Y94" s="296">
        <f t="shared" si="36"/>
        <v>0.9088731350757675</v>
      </c>
      <c r="Z94" s="296">
        <f t="shared" si="37"/>
        <v>13.543621437476093</v>
      </c>
      <c r="AA94" s="296">
        <f t="shared" si="38"/>
        <v>3.0029105479201772</v>
      </c>
      <c r="AB94" s="296">
        <f t="shared" si="39"/>
        <v>0.90887316437605326</v>
      </c>
      <c r="AC94" s="296">
        <f t="shared" si="40"/>
        <v>13.543621632329721</v>
      </c>
      <c r="AD94" s="296">
        <f t="shared" si="41"/>
        <v>3.0029105430548801</v>
      </c>
      <c r="AE94" s="296">
        <f t="shared" si="42"/>
        <v>0.90887316291646414</v>
      </c>
      <c r="AF94" s="296">
        <f t="shared" si="43"/>
        <v>13.543621622623119</v>
      </c>
      <c r="AG94" s="296">
        <f t="shared" si="44"/>
        <v>3.0029105432972441</v>
      </c>
      <c r="AH94" s="475">
        <f t="shared" si="45"/>
        <v>0.90887316298917331</v>
      </c>
      <c r="AI94" s="475">
        <f t="shared" si="46"/>
        <v>13.543621623106651</v>
      </c>
      <c r="AJ94" s="475">
        <f t="shared" si="47"/>
        <v>3.0029105432851706</v>
      </c>
    </row>
    <row r="95" spans="11:36">
      <c r="K95" s="278">
        <f t="shared" si="25"/>
        <v>61.41653418124006</v>
      </c>
      <c r="L95" s="296">
        <f t="shared" si="26"/>
        <v>2.302281436188796</v>
      </c>
      <c r="M95" s="296">
        <f t="shared" si="48"/>
        <v>0.69868443085663878</v>
      </c>
      <c r="N95" s="11">
        <f t="shared" si="27"/>
        <v>53.409143029935422</v>
      </c>
      <c r="O95" s="296">
        <f t="shared" si="28"/>
        <v>2.3469637534119667</v>
      </c>
      <c r="P95" s="11">
        <f t="shared" si="49"/>
        <v>0.71208912602358998</v>
      </c>
      <c r="Q95" s="296">
        <f t="shared" si="29"/>
        <v>53.742100447587056</v>
      </c>
      <c r="R95" s="296">
        <f t="shared" si="30"/>
        <v>2.3449606948780404</v>
      </c>
      <c r="S95" s="296">
        <f t="shared" si="50"/>
        <v>0.7114882084634121</v>
      </c>
      <c r="T95" s="296">
        <f t="shared" si="31"/>
        <v>53.727129993753948</v>
      </c>
      <c r="U95" s="296">
        <f t="shared" si="32"/>
        <v>2.3450504598850164</v>
      </c>
      <c r="V95" s="296">
        <f t="shared" si="33"/>
        <v>0.71151513796550492</v>
      </c>
      <c r="W95" s="296">
        <f t="shared" si="34"/>
        <v>53.727800789974879</v>
      </c>
      <c r="X95" s="296">
        <f t="shared" si="35"/>
        <v>2.3450464370985284</v>
      </c>
      <c r="Y95" s="296">
        <f t="shared" si="36"/>
        <v>0.71151393112955852</v>
      </c>
      <c r="Z95" s="296">
        <f t="shared" si="37"/>
        <v>53.72777072830435</v>
      </c>
      <c r="AA95" s="296">
        <f t="shared" si="38"/>
        <v>2.3450466173781366</v>
      </c>
      <c r="AB95" s="296">
        <f t="shared" si="39"/>
        <v>0.711513985213441</v>
      </c>
      <c r="AC95" s="296">
        <f t="shared" si="40"/>
        <v>53.727772075506032</v>
      </c>
      <c r="AD95" s="296">
        <f t="shared" si="41"/>
        <v>2.3450466092989761</v>
      </c>
      <c r="AE95" s="296">
        <f t="shared" si="42"/>
        <v>0.7115139827896928</v>
      </c>
      <c r="AF95" s="296">
        <f t="shared" si="43"/>
        <v>53.72777201513172</v>
      </c>
      <c r="AG95" s="296">
        <f t="shared" si="44"/>
        <v>2.3450466096610407</v>
      </c>
      <c r="AH95" s="475">
        <f t="shared" si="45"/>
        <v>0.71151398289831225</v>
      </c>
      <c r="AI95" s="475">
        <f t="shared" si="46"/>
        <v>53.727772017837374</v>
      </c>
      <c r="AJ95" s="475">
        <f t="shared" si="47"/>
        <v>2.3450466096448146</v>
      </c>
    </row>
    <row r="96" spans="11:36">
      <c r="K96" s="278">
        <f t="shared" si="25"/>
        <v>52.003095975232206</v>
      </c>
      <c r="L96" s="296">
        <f t="shared" si="26"/>
        <v>2.3221321853486927</v>
      </c>
      <c r="M96" s="296">
        <f t="shared" si="48"/>
        <v>0.70463965560460784</v>
      </c>
      <c r="N96" s="11">
        <f t="shared" si="27"/>
        <v>45.706652057195583</v>
      </c>
      <c r="O96" s="296">
        <f t="shared" si="28"/>
        <v>2.364753444022754</v>
      </c>
      <c r="P96" s="11">
        <f t="shared" si="49"/>
        <v>0.71742603320682619</v>
      </c>
      <c r="Q96" s="296">
        <f t="shared" si="29"/>
        <v>45.962733556998124</v>
      </c>
      <c r="R96" s="296">
        <f t="shared" si="30"/>
        <v>2.3628967245056027</v>
      </c>
      <c r="S96" s="296">
        <f t="shared" si="50"/>
        <v>0.71686901735168085</v>
      </c>
      <c r="T96" s="296">
        <f t="shared" si="31"/>
        <v>45.951547989056053</v>
      </c>
      <c r="U96" s="296">
        <f t="shared" si="32"/>
        <v>2.3629775876837198</v>
      </c>
      <c r="V96" s="296">
        <f t="shared" si="33"/>
        <v>0.7168932763051159</v>
      </c>
      <c r="W96" s="296">
        <f t="shared" si="34"/>
        <v>45.952035082172969</v>
      </c>
      <c r="X96" s="296">
        <f t="shared" si="35"/>
        <v>2.3629740659189307</v>
      </c>
      <c r="Y96" s="296">
        <f t="shared" si="36"/>
        <v>0.71689221977567918</v>
      </c>
      <c r="Z96" s="296">
        <f t="shared" si="37"/>
        <v>45.952013868115792</v>
      </c>
      <c r="AA96" s="296">
        <f t="shared" si="38"/>
        <v>2.3629742192992609</v>
      </c>
      <c r="AB96" s="296">
        <f t="shared" si="39"/>
        <v>0.71689226578977827</v>
      </c>
      <c r="AC96" s="296">
        <f t="shared" si="40"/>
        <v>45.952014792032799</v>
      </c>
      <c r="AD96" s="296">
        <f t="shared" si="41"/>
        <v>2.3629742126192221</v>
      </c>
      <c r="AE96" s="296">
        <f t="shared" si="42"/>
        <v>0.71689226378576665</v>
      </c>
      <c r="AF96" s="296">
        <f t="shared" si="43"/>
        <v>45.952014751794252</v>
      </c>
      <c r="AG96" s="296">
        <f t="shared" si="44"/>
        <v>2.3629742129101521</v>
      </c>
      <c r="AH96" s="475">
        <f t="shared" si="45"/>
        <v>0.71689226387304561</v>
      </c>
      <c r="AI96" s="475">
        <f t="shared" si="46"/>
        <v>45.952014753546727</v>
      </c>
      <c r="AJ96" s="475">
        <f t="shared" si="47"/>
        <v>2.3629742128974813</v>
      </c>
    </row>
    <row r="97" spans="11:36">
      <c r="K97" s="278">
        <f t="shared" si="25"/>
        <v>64.188536953242831</v>
      </c>
      <c r="L97" s="296">
        <f t="shared" si="26"/>
        <v>2.3709799388906116</v>
      </c>
      <c r="M97" s="296">
        <f t="shared" si="48"/>
        <v>0.7192939816671835</v>
      </c>
      <c r="N97" s="11">
        <f t="shared" si="27"/>
        <v>57.194629387009456</v>
      </c>
      <c r="O97" s="296">
        <f t="shared" si="28"/>
        <v>2.406377000544929</v>
      </c>
      <c r="P97" s="11">
        <f t="shared" si="49"/>
        <v>0.72991310016347866</v>
      </c>
      <c r="Q97" s="296">
        <f t="shared" si="29"/>
        <v>57.444786432707566</v>
      </c>
      <c r="R97" s="296">
        <f t="shared" si="30"/>
        <v>2.4050284143164404</v>
      </c>
      <c r="S97" s="296">
        <f t="shared" si="50"/>
        <v>0.72950852429493218</v>
      </c>
      <c r="T97" s="296">
        <f t="shared" si="31"/>
        <v>57.435235726580302</v>
      </c>
      <c r="U97" s="296">
        <f t="shared" si="32"/>
        <v>2.4050797803447987</v>
      </c>
      <c r="V97" s="296">
        <f t="shared" si="33"/>
        <v>0.72952393410343963</v>
      </c>
      <c r="W97" s="296">
        <f t="shared" si="34"/>
        <v>57.435599472405876</v>
      </c>
      <c r="X97" s="296">
        <f t="shared" si="35"/>
        <v>2.4050778238549029</v>
      </c>
      <c r="Y97" s="296">
        <f t="shared" si="36"/>
        <v>0.72952334715647082</v>
      </c>
      <c r="Z97" s="296">
        <f t="shared" si="37"/>
        <v>57.435585617583484</v>
      </c>
      <c r="AA97" s="296">
        <f t="shared" si="38"/>
        <v>2.40507789837597</v>
      </c>
      <c r="AB97" s="296">
        <f t="shared" si="39"/>
        <v>0.72952336951279095</v>
      </c>
      <c r="AC97" s="296">
        <f t="shared" si="40"/>
        <v>57.43558614530204</v>
      </c>
      <c r="AD97" s="296">
        <f t="shared" si="41"/>
        <v>2.4050778955375245</v>
      </c>
      <c r="AE97" s="296">
        <f t="shared" si="42"/>
        <v>0.72952336866125733</v>
      </c>
      <c r="AF97" s="296">
        <f t="shared" si="43"/>
        <v>57.435586125201681</v>
      </c>
      <c r="AG97" s="296">
        <f t="shared" si="44"/>
        <v>2.4050778956456389</v>
      </c>
      <c r="AH97" s="475">
        <f t="shared" si="45"/>
        <v>0.72952336869369172</v>
      </c>
      <c r="AI97" s="475">
        <f t="shared" si="46"/>
        <v>57.435586125967284</v>
      </c>
      <c r="AJ97" s="475">
        <f t="shared" si="47"/>
        <v>2.4050778956415209</v>
      </c>
    </row>
    <row r="98" spans="11:36">
      <c r="K98" s="278">
        <f t="shared" si="25"/>
        <v>52.235294117647065</v>
      </c>
      <c r="L98" s="296">
        <f t="shared" si="26"/>
        <v>2.271261600344832</v>
      </c>
      <c r="M98" s="296">
        <f t="shared" si="48"/>
        <v>0.6893784801034496</v>
      </c>
      <c r="N98" s="11">
        <f t="shared" si="27"/>
        <v>46.33804514082783</v>
      </c>
      <c r="O98" s="296">
        <f t="shared" si="28"/>
        <v>2.3116314628061181</v>
      </c>
      <c r="P98" s="11">
        <f t="shared" si="49"/>
        <v>0.70148943884183546</v>
      </c>
      <c r="Q98" s="296">
        <f t="shared" si="29"/>
        <v>46.55498445205837</v>
      </c>
      <c r="R98" s="296">
        <f t="shared" si="30"/>
        <v>2.3100487298952674</v>
      </c>
      <c r="S98" s="296">
        <f t="shared" si="50"/>
        <v>0.70101461896858019</v>
      </c>
      <c r="T98" s="296">
        <f t="shared" si="31"/>
        <v>46.546460074033703</v>
      </c>
      <c r="U98" s="296">
        <f t="shared" si="32"/>
        <v>2.310110769087665</v>
      </c>
      <c r="V98" s="296">
        <f t="shared" si="33"/>
        <v>0.70103323072629953</v>
      </c>
      <c r="W98" s="296">
        <f t="shared" si="34"/>
        <v>46.546794179050956</v>
      </c>
      <c r="X98" s="296">
        <f t="shared" si="35"/>
        <v>2.3101083372854898</v>
      </c>
      <c r="Y98" s="296">
        <f t="shared" si="36"/>
        <v>0.70103250118564697</v>
      </c>
      <c r="Z98" s="296">
        <f t="shared" si="37"/>
        <v>46.546781082811655</v>
      </c>
      <c r="AA98" s="296">
        <f t="shared" si="38"/>
        <v>2.3101084326068451</v>
      </c>
      <c r="AB98" s="296">
        <f t="shared" si="39"/>
        <v>0.70103252978205355</v>
      </c>
      <c r="AC98" s="296">
        <f t="shared" si="40"/>
        <v>46.546781596155682</v>
      </c>
      <c r="AD98" s="296">
        <f t="shared" si="41"/>
        <v>2.3101084288704552</v>
      </c>
      <c r="AE98" s="296">
        <f t="shared" si="42"/>
        <v>0.70103252866113652</v>
      </c>
      <c r="AF98" s="296">
        <f t="shared" si="43"/>
        <v>46.546781576033709</v>
      </c>
      <c r="AG98" s="296">
        <f t="shared" si="44"/>
        <v>2.3101084290169136</v>
      </c>
      <c r="AH98" s="475">
        <f t="shared" si="45"/>
        <v>0.70103252870507404</v>
      </c>
      <c r="AI98" s="475">
        <f t="shared" si="46"/>
        <v>46.546781576822447</v>
      </c>
      <c r="AJ98" s="475">
        <f t="shared" si="47"/>
        <v>2.3101084290111729</v>
      </c>
    </row>
    <row r="99" spans="11:36">
      <c r="K99" s="278">
        <f t="shared" si="25"/>
        <v>68.12482065997132</v>
      </c>
      <c r="L99" s="296">
        <f t="shared" si="26"/>
        <v>2.2685890822321735</v>
      </c>
      <c r="M99" s="296">
        <f t="shared" si="48"/>
        <v>0.68857672466965203</v>
      </c>
      <c r="N99" s="11">
        <f t="shared" si="27"/>
        <v>60.881369100370328</v>
      </c>
      <c r="O99" s="296">
        <f t="shared" si="28"/>
        <v>2.3040594440794875</v>
      </c>
      <c r="P99" s="11">
        <f t="shared" si="49"/>
        <v>0.69921783322384623</v>
      </c>
      <c r="Q99" s="296">
        <f t="shared" si="29"/>
        <v>61.115671421141364</v>
      </c>
      <c r="R99" s="296">
        <f t="shared" si="30"/>
        <v>2.302839383869189</v>
      </c>
      <c r="S99" s="296">
        <f t="shared" si="50"/>
        <v>0.69885181516075667</v>
      </c>
      <c r="T99" s="296">
        <f t="shared" si="31"/>
        <v>61.107597260845402</v>
      </c>
      <c r="U99" s="296">
        <f t="shared" si="32"/>
        <v>2.3028813404713322</v>
      </c>
      <c r="V99" s="296">
        <f t="shared" si="33"/>
        <v>0.69886440214139967</v>
      </c>
      <c r="W99" s="296">
        <f t="shared" si="34"/>
        <v>61.10787490511192</v>
      </c>
      <c r="X99" s="296">
        <f t="shared" si="35"/>
        <v>2.3028798976163607</v>
      </c>
      <c r="Y99" s="296">
        <f t="shared" si="36"/>
        <v>0.69886396928490824</v>
      </c>
      <c r="Z99" s="296">
        <f t="shared" si="37"/>
        <v>61.107865357120218</v>
      </c>
      <c r="AA99" s="296">
        <f t="shared" si="38"/>
        <v>2.3028799472350094</v>
      </c>
      <c r="AB99" s="296">
        <f t="shared" si="39"/>
        <v>0.69886398417050288</v>
      </c>
      <c r="AC99" s="296">
        <f t="shared" si="40"/>
        <v>61.107865685468134</v>
      </c>
      <c r="AD99" s="296">
        <f t="shared" si="41"/>
        <v>2.3028799455286633</v>
      </c>
      <c r="AE99" s="296">
        <f t="shared" si="42"/>
        <v>0.69886398365859903</v>
      </c>
      <c r="AF99" s="296">
        <f t="shared" si="43"/>
        <v>61.107865674176509</v>
      </c>
      <c r="AG99" s="296">
        <f t="shared" si="44"/>
        <v>2.3028799455873434</v>
      </c>
      <c r="AH99" s="475">
        <f t="shared" si="45"/>
        <v>0.69886398367620306</v>
      </c>
      <c r="AI99" s="475">
        <f t="shared" si="46"/>
        <v>61.107865674564813</v>
      </c>
      <c r="AJ99" s="475">
        <f t="shared" si="47"/>
        <v>2.302879945585325</v>
      </c>
    </row>
    <row r="100" spans="11:36">
      <c r="K100" s="278">
        <f t="shared" si="25"/>
        <v>76.254901960784309</v>
      </c>
      <c r="L100" s="296">
        <f t="shared" si="26"/>
        <v>2.2755926645934705</v>
      </c>
      <c r="M100" s="296">
        <f t="shared" si="48"/>
        <v>0.69067779937804119</v>
      </c>
      <c r="N100" s="11">
        <f t="shared" si="27"/>
        <v>68.708960155946684</v>
      </c>
      <c r="O100" s="296">
        <f t="shared" si="28"/>
        <v>2.3073954246923818</v>
      </c>
      <c r="P100" s="11">
        <f t="shared" si="49"/>
        <v>0.70021862740771457</v>
      </c>
      <c r="Q100" s="296">
        <f t="shared" si="29"/>
        <v>68.930148824332832</v>
      </c>
      <c r="R100" s="296">
        <f t="shared" si="30"/>
        <v>2.3064077734657595</v>
      </c>
      <c r="S100" s="296">
        <f t="shared" si="50"/>
        <v>0.69992233203972787</v>
      </c>
      <c r="T100" s="296">
        <f t="shared" si="31"/>
        <v>68.923268994009348</v>
      </c>
      <c r="U100" s="296">
        <f t="shared" si="32"/>
        <v>2.3064384391407899</v>
      </c>
      <c r="V100" s="296">
        <f t="shared" si="33"/>
        <v>0.69993153174223699</v>
      </c>
      <c r="W100" s="296">
        <f t="shared" si="34"/>
        <v>68.923482596173031</v>
      </c>
      <c r="X100" s="296">
        <f t="shared" si="35"/>
        <v>2.3064374869932642</v>
      </c>
      <c r="Y100" s="296">
        <f t="shared" si="36"/>
        <v>0.6999312460979793</v>
      </c>
      <c r="Z100" s="296">
        <f t="shared" si="37"/>
        <v>68.923475963966922</v>
      </c>
      <c r="AA100" s="296">
        <f t="shared" si="38"/>
        <v>2.3064375165567657</v>
      </c>
      <c r="AB100" s="296">
        <f t="shared" si="39"/>
        <v>0.69993125496702968</v>
      </c>
      <c r="AC100" s="296">
        <f t="shared" si="40"/>
        <v>68.923476169892183</v>
      </c>
      <c r="AD100" s="296">
        <f t="shared" si="41"/>
        <v>2.3064375156388399</v>
      </c>
      <c r="AE100" s="296">
        <f t="shared" si="42"/>
        <v>0.69993125469165196</v>
      </c>
      <c r="AF100" s="296">
        <f t="shared" si="43"/>
        <v>68.92347616349835</v>
      </c>
      <c r="AG100" s="296">
        <f t="shared" si="44"/>
        <v>2.3064375156673411</v>
      </c>
      <c r="AH100" s="475">
        <f t="shared" si="45"/>
        <v>0.69993125470020234</v>
      </c>
      <c r="AI100" s="475">
        <f t="shared" si="46"/>
        <v>68.923476163696876</v>
      </c>
      <c r="AJ100" s="475">
        <f t="shared" si="47"/>
        <v>2.3064375156664561</v>
      </c>
    </row>
    <row r="101" spans="11:36">
      <c r="K101" s="278">
        <f t="shared" si="25"/>
        <v>73.062927496580031</v>
      </c>
      <c r="L101" s="296">
        <f t="shared" si="26"/>
        <v>2.2461253294570116</v>
      </c>
      <c r="M101" s="296">
        <f t="shared" si="48"/>
        <v>0.68183759883710349</v>
      </c>
      <c r="N101" s="11">
        <f t="shared" si="27"/>
        <v>66.130330852187228</v>
      </c>
      <c r="O101" s="296">
        <f t="shared" si="28"/>
        <v>2.2772895636777069</v>
      </c>
      <c r="P101" s="11">
        <f t="shared" si="49"/>
        <v>0.69118686910331206</v>
      </c>
      <c r="Q101" s="296">
        <f t="shared" si="29"/>
        <v>66.324344848956926</v>
      </c>
      <c r="R101" s="296">
        <f t="shared" si="30"/>
        <v>2.276368136631767</v>
      </c>
      <c r="S101" s="296">
        <f t="shared" si="50"/>
        <v>0.69091044098953014</v>
      </c>
      <c r="T101" s="296">
        <f t="shared" si="31"/>
        <v>66.318600315922495</v>
      </c>
      <c r="U101" s="296">
        <f t="shared" si="32"/>
        <v>2.2763953754412585</v>
      </c>
      <c r="V101" s="296">
        <f t="shared" si="33"/>
        <v>0.69091861263237753</v>
      </c>
      <c r="W101" s="296">
        <f t="shared" si="34"/>
        <v>66.318770126072337</v>
      </c>
      <c r="X101" s="296">
        <f t="shared" si="35"/>
        <v>2.2763945702156536</v>
      </c>
      <c r="Y101" s="296">
        <f t="shared" si="36"/>
        <v>0.69091837106469611</v>
      </c>
      <c r="Z101" s="296">
        <f t="shared" si="37"/>
        <v>66.318765106188835</v>
      </c>
      <c r="AA101" s="296">
        <f t="shared" si="38"/>
        <v>2.2763945940194898</v>
      </c>
      <c r="AB101" s="296">
        <f t="shared" si="39"/>
        <v>0.69091837820584701</v>
      </c>
      <c r="AC101" s="296">
        <f t="shared" si="40"/>
        <v>66.318765254585102</v>
      </c>
      <c r="AD101" s="296">
        <f t="shared" si="41"/>
        <v>2.2763945933158083</v>
      </c>
      <c r="AE101" s="296">
        <f t="shared" si="42"/>
        <v>0.69091837799474254</v>
      </c>
      <c r="AF101" s="296">
        <f t="shared" si="43"/>
        <v>66.318765250198254</v>
      </c>
      <c r="AG101" s="296">
        <f t="shared" si="44"/>
        <v>2.2763945933366103</v>
      </c>
      <c r="AH101" s="475">
        <f t="shared" si="45"/>
        <v>0.6909183780009831</v>
      </c>
      <c r="AI101" s="475">
        <f t="shared" si="46"/>
        <v>66.318765250327942</v>
      </c>
      <c r="AJ101" s="475">
        <f t="shared" si="47"/>
        <v>2.2763945933359953</v>
      </c>
    </row>
    <row r="102" spans="11:36">
      <c r="K102" s="278">
        <f t="shared" si="25"/>
        <v>86.058823529411754</v>
      </c>
      <c r="L102" s="296">
        <f t="shared" si="26"/>
        <v>2.1749616547960184</v>
      </c>
      <c r="M102" s="296">
        <f t="shared" si="48"/>
        <v>0.66048849643880558</v>
      </c>
      <c r="N102" s="11">
        <f t="shared" si="27"/>
        <v>77.98005670176569</v>
      </c>
      <c r="O102" s="296">
        <f t="shared" si="28"/>
        <v>2.2053890762443431</v>
      </c>
      <c r="P102" s="11">
        <f t="shared" si="49"/>
        <v>0.66961672287330298</v>
      </c>
      <c r="Q102" s="296">
        <f t="shared" si="29"/>
        <v>78.187009297461486</v>
      </c>
      <c r="R102" s="296">
        <f t="shared" si="30"/>
        <v>2.2045656115934928</v>
      </c>
      <c r="S102" s="296">
        <f t="shared" si="50"/>
        <v>0.66936968347804782</v>
      </c>
      <c r="T102" s="296">
        <f t="shared" si="31"/>
        <v>78.181401265068871</v>
      </c>
      <c r="U102" s="296">
        <f t="shared" si="32"/>
        <v>2.2045878933533234</v>
      </c>
      <c r="V102" s="296">
        <f t="shared" si="33"/>
        <v>0.66937636800599698</v>
      </c>
      <c r="W102" s="296">
        <f t="shared" si="34"/>
        <v>78.181553005001604</v>
      </c>
      <c r="X102" s="296">
        <f t="shared" si="35"/>
        <v>2.2045872904383703</v>
      </c>
      <c r="Y102" s="296">
        <f t="shared" si="36"/>
        <v>0.66937618713151115</v>
      </c>
      <c r="Z102" s="296">
        <f t="shared" si="37"/>
        <v>78.181548899115825</v>
      </c>
      <c r="AA102" s="296">
        <f t="shared" si="38"/>
        <v>2.2045873067524497</v>
      </c>
      <c r="AB102" s="296">
        <f t="shared" si="39"/>
        <v>0.66937619202573495</v>
      </c>
      <c r="AC102" s="296">
        <f t="shared" si="40"/>
        <v>78.181549010215647</v>
      </c>
      <c r="AD102" s="296">
        <f t="shared" si="41"/>
        <v>2.2045873063110122</v>
      </c>
      <c r="AE102" s="296">
        <f t="shared" si="42"/>
        <v>0.66937619189330366</v>
      </c>
      <c r="AF102" s="296">
        <f t="shared" si="43"/>
        <v>78.181549007209441</v>
      </c>
      <c r="AG102" s="296">
        <f t="shared" si="44"/>
        <v>2.2045873063229569</v>
      </c>
      <c r="AH102" s="475">
        <f t="shared" si="45"/>
        <v>0.66937619189688702</v>
      </c>
      <c r="AI102" s="475">
        <f t="shared" si="46"/>
        <v>78.181549007290783</v>
      </c>
      <c r="AJ102" s="475">
        <f t="shared" si="47"/>
        <v>2.2045873063226336</v>
      </c>
    </row>
    <row r="103" spans="11:36">
      <c r="K103" s="278">
        <f t="shared" si="25"/>
        <v>63.183006535947712</v>
      </c>
      <c r="L103" s="296">
        <f t="shared" si="26"/>
        <v>2.3849288599056075</v>
      </c>
      <c r="M103" s="296">
        <f t="shared" si="48"/>
        <v>0.72347865797168232</v>
      </c>
      <c r="N103" s="11">
        <f t="shared" si="27"/>
        <v>58.671905307397779</v>
      </c>
      <c r="O103" s="296">
        <f t="shared" si="28"/>
        <v>2.4075568695613705</v>
      </c>
      <c r="P103" s="11">
        <f t="shared" si="49"/>
        <v>0.7302670608684112</v>
      </c>
      <c r="Q103" s="296">
        <f t="shared" si="29"/>
        <v>58.778695686661656</v>
      </c>
      <c r="R103" s="296">
        <f t="shared" si="30"/>
        <v>2.4069987669270159</v>
      </c>
      <c r="S103" s="296">
        <f t="shared" si="50"/>
        <v>0.73009963007810474</v>
      </c>
      <c r="T103" s="296">
        <f t="shared" si="31"/>
        <v>58.776059446794989</v>
      </c>
      <c r="U103" s="296">
        <f t="shared" si="32"/>
        <v>2.4070125305434455</v>
      </c>
      <c r="V103" s="296">
        <f t="shared" si="33"/>
        <v>0.73010375916303372</v>
      </c>
      <c r="W103" s="296">
        <f t="shared" si="34"/>
        <v>58.776124458852784</v>
      </c>
      <c r="X103" s="296">
        <f t="shared" si="35"/>
        <v>2.4070121911118512</v>
      </c>
      <c r="Y103" s="296">
        <f t="shared" si="36"/>
        <v>0.73010365733355531</v>
      </c>
      <c r="Z103" s="296">
        <f t="shared" si="37"/>
        <v>58.776122855556267</v>
      </c>
      <c r="AA103" s="296">
        <f t="shared" si="38"/>
        <v>2.4070121994827467</v>
      </c>
      <c r="AB103" s="296">
        <f t="shared" si="39"/>
        <v>0.73010365984482406</v>
      </c>
      <c r="AC103" s="296">
        <f t="shared" si="40"/>
        <v>58.776122895095973</v>
      </c>
      <c r="AD103" s="296">
        <f t="shared" si="41"/>
        <v>2.4070121992763078</v>
      </c>
      <c r="AE103" s="296">
        <f t="shared" si="42"/>
        <v>0.73010365978289238</v>
      </c>
      <c r="AF103" s="296">
        <f t="shared" si="43"/>
        <v>58.776122894120874</v>
      </c>
      <c r="AG103" s="296">
        <f t="shared" si="44"/>
        <v>2.4070121992813993</v>
      </c>
      <c r="AH103" s="475">
        <f t="shared" si="45"/>
        <v>0.73010365978441982</v>
      </c>
      <c r="AI103" s="475">
        <f t="shared" si="46"/>
        <v>58.776122894144912</v>
      </c>
      <c r="AJ103" s="475">
        <f t="shared" si="47"/>
        <v>2.4070121992812736</v>
      </c>
    </row>
    <row r="104" spans="11:36">
      <c r="K104" s="278">
        <f t="shared" si="25"/>
        <v>79.664961636828664</v>
      </c>
      <c r="L104" s="296">
        <f t="shared" si="26"/>
        <v>2.2323687706946145</v>
      </c>
      <c r="M104" s="296">
        <f t="shared" si="48"/>
        <v>0.67771063120838437</v>
      </c>
      <c r="N104" s="11">
        <f t="shared" si="27"/>
        <v>73.595120918400937</v>
      </c>
      <c r="O104" s="296">
        <f t="shared" si="28"/>
        <v>2.2566881175386042</v>
      </c>
      <c r="P104" s="11">
        <f t="shared" si="49"/>
        <v>0.68500643526158123</v>
      </c>
      <c r="Q104" s="296">
        <f t="shared" si="29"/>
        <v>73.727272174011716</v>
      </c>
      <c r="R104" s="296">
        <f t="shared" si="30"/>
        <v>2.2561346813632732</v>
      </c>
      <c r="S104" s="296">
        <f t="shared" si="50"/>
        <v>0.68484040440898197</v>
      </c>
      <c r="T104" s="296">
        <f t="shared" si="31"/>
        <v>73.724262166508936</v>
      </c>
      <c r="U104" s="296">
        <f t="shared" si="32"/>
        <v>2.2561472744461293</v>
      </c>
      <c r="V104" s="296">
        <f t="shared" si="33"/>
        <v>0.68484418233383881</v>
      </c>
      <c r="W104" s="296">
        <f t="shared" si="34"/>
        <v>73.724330655920014</v>
      </c>
      <c r="X104" s="296">
        <f t="shared" si="35"/>
        <v>2.2561469878978913</v>
      </c>
      <c r="Y104" s="296">
        <f t="shared" si="36"/>
        <v>0.68484409636936738</v>
      </c>
      <c r="Z104" s="296">
        <f t="shared" si="37"/>
        <v>73.724329097482794</v>
      </c>
      <c r="AA104" s="296">
        <f t="shared" si="38"/>
        <v>2.2561469944181289</v>
      </c>
      <c r="AB104" s="296">
        <f t="shared" si="39"/>
        <v>0.68484409832543869</v>
      </c>
      <c r="AC104" s="296">
        <f t="shared" si="40"/>
        <v>73.724329132944121</v>
      </c>
      <c r="AD104" s="296">
        <f t="shared" si="41"/>
        <v>2.2561469942697645</v>
      </c>
      <c r="AE104" s="296">
        <f t="shared" si="42"/>
        <v>0.6848440982809294</v>
      </c>
      <c r="AF104" s="296">
        <f t="shared" si="43"/>
        <v>73.724329132137214</v>
      </c>
      <c r="AG104" s="296">
        <f t="shared" si="44"/>
        <v>2.2561469942731405</v>
      </c>
      <c r="AH104" s="475">
        <f t="shared" si="45"/>
        <v>0.68484409828194215</v>
      </c>
      <c r="AI104" s="475">
        <f t="shared" si="46"/>
        <v>73.72432913215556</v>
      </c>
      <c r="AJ104" s="475">
        <f t="shared" si="47"/>
        <v>2.2561469942730636</v>
      </c>
    </row>
    <row r="105" spans="11:36">
      <c r="K105" s="278">
        <f t="shared" si="25"/>
        <v>82.929912390488127</v>
      </c>
      <c r="L105" s="296">
        <f t="shared" si="26"/>
        <v>2.2343155961707541</v>
      </c>
      <c r="M105" s="296">
        <f t="shared" si="48"/>
        <v>0.6782946788512263</v>
      </c>
      <c r="N105" s="11">
        <f t="shared" si="27"/>
        <v>77.154273626202851</v>
      </c>
      <c r="O105" s="296">
        <f t="shared" si="28"/>
        <v>2.2561956195543229</v>
      </c>
      <c r="P105" s="11">
        <f t="shared" si="49"/>
        <v>0.68485868586629683</v>
      </c>
      <c r="Q105" s="296">
        <f t="shared" si="29"/>
        <v>77.267999894718812</v>
      </c>
      <c r="R105" s="296">
        <f t="shared" si="30"/>
        <v>2.2557469505891925</v>
      </c>
      <c r="S105" s="296">
        <f t="shared" si="50"/>
        <v>0.68472408517675776</v>
      </c>
      <c r="T105" s="296">
        <f t="shared" si="31"/>
        <v>77.265666155730074</v>
      </c>
      <c r="U105" s="296">
        <f t="shared" si="32"/>
        <v>2.2557561500121524</v>
      </c>
      <c r="V105" s="296">
        <f t="shared" si="33"/>
        <v>0.68472684500364567</v>
      </c>
      <c r="W105" s="296">
        <f t="shared" si="34"/>
        <v>77.265714005561762</v>
      </c>
      <c r="X105" s="296">
        <f t="shared" si="35"/>
        <v>2.2557559613885481</v>
      </c>
      <c r="Y105" s="296">
        <f t="shared" si="36"/>
        <v>0.68472678841656442</v>
      </c>
      <c r="Z105" s="296">
        <f t="shared" si="37"/>
        <v>77.265713024455607</v>
      </c>
      <c r="AA105" s="296">
        <f t="shared" si="38"/>
        <v>2.2557559652560584</v>
      </c>
      <c r="AB105" s="296">
        <f t="shared" si="39"/>
        <v>0.68472678957681754</v>
      </c>
      <c r="AC105" s="296">
        <f t="shared" si="40"/>
        <v>77.265713044572053</v>
      </c>
      <c r="AD105" s="296">
        <f t="shared" si="41"/>
        <v>2.2557559651767596</v>
      </c>
      <c r="AE105" s="296">
        <f t="shared" si="42"/>
        <v>0.6847267895530279</v>
      </c>
      <c r="AF105" s="296">
        <f t="shared" si="43"/>
        <v>77.265713044159597</v>
      </c>
      <c r="AG105" s="296">
        <f t="shared" si="44"/>
        <v>2.2557559651783854</v>
      </c>
      <c r="AH105" s="475">
        <f t="shared" si="45"/>
        <v>0.68472678955351562</v>
      </c>
      <c r="AI105" s="475">
        <f t="shared" si="46"/>
        <v>77.265713044168052</v>
      </c>
      <c r="AJ105" s="475">
        <f t="shared" si="47"/>
        <v>2.2557559651783521</v>
      </c>
    </row>
    <row r="106" spans="11:36">
      <c r="K106" s="278">
        <f t="shared" si="25"/>
        <v>86.058823529411754</v>
      </c>
      <c r="L106" s="11" t="e">
        <f t="shared" si="26"/>
        <v>#NUM!</v>
      </c>
      <c r="M106" s="11" t="e">
        <f t="shared" si="48"/>
        <v>#NUM!</v>
      </c>
      <c r="N106" s="11" t="e">
        <f t="shared" si="27"/>
        <v>#NUM!</v>
      </c>
      <c r="O106" s="296" t="e">
        <f t="shared" si="28"/>
        <v>#NUM!</v>
      </c>
      <c r="P106" s="11" t="e">
        <f t="shared" si="49"/>
        <v>#NUM!</v>
      </c>
      <c r="Q106" s="296" t="e">
        <f t="shared" si="29"/>
        <v>#NUM!</v>
      </c>
      <c r="R106" s="296" t="e">
        <f t="shared" si="30"/>
        <v>#NUM!</v>
      </c>
      <c r="S106" s="296" t="e">
        <f t="shared" si="50"/>
        <v>#NUM!</v>
      </c>
      <c r="T106" s="296" t="e">
        <f t="shared" si="31"/>
        <v>#NUM!</v>
      </c>
      <c r="U106" s="296" t="e">
        <f t="shared" si="32"/>
        <v>#NUM!</v>
      </c>
      <c r="V106" s="296" t="e">
        <f t="shared" si="33"/>
        <v>#NUM!</v>
      </c>
      <c r="W106" s="296" t="e">
        <f t="shared" si="34"/>
        <v>#NUM!</v>
      </c>
      <c r="X106" s="296" t="e">
        <f t="shared" si="35"/>
        <v>#NUM!</v>
      </c>
      <c r="Y106" s="296" t="e">
        <f t="shared" si="36"/>
        <v>#NUM!</v>
      </c>
      <c r="Z106" s="296" t="e">
        <f t="shared" si="37"/>
        <v>#NUM!</v>
      </c>
      <c r="AA106" s="296" t="e">
        <f t="shared" si="38"/>
        <v>#NUM!</v>
      </c>
      <c r="AB106" s="296" t="e">
        <f t="shared" si="39"/>
        <v>#NUM!</v>
      </c>
      <c r="AC106" s="296" t="e">
        <f t="shared" si="40"/>
        <v>#NUM!</v>
      </c>
      <c r="AD106" s="296" t="e">
        <f t="shared" si="41"/>
        <v>#NUM!</v>
      </c>
      <c r="AE106" s="296" t="e">
        <f t="shared" si="42"/>
        <v>#NUM!</v>
      </c>
      <c r="AF106" s="296" t="e">
        <f t="shared" si="43"/>
        <v>#NUM!</v>
      </c>
      <c r="AG106" s="296" t="e">
        <f t="shared" si="44"/>
        <v>#NUM!</v>
      </c>
      <c r="AH106" s="475" t="e">
        <f t="shared" si="45"/>
        <v>#NUM!</v>
      </c>
      <c r="AI106" s="475" t="e">
        <f t="shared" si="46"/>
        <v>#NUM!</v>
      </c>
      <c r="AJ106" s="475" t="e">
        <f t="shared" si="47"/>
        <v>#NUM!</v>
      </c>
    </row>
  </sheetData>
  <mergeCells count="9">
    <mergeCell ref="AB56:AD56"/>
    <mergeCell ref="AE56:AG56"/>
    <mergeCell ref="AH56:AJ56"/>
    <mergeCell ref="A1:G1"/>
    <mergeCell ref="M56:O56"/>
    <mergeCell ref="P56:R56"/>
    <mergeCell ref="S56:U56"/>
    <mergeCell ref="V56:X56"/>
    <mergeCell ref="Y56:AA56"/>
  </mergeCells>
  <pageMargins left="0.25" right="0.25" top="0.75" bottom="0.75" header="0.3" footer="0.3"/>
  <pageSetup paperSize="9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8576-D9AD-4778-8507-FE7BB4E2833B}">
  <sheetPr>
    <pageSetUpPr fitToPage="1"/>
  </sheetPr>
  <dimension ref="A1:BH106"/>
  <sheetViews>
    <sheetView topLeftCell="S28" zoomScale="40" zoomScaleNormal="40" workbookViewId="0">
      <selection activeCell="BA68" sqref="BA68"/>
    </sheetView>
  </sheetViews>
  <sheetFormatPr defaultRowHeight="18.75"/>
  <cols>
    <col min="1" max="1" width="9.140625" style="532"/>
    <col min="2" max="2" width="13.42578125" style="533" customWidth="1"/>
    <col min="3" max="3" width="11.7109375" style="533" customWidth="1"/>
    <col min="4" max="4" width="13.7109375" style="533" customWidth="1"/>
    <col min="5" max="7" width="9.140625" style="533"/>
    <col min="10" max="10" width="9.140625" style="534"/>
    <col min="11" max="11" width="9.85546875" style="534" customWidth="1"/>
    <col min="12" max="12" width="11.28515625" style="534" customWidth="1"/>
    <col min="13" max="13" width="12.7109375" style="549" customWidth="1"/>
    <col min="14" max="14" width="11.7109375" style="534" customWidth="1"/>
    <col min="15" max="15" width="12.42578125" style="534" customWidth="1"/>
    <col min="16" max="16" width="10.140625" style="534" customWidth="1"/>
    <col min="17" max="17" width="9.42578125" style="324" customWidth="1"/>
    <col min="18" max="18" width="14.85546875" style="324" customWidth="1"/>
    <col min="19" max="19" width="9.140625" style="324"/>
    <col min="20" max="20" width="10" style="324" customWidth="1"/>
    <col min="21" max="23" width="9.140625" style="324"/>
    <col min="25" max="25" width="9.140625" style="324"/>
    <col min="26" max="29" width="9.28515625" bestFit="1" customWidth="1"/>
    <col min="30" max="30" width="13.7109375" customWidth="1"/>
    <col min="31" max="31" width="9.28515625" customWidth="1"/>
    <col min="32" max="32" width="15.7109375" customWidth="1"/>
    <col min="33" max="33" width="9.5703125" customWidth="1"/>
    <col min="34" max="34" width="15.5703125" customWidth="1"/>
    <col min="35" max="46" width="11.5703125" bestFit="1" customWidth="1"/>
    <col min="50" max="50" width="11.140625" customWidth="1"/>
    <col min="51" max="51" width="12" customWidth="1"/>
    <col min="52" max="52" width="12.7109375" customWidth="1"/>
    <col min="55" max="55" width="11.5703125" customWidth="1"/>
    <col min="57" max="57" width="12.5703125" customWidth="1"/>
    <col min="58" max="58" width="10.42578125" customWidth="1"/>
    <col min="59" max="59" width="13.42578125" customWidth="1"/>
    <col min="60" max="60" width="9.5703125" style="324" customWidth="1"/>
  </cols>
  <sheetData>
    <row r="1" spans="1:45" ht="28.5" customHeight="1">
      <c r="A1" s="696" t="s">
        <v>199</v>
      </c>
      <c r="B1" s="696"/>
      <c r="C1" s="696"/>
      <c r="D1" s="696"/>
      <c r="E1" s="696"/>
      <c r="F1" s="696"/>
      <c r="G1" s="696"/>
      <c r="J1" s="560"/>
      <c r="K1" s="561"/>
      <c r="L1" s="562"/>
      <c r="M1" s="559"/>
      <c r="N1" s="559"/>
      <c r="O1" s="559"/>
      <c r="P1" s="559"/>
      <c r="Q1" s="559"/>
      <c r="R1" s="559"/>
      <c r="S1" s="559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551" t="s">
        <v>619</v>
      </c>
      <c r="AE1" s="207"/>
      <c r="AF1" s="551" t="s">
        <v>617</v>
      </c>
      <c r="AG1" s="2"/>
      <c r="AH1" s="551" t="s">
        <v>619</v>
      </c>
    </row>
    <row r="2" spans="1:45" ht="18.75" customHeight="1">
      <c r="A2" s="539" t="s">
        <v>577</v>
      </c>
      <c r="B2" s="528" t="s">
        <v>578</v>
      </c>
      <c r="C2" s="528" t="s">
        <v>591</v>
      </c>
      <c r="D2" s="529" t="s">
        <v>579</v>
      </c>
      <c r="E2" s="528" t="s">
        <v>580</v>
      </c>
      <c r="F2" s="536" t="s">
        <v>581</v>
      </c>
      <c r="G2" s="536" t="s">
        <v>582</v>
      </c>
      <c r="H2" s="536" t="s">
        <v>583</v>
      </c>
      <c r="J2"/>
      <c r="K2" s="540" t="s">
        <v>577</v>
      </c>
      <c r="L2" s="541" t="s">
        <v>574</v>
      </c>
      <c r="M2" s="541" t="s">
        <v>597</v>
      </c>
      <c r="N2" s="542" t="s">
        <v>590</v>
      </c>
      <c r="O2" s="542" t="s">
        <v>579</v>
      </c>
      <c r="P2" s="541" t="s">
        <v>589</v>
      </c>
      <c r="Q2" s="541" t="s">
        <v>584</v>
      </c>
      <c r="R2" s="543" t="s">
        <v>593</v>
      </c>
      <c r="S2" s="543" t="s">
        <v>592</v>
      </c>
      <c r="T2" s="543" t="s">
        <v>529</v>
      </c>
      <c r="U2" s="543" t="s">
        <v>599</v>
      </c>
      <c r="V2" s="543" t="s">
        <v>598</v>
      </c>
      <c r="W2" s="543" t="s">
        <v>608</v>
      </c>
      <c r="X2" s="543" t="s">
        <v>595</v>
      </c>
      <c r="Y2" s="543" t="s">
        <v>609</v>
      </c>
      <c r="Z2" s="543" t="s">
        <v>162</v>
      </c>
      <c r="AA2" s="543" t="s">
        <v>614</v>
      </c>
      <c r="AB2" s="543" t="s">
        <v>613</v>
      </c>
      <c r="AC2" s="543" t="s">
        <v>616</v>
      </c>
      <c r="AD2" s="543" t="s">
        <v>615</v>
      </c>
      <c r="AE2" s="543" t="s">
        <v>618</v>
      </c>
      <c r="AF2" s="543" t="s">
        <v>621</v>
      </c>
      <c r="AG2" s="543" t="s">
        <v>596</v>
      </c>
      <c r="AH2" s="543" t="s">
        <v>620</v>
      </c>
      <c r="AI2" s="543" t="s">
        <v>596</v>
      </c>
    </row>
    <row r="3" spans="1:45" ht="21.75" customHeight="1">
      <c r="A3" s="530" t="s">
        <v>576</v>
      </c>
      <c r="B3" s="531" t="s">
        <v>575</v>
      </c>
      <c r="C3" s="531" t="s">
        <v>575</v>
      </c>
      <c r="D3" s="531" t="s">
        <v>587</v>
      </c>
      <c r="E3" s="531" t="s">
        <v>575</v>
      </c>
      <c r="F3" s="532" t="s">
        <v>174</v>
      </c>
      <c r="G3" s="532" t="s">
        <v>175</v>
      </c>
      <c r="H3" s="532" t="s">
        <v>176</v>
      </c>
      <c r="K3" s="546" t="s">
        <v>576</v>
      </c>
      <c r="L3" s="540" t="s">
        <v>586</v>
      </c>
      <c r="M3" s="540" t="s">
        <v>586</v>
      </c>
      <c r="N3" s="540" t="s">
        <v>588</v>
      </c>
      <c r="O3" s="540" t="s">
        <v>588</v>
      </c>
      <c r="P3" s="540" t="s">
        <v>586</v>
      </c>
      <c r="Q3" s="540" t="s">
        <v>586</v>
      </c>
      <c r="R3" s="540" t="s">
        <v>586</v>
      </c>
      <c r="S3" s="540" t="s">
        <v>176</v>
      </c>
      <c r="T3" s="540" t="s">
        <v>176</v>
      </c>
      <c r="U3" s="540" t="s">
        <v>176</v>
      </c>
      <c r="V3" s="540" t="s">
        <v>176</v>
      </c>
      <c r="W3" s="540" t="s">
        <v>176</v>
      </c>
      <c r="X3" s="540" t="s">
        <v>176</v>
      </c>
      <c r="Y3" s="540" t="s">
        <v>176</v>
      </c>
      <c r="Z3" s="540" t="s">
        <v>174</v>
      </c>
      <c r="AA3" s="540" t="s">
        <v>176</v>
      </c>
      <c r="AB3" s="540" t="s">
        <v>176</v>
      </c>
      <c r="AC3" s="540" t="s">
        <v>176</v>
      </c>
      <c r="AD3" s="540" t="s">
        <v>176</v>
      </c>
      <c r="AE3" s="540" t="s">
        <v>176</v>
      </c>
      <c r="AF3" s="540" t="s">
        <v>176</v>
      </c>
      <c r="AG3" s="540" t="s">
        <v>176</v>
      </c>
      <c r="AH3" s="540" t="s">
        <v>176</v>
      </c>
      <c r="AI3" s="540" t="s">
        <v>176</v>
      </c>
      <c r="AN3" t="s">
        <v>622</v>
      </c>
      <c r="AO3" t="s">
        <v>623</v>
      </c>
      <c r="AP3" t="s">
        <v>624</v>
      </c>
      <c r="AQ3" t="s">
        <v>625</v>
      </c>
      <c r="AR3" t="s">
        <v>626</v>
      </c>
      <c r="AS3" t="s">
        <v>627</v>
      </c>
    </row>
    <row r="4" spans="1:45" ht="15" customHeight="1">
      <c r="A4" s="538">
        <v>0.2</v>
      </c>
      <c r="B4" s="537">
        <v>16</v>
      </c>
      <c r="C4" s="536" t="s">
        <v>178</v>
      </c>
      <c r="D4" s="538">
        <v>1.85</v>
      </c>
      <c r="E4" s="538">
        <v>0.04</v>
      </c>
      <c r="F4" s="537">
        <v>89</v>
      </c>
      <c r="G4" s="537">
        <v>41</v>
      </c>
      <c r="H4" s="141">
        <v>0.221</v>
      </c>
      <c r="K4" s="557">
        <v>0.2</v>
      </c>
      <c r="L4" s="557">
        <f t="shared" ref="L4:L12" si="0">B4*100</f>
        <v>1600</v>
      </c>
      <c r="M4" s="557" t="s">
        <v>109</v>
      </c>
      <c r="N4" s="557">
        <f>18.5</f>
        <v>18.5</v>
      </c>
      <c r="O4" s="557">
        <f>N4</f>
        <v>18.5</v>
      </c>
      <c r="P4" s="557">
        <f t="shared" ref="P4:P51" si="1">N4*K4</f>
        <v>3.7</v>
      </c>
      <c r="Q4" s="557">
        <f t="shared" ref="Q4:Q51" si="2">O4*K4</f>
        <v>3.7</v>
      </c>
      <c r="R4" s="21">
        <f>100</f>
        <v>100</v>
      </c>
      <c r="S4" s="21" t="e">
        <f t="shared" ref="S4:S51" si="3">(M4/(L4-P4))*100</f>
        <v>#VALUE!</v>
      </c>
      <c r="T4" s="475" t="e">
        <f t="shared" ref="T4:T51" si="4">((AJ59-1.64)*0.3)+0.5</f>
        <v>#VALUE!</v>
      </c>
      <c r="U4" s="475" t="e">
        <f>(($L4-$P4)/$R$4)*(($R$4/$Q4)^T4)</f>
        <v>#VALUE!</v>
      </c>
      <c r="V4" s="475"/>
      <c r="W4" s="475" t="e">
        <f t="shared" ref="W4:W51" si="5">(L4/$R$4)*($R$4/Q4)^T4</f>
        <v>#VALUE!</v>
      </c>
      <c r="X4" s="296">
        <f>IF(V4&lt;2.5,-(0.403*V4^4)+(5.581*V4^3)-(21.63*V4^2)+(33.75*V4)-17.88,(6*10^(-7))*V4^(16.76))</f>
        <v>-17.88</v>
      </c>
      <c r="Y4" s="490" t="e">
        <f>X4*W4</f>
        <v>#VALUE!</v>
      </c>
      <c r="Z4" s="552">
        <f t="shared" ref="Z4:Z51" si="6">-98+66*LOG(10*B4/(SQRT(10*(Q4/100))))</f>
        <v>61.721261961080188</v>
      </c>
      <c r="AA4" s="11">
        <f t="shared" ref="AA4:AA51" si="7">IF(Z4&lt;40,1,0.75)</f>
        <v>0.75</v>
      </c>
      <c r="AB4" s="296">
        <f t="shared" ref="AB4:AB51" si="8">IF(P4/$R$4&lt;=1,1,(P4/$R$4)^(AA4-1))</f>
        <v>1</v>
      </c>
      <c r="AC4" s="297">
        <f t="shared" ref="AC4:AC51" si="9">IF(K4&lt;9.15,1-0.00765*K4,1.174-0.0267*K4)</f>
        <v>0.99846999999999997</v>
      </c>
      <c r="AD4" s="297">
        <f t="shared" ref="AD4:AD51" si="10">0.65*AC4*($R$7)*(P4/Q4)</f>
        <v>0.13239712200000001</v>
      </c>
      <c r="AE4" s="297">
        <f t="shared" ref="AE4:AE51" si="11">AD4/($R$22*AB4)</f>
        <v>0.10814867950634295</v>
      </c>
      <c r="AF4" s="297" t="e">
        <f t="shared" ref="AF4:AF50" si="12">93*(Y4/1000)^3+0.08</f>
        <v>#VALUE!</v>
      </c>
      <c r="AG4" s="553"/>
      <c r="AH4" s="11" t="e">
        <f t="shared" ref="AH4:AH51" si="13">EXP((Y4/540)+(Y4/67)^2-(Y4/80)^3+(Y4/114)^4-3)</f>
        <v>#VALUE!</v>
      </c>
      <c r="AI4" s="11" t="e">
        <f>AH4/AE4</f>
        <v>#VALUE!</v>
      </c>
      <c r="AL4" s="324">
        <v>1.25</v>
      </c>
      <c r="AM4" s="324">
        <v>-0.2</v>
      </c>
      <c r="AN4" s="324">
        <v>1.31</v>
      </c>
      <c r="AO4" s="556">
        <v>2.0499999999999998</v>
      </c>
      <c r="AP4" s="556">
        <v>2.6</v>
      </c>
      <c r="AQ4" s="324">
        <v>2.95</v>
      </c>
      <c r="AR4" s="324">
        <v>3.6</v>
      </c>
      <c r="AS4" s="324">
        <v>4</v>
      </c>
    </row>
    <row r="5" spans="1:45" ht="15" customHeight="1">
      <c r="A5" s="538">
        <v>0.4</v>
      </c>
      <c r="B5" s="537">
        <v>26</v>
      </c>
      <c r="C5" s="537">
        <v>26</v>
      </c>
      <c r="D5" s="538">
        <v>1.85</v>
      </c>
      <c r="E5" s="538">
        <v>7.0000000000000007E-2</v>
      </c>
      <c r="F5" s="537">
        <v>89</v>
      </c>
      <c r="G5" s="537">
        <v>40</v>
      </c>
      <c r="H5" s="141">
        <v>0.22</v>
      </c>
      <c r="K5" s="557">
        <v>0.4</v>
      </c>
      <c r="L5" s="557">
        <f t="shared" si="0"/>
        <v>2600</v>
      </c>
      <c r="M5" s="558">
        <f t="shared" ref="M5:M50" si="14">L5/C5</f>
        <v>100</v>
      </c>
      <c r="N5" s="557">
        <f t="shared" ref="N5:N51" si="15">18.5</f>
        <v>18.5</v>
      </c>
      <c r="O5" s="557">
        <f t="shared" ref="O5:O11" si="16">N5</f>
        <v>18.5</v>
      </c>
      <c r="P5" s="557">
        <f t="shared" si="1"/>
        <v>7.4</v>
      </c>
      <c r="Q5" s="557">
        <f t="shared" si="2"/>
        <v>7.4</v>
      </c>
      <c r="R5" s="545" t="s">
        <v>585</v>
      </c>
      <c r="S5" s="21">
        <f t="shared" si="3"/>
        <v>3.8571318367661811</v>
      </c>
      <c r="T5" s="475">
        <f t="shared" si="4"/>
        <v>0.67450490436273258</v>
      </c>
      <c r="U5" s="475">
        <f>(($L5-$P5)/$R$4)*(($R$4/$Q5)^$T$5)</f>
        <v>150.12197434008962</v>
      </c>
      <c r="V5" s="475">
        <f t="shared" ref="V5:V50" si="17">((3.47-LOG(U5))^2+(LOG($S5)+1.22)^2)^0.5</f>
        <v>2.2216835546277793</v>
      </c>
      <c r="W5" s="475">
        <f t="shared" si="5"/>
        <v>150.55046412259239</v>
      </c>
      <c r="X5" s="296">
        <f>-(0.403*V5^4)+(5.581*V5^3)-(21.63*V5^2)+(33.75*V5)-17.88</f>
        <v>1.721552988751224</v>
      </c>
      <c r="Y5" s="296">
        <f t="shared" ref="Y5:Y51" si="18">X5*W5</f>
        <v>259.18060146813286</v>
      </c>
      <c r="Z5" s="552">
        <f t="shared" si="6"/>
        <v>65.70359421495175</v>
      </c>
      <c r="AA5" s="11">
        <f t="shared" si="7"/>
        <v>0.75</v>
      </c>
      <c r="AB5" s="296">
        <f t="shared" si="8"/>
        <v>1</v>
      </c>
      <c r="AC5" s="297">
        <f t="shared" si="9"/>
        <v>0.99694000000000005</v>
      </c>
      <c r="AD5" s="297">
        <f t="shared" si="10"/>
        <v>0.13219424399999999</v>
      </c>
      <c r="AE5" s="297">
        <f t="shared" si="11"/>
        <v>0.10798295847351801</v>
      </c>
      <c r="AF5" s="297">
        <f t="shared" si="12"/>
        <v>1.6991624691333269</v>
      </c>
      <c r="AG5" s="553"/>
      <c r="AH5" s="297">
        <f t="shared" si="13"/>
        <v>173.61108422037771</v>
      </c>
      <c r="AI5" s="11"/>
      <c r="AL5" s="324">
        <v>1.25</v>
      </c>
      <c r="AM5" s="324">
        <v>-0.4</v>
      </c>
      <c r="AN5" s="324">
        <v>1.31</v>
      </c>
      <c r="AO5" s="556">
        <v>2.0499999999999998</v>
      </c>
      <c r="AP5" s="556">
        <v>2.6</v>
      </c>
      <c r="AQ5" s="324">
        <v>2.95</v>
      </c>
      <c r="AR5" s="324">
        <v>3.6</v>
      </c>
    </row>
    <row r="6" spans="1:45" ht="15" customHeight="1">
      <c r="A6" s="538">
        <v>0.6</v>
      </c>
      <c r="B6" s="537">
        <v>30</v>
      </c>
      <c r="C6" s="537">
        <v>45</v>
      </c>
      <c r="D6" s="538">
        <v>1.85</v>
      </c>
      <c r="E6" s="538">
        <v>0.11</v>
      </c>
      <c r="F6" s="537">
        <v>84</v>
      </c>
      <c r="G6" s="537">
        <v>40</v>
      </c>
      <c r="H6" s="141">
        <v>0.20399999999999999</v>
      </c>
      <c r="K6" s="557">
        <v>0.6</v>
      </c>
      <c r="L6" s="557">
        <f t="shared" si="0"/>
        <v>3000</v>
      </c>
      <c r="M6" s="558">
        <f t="shared" si="14"/>
        <v>66.666666666666671</v>
      </c>
      <c r="N6" s="557">
        <f t="shared" si="15"/>
        <v>18.5</v>
      </c>
      <c r="O6" s="557">
        <f t="shared" si="16"/>
        <v>18.5</v>
      </c>
      <c r="P6" s="557">
        <f t="shared" si="1"/>
        <v>11.1</v>
      </c>
      <c r="Q6" s="557">
        <f t="shared" si="2"/>
        <v>11.1</v>
      </c>
      <c r="R6" s="544" t="s">
        <v>176</v>
      </c>
      <c r="S6" s="21">
        <f t="shared" si="3"/>
        <v>2.2304749796469161</v>
      </c>
      <c r="T6" s="475">
        <f t="shared" si="4"/>
        <v>0.63614839537455414</v>
      </c>
      <c r="U6" s="475">
        <f t="shared" ref="U6:U51" si="19">(($L6-$P6)/$R$4)*(($R$4/$Q6)^T6)</f>
        <v>121.01177749900882</v>
      </c>
      <c r="V6" s="475">
        <f t="shared" si="17"/>
        <v>2.0938284127056868</v>
      </c>
      <c r="W6" s="475">
        <f t="shared" si="5"/>
        <v>121.46118387936247</v>
      </c>
      <c r="X6" s="296">
        <f t="shared" ref="X6:X51" si="20">-(0.403*V6^4)+(5.581*V6^3)-(21.63*V6^2)+(33.75*V6)-17.88</f>
        <v>1.4436830932340747</v>
      </c>
      <c r="Y6" s="296">
        <f t="shared" si="18"/>
        <v>175.35145765083072</v>
      </c>
      <c r="Z6" s="552">
        <f t="shared" si="6"/>
        <v>63.994344511538031</v>
      </c>
      <c r="AA6" s="11">
        <f t="shared" si="7"/>
        <v>0.75</v>
      </c>
      <c r="AB6" s="296">
        <f t="shared" si="8"/>
        <v>1</v>
      </c>
      <c r="AC6" s="297">
        <f t="shared" si="9"/>
        <v>0.99541000000000002</v>
      </c>
      <c r="AD6" s="297">
        <f t="shared" si="10"/>
        <v>0.131991366</v>
      </c>
      <c r="AE6" s="297">
        <f t="shared" si="11"/>
        <v>0.10781723744069309</v>
      </c>
      <c r="AF6" s="297">
        <f t="shared" si="12"/>
        <v>0.58143089598782027</v>
      </c>
      <c r="AG6" s="553">
        <f t="shared" ref="AG6:AG50" si="21">AF6/AE6</f>
        <v>5.3927452584531981</v>
      </c>
      <c r="AH6" s="297">
        <f t="shared" si="13"/>
        <v>0.46835621809153732</v>
      </c>
      <c r="AI6" s="296">
        <f t="shared" ref="AI6:AI50" si="22">AH6/AE6</f>
        <v>4.3439827360552208</v>
      </c>
      <c r="AL6" s="324">
        <v>1.25</v>
      </c>
      <c r="AM6" s="324">
        <v>-0.6</v>
      </c>
      <c r="AN6" s="324">
        <v>1.31</v>
      </c>
      <c r="AO6" s="556">
        <v>2.0499999999999998</v>
      </c>
      <c r="AP6" s="556">
        <v>2.6</v>
      </c>
      <c r="AQ6" s="324">
        <v>2.95</v>
      </c>
      <c r="AR6" s="324">
        <v>3.6</v>
      </c>
    </row>
    <row r="7" spans="1:45" ht="15" customHeight="1">
      <c r="A7" s="538">
        <v>0.8</v>
      </c>
      <c r="B7" s="537">
        <v>25</v>
      </c>
      <c r="C7" s="537">
        <v>34</v>
      </c>
      <c r="D7" s="538">
        <v>1.85</v>
      </c>
      <c r="E7" s="538">
        <v>0.15</v>
      </c>
      <c r="F7" s="537">
        <v>71</v>
      </c>
      <c r="G7" s="537">
        <v>38</v>
      </c>
      <c r="H7" s="141">
        <v>0.16200000000000001</v>
      </c>
      <c r="K7" s="557">
        <v>0.8</v>
      </c>
      <c r="L7" s="557">
        <f t="shared" si="0"/>
        <v>2500</v>
      </c>
      <c r="M7" s="558">
        <f t="shared" si="14"/>
        <v>73.529411764705884</v>
      </c>
      <c r="N7" s="557">
        <f t="shared" si="15"/>
        <v>18.5</v>
      </c>
      <c r="O7" s="557">
        <f t="shared" si="16"/>
        <v>18.5</v>
      </c>
      <c r="P7" s="557">
        <f t="shared" si="1"/>
        <v>14.8</v>
      </c>
      <c r="Q7" s="557">
        <f t="shared" si="2"/>
        <v>14.8</v>
      </c>
      <c r="R7" s="557">
        <v>0.20399999999999999</v>
      </c>
      <c r="S7" s="566">
        <f t="shared" si="3"/>
        <v>2.9586919267948613</v>
      </c>
      <c r="T7" s="477">
        <f t="shared" si="4"/>
        <v>0.68705610525893979</v>
      </c>
      <c r="U7" s="477">
        <f t="shared" si="19"/>
        <v>92.350255038822269</v>
      </c>
      <c r="V7" s="475">
        <f t="shared" si="17"/>
        <v>2.2635204586554654</v>
      </c>
      <c r="W7" s="475">
        <f t="shared" si="5"/>
        <v>92.900224367075367</v>
      </c>
      <c r="X7" s="296">
        <f t="shared" si="20"/>
        <v>1.8370101981466753</v>
      </c>
      <c r="Y7" s="296">
        <f t="shared" si="18"/>
        <v>170.6586595724317</v>
      </c>
      <c r="Z7" s="552">
        <f t="shared" si="6"/>
        <v>54.645403964320877</v>
      </c>
      <c r="AA7" s="11">
        <f t="shared" si="7"/>
        <v>0.75</v>
      </c>
      <c r="AB7" s="296">
        <f t="shared" si="8"/>
        <v>1</v>
      </c>
      <c r="AC7" s="297">
        <f t="shared" si="9"/>
        <v>0.99387999999999999</v>
      </c>
      <c r="AD7" s="297">
        <f t="shared" si="10"/>
        <v>0.13178848799999998</v>
      </c>
      <c r="AE7" s="297">
        <f t="shared" si="11"/>
        <v>0.10765151640786816</v>
      </c>
      <c r="AF7" s="297">
        <f t="shared" si="12"/>
        <v>0.54224044124529391</v>
      </c>
      <c r="AG7" s="553">
        <f t="shared" si="21"/>
        <v>5.0369977064778437</v>
      </c>
      <c r="AH7" s="297">
        <f t="shared" si="13"/>
        <v>0.41416385949521595</v>
      </c>
      <c r="AI7" s="296">
        <f t="shared" si="22"/>
        <v>3.8472645190248809</v>
      </c>
      <c r="AL7" s="324">
        <v>1.25</v>
      </c>
      <c r="AM7" s="324">
        <v>-0.8</v>
      </c>
      <c r="AN7" s="324">
        <v>1.31</v>
      </c>
      <c r="AO7" s="556">
        <v>2.0499999999999998</v>
      </c>
      <c r="AP7" s="556">
        <v>2.6</v>
      </c>
      <c r="AQ7" s="324">
        <v>2.95</v>
      </c>
      <c r="AR7" s="324">
        <v>3.6</v>
      </c>
    </row>
    <row r="8" spans="1:45" ht="15" customHeight="1">
      <c r="A8" s="527" t="s">
        <v>181</v>
      </c>
      <c r="B8" s="537">
        <v>17</v>
      </c>
      <c r="C8" s="537">
        <v>32</v>
      </c>
      <c r="D8" s="538">
        <v>1.85</v>
      </c>
      <c r="E8" s="538">
        <v>0.19</v>
      </c>
      <c r="F8" s="537">
        <v>52</v>
      </c>
      <c r="G8" s="537">
        <v>35</v>
      </c>
      <c r="H8" s="141">
        <v>0.11</v>
      </c>
      <c r="J8"/>
      <c r="K8" s="557">
        <v>1</v>
      </c>
      <c r="L8" s="557">
        <f t="shared" si="0"/>
        <v>1700</v>
      </c>
      <c r="M8" s="558">
        <f t="shared" si="14"/>
        <v>53.125</v>
      </c>
      <c r="N8" s="557">
        <f t="shared" si="15"/>
        <v>18.5</v>
      </c>
      <c r="O8" s="557">
        <f t="shared" si="16"/>
        <v>18.5</v>
      </c>
      <c r="P8" s="557">
        <f t="shared" si="1"/>
        <v>18.5</v>
      </c>
      <c r="Q8" s="557">
        <f t="shared" si="2"/>
        <v>18.5</v>
      </c>
      <c r="R8" s="547" t="s">
        <v>529</v>
      </c>
      <c r="S8" s="21">
        <f t="shared" si="3"/>
        <v>3.1593815046089802</v>
      </c>
      <c r="T8" s="475">
        <f t="shared" si="4"/>
        <v>0.73466821630620838</v>
      </c>
      <c r="U8" s="475">
        <f t="shared" si="19"/>
        <v>58.087476635859936</v>
      </c>
      <c r="V8" s="476">
        <f t="shared" si="17"/>
        <v>2.4222274385234632</v>
      </c>
      <c r="W8" s="475">
        <f t="shared" si="5"/>
        <v>58.72655978647748</v>
      </c>
      <c r="X8" s="296">
        <f t="shared" si="20"/>
        <v>2.4053940741031958</v>
      </c>
      <c r="Y8" s="296">
        <f t="shared" si="18"/>
        <v>141.26051890285999</v>
      </c>
      <c r="Z8" s="552">
        <f t="shared" si="6"/>
        <v>40.392961773666627</v>
      </c>
      <c r="AA8" s="11">
        <f t="shared" si="7"/>
        <v>0.75</v>
      </c>
      <c r="AB8" s="296">
        <f t="shared" si="8"/>
        <v>1</v>
      </c>
      <c r="AC8" s="297">
        <f t="shared" si="9"/>
        <v>0.99234999999999995</v>
      </c>
      <c r="AD8" s="297">
        <f t="shared" si="10"/>
        <v>0.13158560999999999</v>
      </c>
      <c r="AE8" s="297">
        <f t="shared" si="11"/>
        <v>0.10748579537504323</v>
      </c>
      <c r="AF8" s="297">
        <f t="shared" si="12"/>
        <v>0.34214727057605371</v>
      </c>
      <c r="AG8" s="553">
        <f t="shared" si="21"/>
        <v>3.1831859212858906</v>
      </c>
      <c r="AH8" s="297">
        <f t="shared" si="13"/>
        <v>0.23667227643668939</v>
      </c>
      <c r="AI8" s="296">
        <f t="shared" si="22"/>
        <v>2.2018935210079076</v>
      </c>
      <c r="AL8" s="324">
        <v>1.25</v>
      </c>
      <c r="AM8" s="324">
        <v>-1</v>
      </c>
      <c r="AN8" s="324">
        <v>1.31</v>
      </c>
      <c r="AO8" s="556">
        <v>2.0499999999999998</v>
      </c>
      <c r="AP8" s="556">
        <v>2.6</v>
      </c>
      <c r="AQ8" s="324">
        <v>2.95</v>
      </c>
      <c r="AR8" s="324">
        <v>3.6</v>
      </c>
    </row>
    <row r="9" spans="1:45" ht="15" customHeight="1">
      <c r="A9" s="538">
        <v>1.2</v>
      </c>
      <c r="B9" s="537">
        <v>12</v>
      </c>
      <c r="C9" s="537">
        <v>22</v>
      </c>
      <c r="D9" s="538">
        <v>1.85</v>
      </c>
      <c r="E9" s="538">
        <v>0.22</v>
      </c>
      <c r="F9" s="536" t="s">
        <v>178</v>
      </c>
      <c r="G9" s="536" t="s">
        <v>178</v>
      </c>
      <c r="H9" s="536" t="s">
        <v>178</v>
      </c>
      <c r="J9"/>
      <c r="K9" s="557">
        <v>1.2</v>
      </c>
      <c r="L9" s="557">
        <f t="shared" si="0"/>
        <v>1200</v>
      </c>
      <c r="M9" s="558">
        <f t="shared" si="14"/>
        <v>54.545454545454547</v>
      </c>
      <c r="N9" s="557">
        <f t="shared" si="15"/>
        <v>18.5</v>
      </c>
      <c r="O9" s="557">
        <f t="shared" si="16"/>
        <v>18.5</v>
      </c>
      <c r="P9" s="557">
        <f t="shared" si="1"/>
        <v>22.2</v>
      </c>
      <c r="Q9" s="557">
        <f t="shared" si="2"/>
        <v>22.2</v>
      </c>
      <c r="R9" s="563" t="s">
        <v>176</v>
      </c>
      <c r="S9" s="21">
        <f t="shared" si="3"/>
        <v>4.6311304589450284</v>
      </c>
      <c r="T9" s="475">
        <f t="shared" si="4"/>
        <v>0.80525307437777638</v>
      </c>
      <c r="U9" s="475">
        <f t="shared" si="19"/>
        <v>39.575173441025292</v>
      </c>
      <c r="V9" s="476">
        <f t="shared" si="17"/>
        <v>2.6575102612778512</v>
      </c>
      <c r="W9" s="475">
        <f t="shared" si="5"/>
        <v>40.321114050968212</v>
      </c>
      <c r="X9" s="296">
        <f t="shared" si="20"/>
        <v>3.6975621276391557</v>
      </c>
      <c r="Y9" s="296">
        <f t="shared" si="18"/>
        <v>149.08982425907908</v>
      </c>
      <c r="Z9" s="552">
        <f t="shared" si="6"/>
        <v>27.796314082272161</v>
      </c>
      <c r="AA9" s="11">
        <f t="shared" si="7"/>
        <v>1</v>
      </c>
      <c r="AB9" s="296">
        <f t="shared" si="8"/>
        <v>1</v>
      </c>
      <c r="AC9" s="297">
        <f t="shared" si="9"/>
        <v>0.99082000000000003</v>
      </c>
      <c r="AD9" s="297">
        <f t="shared" si="10"/>
        <v>0.131382732</v>
      </c>
      <c r="AE9" s="297">
        <f t="shared" si="11"/>
        <v>0.10732007434221831</v>
      </c>
      <c r="AF9" s="297">
        <f t="shared" si="12"/>
        <v>0.38819597103560616</v>
      </c>
      <c r="AG9" s="553">
        <f t="shared" si="21"/>
        <v>3.6171794831015593</v>
      </c>
      <c r="AH9" s="297">
        <f t="shared" si="13"/>
        <v>0.26726544515804845</v>
      </c>
      <c r="AI9" s="296">
        <f t="shared" si="22"/>
        <v>2.4903583676787457</v>
      </c>
      <c r="AL9" s="324">
        <v>1.25</v>
      </c>
      <c r="AM9" s="324">
        <v>-1.2</v>
      </c>
      <c r="AN9" s="324">
        <v>1.31</v>
      </c>
      <c r="AO9" s="556">
        <v>2.0499999999999998</v>
      </c>
      <c r="AP9" s="556">
        <v>2.6</v>
      </c>
      <c r="AQ9" s="324">
        <v>2.95</v>
      </c>
      <c r="AR9" s="324">
        <v>3.6</v>
      </c>
    </row>
    <row r="10" spans="1:45" ht="15" customHeight="1">
      <c r="A10" s="538">
        <v>1.4</v>
      </c>
      <c r="B10" s="537">
        <v>24</v>
      </c>
      <c r="C10" s="537">
        <v>45</v>
      </c>
      <c r="D10" s="538">
        <v>1.85</v>
      </c>
      <c r="E10" s="538">
        <v>0.26</v>
      </c>
      <c r="F10" s="537">
        <v>56</v>
      </c>
      <c r="G10" s="537">
        <v>36</v>
      </c>
      <c r="H10" s="141">
        <v>0.11899999999999999</v>
      </c>
      <c r="J10"/>
      <c r="K10" s="557">
        <v>1.4</v>
      </c>
      <c r="L10" s="557">
        <f t="shared" si="0"/>
        <v>2400</v>
      </c>
      <c r="M10" s="558">
        <f t="shared" si="14"/>
        <v>53.333333333333336</v>
      </c>
      <c r="N10" s="557">
        <f t="shared" si="15"/>
        <v>18.5</v>
      </c>
      <c r="O10" s="557">
        <f t="shared" si="16"/>
        <v>18.5</v>
      </c>
      <c r="P10" s="557">
        <f t="shared" si="1"/>
        <v>25.9</v>
      </c>
      <c r="Q10" s="557">
        <f t="shared" si="2"/>
        <v>25.9</v>
      </c>
      <c r="R10" s="564">
        <v>1</v>
      </c>
      <c r="S10" s="21">
        <f t="shared" si="3"/>
        <v>2.2464653272117157</v>
      </c>
      <c r="T10" s="475">
        <f t="shared" si="4"/>
        <v>0.69908434261131314</v>
      </c>
      <c r="U10" s="475">
        <f t="shared" si="19"/>
        <v>61.045261259878657</v>
      </c>
      <c r="V10" s="476">
        <f t="shared" si="17"/>
        <v>2.30361448607984</v>
      </c>
      <c r="W10" s="475">
        <f t="shared" si="5"/>
        <v>61.711228264904079</v>
      </c>
      <c r="X10" s="296">
        <f t="shared" si="20"/>
        <v>1.9603880392141626</v>
      </c>
      <c r="Y10" s="296">
        <f t="shared" si="18"/>
        <v>120.97795377573291</v>
      </c>
      <c r="Z10" s="552">
        <f t="shared" si="6"/>
        <v>45.455049738284686</v>
      </c>
      <c r="AA10" s="11">
        <f t="shared" si="7"/>
        <v>0.75</v>
      </c>
      <c r="AB10" s="296">
        <f t="shared" si="8"/>
        <v>1</v>
      </c>
      <c r="AC10" s="297">
        <f t="shared" si="9"/>
        <v>0.98929</v>
      </c>
      <c r="AD10" s="297">
        <f t="shared" si="10"/>
        <v>0.13117985400000001</v>
      </c>
      <c r="AE10" s="297">
        <f t="shared" si="11"/>
        <v>0.10715435330939339</v>
      </c>
      <c r="AF10" s="297">
        <f t="shared" si="12"/>
        <v>0.24466513413040397</v>
      </c>
      <c r="AG10" s="553">
        <f t="shared" si="21"/>
        <v>2.2832962597792661</v>
      </c>
      <c r="AH10" s="297">
        <f t="shared" si="13"/>
        <v>0.1816698638391695</v>
      </c>
      <c r="AI10" s="296">
        <f t="shared" si="22"/>
        <v>1.6954034831848863</v>
      </c>
      <c r="AL10" s="324">
        <v>1.25</v>
      </c>
      <c r="AM10" s="324">
        <v>-1.4</v>
      </c>
      <c r="AN10" s="324">
        <v>1.31</v>
      </c>
      <c r="AO10" s="556">
        <v>2.0499999999999998</v>
      </c>
      <c r="AP10" s="556">
        <v>2.6</v>
      </c>
      <c r="AQ10" s="324">
        <v>2.95</v>
      </c>
      <c r="AR10" s="324">
        <v>3.6</v>
      </c>
    </row>
    <row r="11" spans="1:45" ht="15" customHeight="1">
      <c r="A11" s="538">
        <v>1.6</v>
      </c>
      <c r="B11" s="537">
        <v>20</v>
      </c>
      <c r="C11" s="537">
        <v>60</v>
      </c>
      <c r="D11" s="538">
        <v>1.85</v>
      </c>
      <c r="E11" s="538">
        <v>0.3</v>
      </c>
      <c r="F11" s="537">
        <v>46</v>
      </c>
      <c r="G11" s="537">
        <v>34</v>
      </c>
      <c r="H11" s="141">
        <v>9.5000000000000001E-2</v>
      </c>
      <c r="J11"/>
      <c r="K11" s="557">
        <v>1.6</v>
      </c>
      <c r="L11" s="557">
        <f t="shared" si="0"/>
        <v>2000</v>
      </c>
      <c r="M11" s="558">
        <f t="shared" si="14"/>
        <v>33.333333333333336</v>
      </c>
      <c r="N11" s="557">
        <f t="shared" si="15"/>
        <v>18.5</v>
      </c>
      <c r="O11" s="557">
        <f t="shared" si="16"/>
        <v>18.5</v>
      </c>
      <c r="P11" s="557">
        <f t="shared" si="1"/>
        <v>29.6</v>
      </c>
      <c r="Q11" s="557">
        <f t="shared" si="2"/>
        <v>29.6</v>
      </c>
      <c r="R11" s="565" t="s">
        <v>536</v>
      </c>
      <c r="S11" s="21">
        <f t="shared" si="3"/>
        <v>1.6917038841521181</v>
      </c>
      <c r="T11" s="475">
        <f t="shared" si="4"/>
        <v>0.70209250807695289</v>
      </c>
      <c r="U11" s="475">
        <f t="shared" si="19"/>
        <v>46.318717667546167</v>
      </c>
      <c r="V11" s="476">
        <f t="shared" si="17"/>
        <v>2.3136417010289008</v>
      </c>
      <c r="W11" s="475">
        <f t="shared" si="5"/>
        <v>47.014532752279905</v>
      </c>
      <c r="X11" s="296">
        <f t="shared" si="20"/>
        <v>1.9932799902004312</v>
      </c>
      <c r="Y11" s="296">
        <f t="shared" si="18"/>
        <v>93.713127383742346</v>
      </c>
      <c r="Z11" s="552">
        <f t="shared" si="6"/>
        <v>38.315353248877784</v>
      </c>
      <c r="AA11" s="11">
        <f t="shared" si="7"/>
        <v>1</v>
      </c>
      <c r="AB11" s="296">
        <f t="shared" si="8"/>
        <v>1</v>
      </c>
      <c r="AC11" s="297">
        <f t="shared" si="9"/>
        <v>0.98775999999999997</v>
      </c>
      <c r="AD11" s="297">
        <f t="shared" si="10"/>
        <v>0.13097697599999997</v>
      </c>
      <c r="AE11" s="297">
        <f t="shared" si="11"/>
        <v>0.10698863227656843</v>
      </c>
      <c r="AF11" s="297">
        <f t="shared" si="12"/>
        <v>0.15653925710064151</v>
      </c>
      <c r="AG11" s="553">
        <f t="shared" si="21"/>
        <v>1.4631391557187441</v>
      </c>
      <c r="AH11" s="297">
        <f t="shared" si="13"/>
        <v>0.13254083890389803</v>
      </c>
      <c r="AI11" s="296">
        <f t="shared" si="22"/>
        <v>1.2388310429212375</v>
      </c>
      <c r="AL11" s="324">
        <v>1.25</v>
      </c>
      <c r="AM11" s="324">
        <v>-1.6</v>
      </c>
      <c r="AN11" s="324">
        <v>1.31</v>
      </c>
      <c r="AO11" s="556">
        <v>2.0499999999999998</v>
      </c>
      <c r="AP11" s="556">
        <v>2.6</v>
      </c>
      <c r="AQ11" s="324">
        <v>2.95</v>
      </c>
      <c r="AR11" s="324">
        <v>3.6</v>
      </c>
    </row>
    <row r="12" spans="1:45" ht="15" customHeight="1">
      <c r="A12" s="538">
        <v>1.8</v>
      </c>
      <c r="B12" s="537">
        <v>9</v>
      </c>
      <c r="C12" s="537">
        <v>34</v>
      </c>
      <c r="D12" s="538">
        <v>0.85</v>
      </c>
      <c r="E12" s="538">
        <v>0.31</v>
      </c>
      <c r="F12" s="537">
        <v>18</v>
      </c>
      <c r="G12" s="537">
        <v>30</v>
      </c>
      <c r="H12" s="141">
        <v>3.4000000000000002E-2</v>
      </c>
      <c r="J12"/>
      <c r="K12" s="557">
        <v>1.8</v>
      </c>
      <c r="L12" s="557">
        <f t="shared" si="0"/>
        <v>900</v>
      </c>
      <c r="M12" s="558">
        <f t="shared" si="14"/>
        <v>26.470588235294116</v>
      </c>
      <c r="N12" s="557">
        <f t="shared" si="15"/>
        <v>18.5</v>
      </c>
      <c r="O12" s="557">
        <f>N4-10</f>
        <v>8.5</v>
      </c>
      <c r="P12" s="557">
        <f t="shared" si="1"/>
        <v>33.300000000000004</v>
      </c>
      <c r="Q12" s="557">
        <f t="shared" si="2"/>
        <v>15.3</v>
      </c>
      <c r="R12" s="563" t="s">
        <v>176</v>
      </c>
      <c r="S12" s="21">
        <f t="shared" si="3"/>
        <v>3.0541811740272431</v>
      </c>
      <c r="T12" s="475">
        <f t="shared" si="4"/>
        <v>0.77406303061800297</v>
      </c>
      <c r="U12" s="475">
        <f t="shared" si="19"/>
        <v>37.065427928688244</v>
      </c>
      <c r="V12" s="476">
        <f t="shared" si="17"/>
        <v>2.5535436274770644</v>
      </c>
      <c r="W12" s="475">
        <f t="shared" si="5"/>
        <v>38.489540943601504</v>
      </c>
      <c r="X12" s="296">
        <f t="shared" si="20"/>
        <v>3.054066536821491</v>
      </c>
      <c r="Y12" s="296">
        <f t="shared" si="18"/>
        <v>117.54961901347403</v>
      </c>
      <c r="Z12" s="552">
        <f t="shared" si="6"/>
        <v>24.885188406014677</v>
      </c>
      <c r="AA12" s="11">
        <f t="shared" si="7"/>
        <v>1</v>
      </c>
      <c r="AB12" s="296">
        <f t="shared" si="8"/>
        <v>1</v>
      </c>
      <c r="AC12" s="297">
        <f t="shared" si="9"/>
        <v>0.98623000000000005</v>
      </c>
      <c r="AD12" s="297">
        <f t="shared" si="10"/>
        <v>0.28462597800000006</v>
      </c>
      <c r="AE12" s="297">
        <f t="shared" si="11"/>
        <v>0.23249692447167716</v>
      </c>
      <c r="AF12" s="297">
        <f t="shared" si="12"/>
        <v>0.23105900724723305</v>
      </c>
      <c r="AG12" s="553">
        <f t="shared" si="21"/>
        <v>0.99381532797600824</v>
      </c>
      <c r="AH12" s="297">
        <f t="shared" si="13"/>
        <v>0.17445313080762342</v>
      </c>
      <c r="AI12" s="296">
        <f t="shared" si="22"/>
        <v>0.75034597212005427</v>
      </c>
      <c r="AL12" s="324">
        <v>1.25</v>
      </c>
      <c r="AM12" s="324">
        <v>-1.8</v>
      </c>
      <c r="AN12" s="324">
        <v>1.31</v>
      </c>
      <c r="AO12" s="556">
        <v>2.0499999999999998</v>
      </c>
      <c r="AP12" s="556">
        <v>2.6</v>
      </c>
      <c r="AQ12" s="324">
        <v>2.95</v>
      </c>
      <c r="AR12" s="324">
        <v>3.6</v>
      </c>
    </row>
    <row r="13" spans="1:45" ht="15" customHeight="1">
      <c r="A13" s="527" t="s">
        <v>184</v>
      </c>
      <c r="B13" s="537">
        <v>76</v>
      </c>
      <c r="C13" s="537">
        <v>104</v>
      </c>
      <c r="D13" s="538">
        <v>0.96</v>
      </c>
      <c r="E13" s="538">
        <v>0.33</v>
      </c>
      <c r="F13" s="537">
        <v>89</v>
      </c>
      <c r="G13" s="537">
        <v>41</v>
      </c>
      <c r="H13" s="141">
        <v>0.221</v>
      </c>
      <c r="J13"/>
      <c r="K13" s="557">
        <v>2</v>
      </c>
      <c r="L13" s="557">
        <v>1000</v>
      </c>
      <c r="M13" s="558">
        <f t="shared" si="14"/>
        <v>9.615384615384615</v>
      </c>
      <c r="N13" s="557">
        <f t="shared" si="15"/>
        <v>18.5</v>
      </c>
      <c r="O13" s="557">
        <f t="shared" ref="O13:O51" si="23">N5-10</f>
        <v>8.5</v>
      </c>
      <c r="P13" s="557">
        <f t="shared" si="1"/>
        <v>37</v>
      </c>
      <c r="Q13" s="557">
        <f t="shared" si="2"/>
        <v>17</v>
      </c>
      <c r="R13" s="324">
        <v>7</v>
      </c>
      <c r="S13" s="21">
        <f t="shared" si="3"/>
        <v>0.99848230689352169</v>
      </c>
      <c r="T13" s="475">
        <f t="shared" si="4"/>
        <v>0.69779678312129534</v>
      </c>
      <c r="U13" s="475">
        <f t="shared" si="19"/>
        <v>33.160155178312223</v>
      </c>
      <c r="V13" s="476">
        <f t="shared" si="17"/>
        <v>2.2993231102347256</v>
      </c>
      <c r="W13" s="475">
        <f t="shared" si="5"/>
        <v>34.434221368963883</v>
      </c>
      <c r="X13" s="296">
        <f t="shared" si="20"/>
        <v>1.9465642530016929</v>
      </c>
      <c r="Y13" s="296">
        <f t="shared" si="18"/>
        <v>67.02842439677211</v>
      </c>
      <c r="Z13" s="552">
        <f t="shared" si="6"/>
        <v>84.528882685049183</v>
      </c>
      <c r="AA13" s="11">
        <f t="shared" si="7"/>
        <v>0.75</v>
      </c>
      <c r="AB13" s="296">
        <f t="shared" si="8"/>
        <v>1</v>
      </c>
      <c r="AC13" s="297">
        <f t="shared" si="9"/>
        <v>0.98470000000000002</v>
      </c>
      <c r="AD13" s="297">
        <f t="shared" si="10"/>
        <v>0.28418441999999994</v>
      </c>
      <c r="AE13" s="297">
        <f t="shared" si="11"/>
        <v>0.23213623751788162</v>
      </c>
      <c r="AF13" s="297">
        <f t="shared" si="12"/>
        <v>0.10800657370075026</v>
      </c>
      <c r="AG13" s="553">
        <f t="shared" si="21"/>
        <v>0.46527235409521289</v>
      </c>
      <c r="AH13" s="297">
        <f t="shared" si="13"/>
        <v>9.5973141783132959E-2</v>
      </c>
      <c r="AI13" s="296">
        <f t="shared" si="22"/>
        <v>0.4134345538177342</v>
      </c>
      <c r="AL13" s="324">
        <v>1.25</v>
      </c>
      <c r="AM13" s="324">
        <v>-2</v>
      </c>
      <c r="AN13" s="324">
        <v>1.31</v>
      </c>
      <c r="AO13" s="556">
        <v>2.0499999999999998</v>
      </c>
      <c r="AP13" s="556">
        <v>2.6</v>
      </c>
      <c r="AQ13" s="324">
        <v>2.95</v>
      </c>
      <c r="AR13" s="324">
        <v>3.6</v>
      </c>
    </row>
    <row r="14" spans="1:45" ht="15" customHeight="1">
      <c r="A14" s="538">
        <v>2.2000000000000002</v>
      </c>
      <c r="B14" s="537">
        <v>11</v>
      </c>
      <c r="C14" s="537">
        <v>82</v>
      </c>
      <c r="D14" s="538">
        <v>0.87</v>
      </c>
      <c r="E14" s="538">
        <v>0.35</v>
      </c>
      <c r="F14" s="537">
        <v>22</v>
      </c>
      <c r="G14" s="537">
        <v>31</v>
      </c>
      <c r="H14" s="141">
        <v>4.1000000000000002E-2</v>
      </c>
      <c r="J14"/>
      <c r="K14" s="557">
        <v>2.2000000000000002</v>
      </c>
      <c r="L14" s="557">
        <f t="shared" ref="L14:L51" si="24">B14*100</f>
        <v>1100</v>
      </c>
      <c r="M14" s="558">
        <f t="shared" si="14"/>
        <v>13.414634146341463</v>
      </c>
      <c r="N14" s="557">
        <f t="shared" si="15"/>
        <v>18.5</v>
      </c>
      <c r="O14" s="557">
        <f t="shared" si="23"/>
        <v>8.5</v>
      </c>
      <c r="P14" s="557">
        <f t="shared" si="1"/>
        <v>40.700000000000003</v>
      </c>
      <c r="Q14" s="557">
        <f t="shared" si="2"/>
        <v>18.700000000000003</v>
      </c>
      <c r="R14" s="554" t="s">
        <v>610</v>
      </c>
      <c r="S14" s="21">
        <f t="shared" si="3"/>
        <v>1.2663678038649544</v>
      </c>
      <c r="T14" s="475">
        <f t="shared" si="4"/>
        <v>0.70949481927994318</v>
      </c>
      <c r="U14" s="475">
        <f t="shared" si="19"/>
        <v>34.805155632166631</v>
      </c>
      <c r="V14" s="476">
        <f t="shared" si="17"/>
        <v>2.3383162888938989</v>
      </c>
      <c r="W14" s="475">
        <f t="shared" si="5"/>
        <v>36.142425370889548</v>
      </c>
      <c r="X14" s="296">
        <f t="shared" si="20"/>
        <v>2.0778076583665559</v>
      </c>
      <c r="Y14" s="296">
        <f t="shared" si="18"/>
        <v>75.097008227576012</v>
      </c>
      <c r="Z14" s="552">
        <f t="shared" si="6"/>
        <v>27.761144204738372</v>
      </c>
      <c r="AA14" s="11">
        <f t="shared" si="7"/>
        <v>1</v>
      </c>
      <c r="AB14" s="296">
        <f t="shared" si="8"/>
        <v>1</v>
      </c>
      <c r="AC14" s="297">
        <f t="shared" si="9"/>
        <v>0.98316999999999999</v>
      </c>
      <c r="AD14" s="297">
        <f t="shared" si="10"/>
        <v>0.28374286199999998</v>
      </c>
      <c r="AE14" s="297">
        <f t="shared" si="11"/>
        <v>0.23177555056408622</v>
      </c>
      <c r="AF14" s="297">
        <f t="shared" si="12"/>
        <v>0.11938681428877813</v>
      </c>
      <c r="AG14" s="553">
        <f t="shared" si="21"/>
        <v>0.51509667002502724</v>
      </c>
      <c r="AH14" s="297">
        <f t="shared" si="13"/>
        <v>0.10608741988125248</v>
      </c>
      <c r="AI14" s="296">
        <f t="shared" si="22"/>
        <v>0.45771618112031698</v>
      </c>
      <c r="AL14" s="324">
        <v>1.25</v>
      </c>
      <c r="AM14" s="324">
        <v>-2.2000000000000002</v>
      </c>
      <c r="AN14" s="324">
        <v>1.31</v>
      </c>
      <c r="AO14" s="556">
        <v>2.0499999999999998</v>
      </c>
      <c r="AP14" s="556">
        <v>2.6</v>
      </c>
      <c r="AQ14" s="324">
        <v>2.95</v>
      </c>
      <c r="AR14" s="324">
        <v>3.6</v>
      </c>
    </row>
    <row r="15" spans="1:45" ht="15" customHeight="1">
      <c r="A15" s="538">
        <v>2.4</v>
      </c>
      <c r="B15" s="537">
        <v>6</v>
      </c>
      <c r="C15" s="537">
        <v>90</v>
      </c>
      <c r="D15" s="538">
        <v>0.82</v>
      </c>
      <c r="E15" s="538">
        <v>0.37</v>
      </c>
      <c r="F15" s="536" t="s">
        <v>178</v>
      </c>
      <c r="G15" s="537">
        <v>28</v>
      </c>
      <c r="H15" s="536" t="s">
        <v>178</v>
      </c>
      <c r="J15"/>
      <c r="K15" s="557">
        <v>2.4</v>
      </c>
      <c r="L15" s="557">
        <f t="shared" si="24"/>
        <v>600</v>
      </c>
      <c r="M15" s="558">
        <f t="shared" si="14"/>
        <v>6.666666666666667</v>
      </c>
      <c r="N15" s="557">
        <f t="shared" si="15"/>
        <v>18.5</v>
      </c>
      <c r="O15" s="557">
        <f t="shared" si="23"/>
        <v>8.5</v>
      </c>
      <c r="P15" s="557">
        <f t="shared" si="1"/>
        <v>44.4</v>
      </c>
      <c r="Q15" s="557">
        <f t="shared" si="2"/>
        <v>20.399999999999999</v>
      </c>
      <c r="R15" s="555" t="s">
        <v>176</v>
      </c>
      <c r="S15" s="21">
        <f t="shared" si="3"/>
        <v>1.1999040076793857</v>
      </c>
      <c r="T15" s="475">
        <f t="shared" si="4"/>
        <v>0.7724161762768007</v>
      </c>
      <c r="U15" s="475">
        <f t="shared" si="19"/>
        <v>18.96771708964609</v>
      </c>
      <c r="V15" s="476">
        <f t="shared" si="17"/>
        <v>2.5480540812549486</v>
      </c>
      <c r="W15" s="475">
        <f t="shared" si="5"/>
        <v>20.483495777155607</v>
      </c>
      <c r="X15" s="296">
        <f t="shared" si="20"/>
        <v>3.0233924390400198</v>
      </c>
      <c r="Y15" s="296">
        <f t="shared" si="18"/>
        <v>61.929646257760439</v>
      </c>
      <c r="Z15" s="552">
        <f t="shared" si="6"/>
        <v>9.1401870002658256</v>
      </c>
      <c r="AA15" s="11">
        <f t="shared" si="7"/>
        <v>1</v>
      </c>
      <c r="AB15" s="296">
        <f t="shared" si="8"/>
        <v>1</v>
      </c>
      <c r="AC15" s="297">
        <f t="shared" si="9"/>
        <v>0.98163999999999996</v>
      </c>
      <c r="AD15" s="297">
        <f t="shared" si="10"/>
        <v>0.28330130400000003</v>
      </c>
      <c r="AE15" s="297">
        <f t="shared" si="11"/>
        <v>0.23141486361029084</v>
      </c>
      <c r="AF15" s="297">
        <f t="shared" si="12"/>
        <v>0.10208913688658205</v>
      </c>
      <c r="AG15" s="553">
        <f t="shared" si="21"/>
        <v>0.44115203014143051</v>
      </c>
      <c r="AH15" s="297">
        <f t="shared" si="13"/>
        <v>9.0017378130369155E-2</v>
      </c>
      <c r="AI15" s="296">
        <f t="shared" si="22"/>
        <v>0.38898701978780825</v>
      </c>
      <c r="AL15" s="324">
        <v>1.25</v>
      </c>
      <c r="AM15" s="324">
        <v>-2.4</v>
      </c>
      <c r="AN15" s="324">
        <v>1.31</v>
      </c>
      <c r="AO15" s="556">
        <v>2.0499999999999998</v>
      </c>
      <c r="AP15" s="556">
        <v>2.6</v>
      </c>
      <c r="AQ15" s="324">
        <v>2.95</v>
      </c>
      <c r="AR15" s="324">
        <v>3.6</v>
      </c>
    </row>
    <row r="16" spans="1:45" ht="15" customHeight="1">
      <c r="A16" s="538">
        <v>2.6</v>
      </c>
      <c r="B16" s="537">
        <v>5</v>
      </c>
      <c r="C16" s="537">
        <v>19</v>
      </c>
      <c r="D16" s="538">
        <v>0.8</v>
      </c>
      <c r="E16" s="538">
        <v>0.38</v>
      </c>
      <c r="F16" s="536" t="s">
        <v>178</v>
      </c>
      <c r="G16" s="536" t="s">
        <v>178</v>
      </c>
      <c r="H16" s="536" t="s">
        <v>178</v>
      </c>
      <c r="J16"/>
      <c r="K16" s="557">
        <v>2.6</v>
      </c>
      <c r="L16" s="557">
        <f t="shared" si="24"/>
        <v>500</v>
      </c>
      <c r="M16" s="558">
        <f t="shared" si="14"/>
        <v>26.315789473684209</v>
      </c>
      <c r="N16" s="557">
        <f t="shared" si="15"/>
        <v>18.5</v>
      </c>
      <c r="O16" s="557">
        <f t="shared" si="23"/>
        <v>8.5</v>
      </c>
      <c r="P16" s="557">
        <f t="shared" si="1"/>
        <v>48.1</v>
      </c>
      <c r="Q16" s="557">
        <f t="shared" si="2"/>
        <v>22.1</v>
      </c>
      <c r="R16" s="180">
        <f>(10^2.24)/($R$13^2.56)</f>
        <v>1.192748880379199</v>
      </c>
      <c r="S16" s="21">
        <f t="shared" si="3"/>
        <v>5.8233656724240346</v>
      </c>
      <c r="T16" s="475">
        <f t="shared" si="4"/>
        <v>0.90221552625737433</v>
      </c>
      <c r="U16" s="475">
        <f t="shared" si="19"/>
        <v>17.641756000545389</v>
      </c>
      <c r="V16" s="476">
        <f t="shared" si="17"/>
        <v>2.9807184325632616</v>
      </c>
      <c r="W16" s="475">
        <f t="shared" si="5"/>
        <v>19.519535296022781</v>
      </c>
      <c r="X16" s="296">
        <f t="shared" si="20"/>
        <v>6.5318747654559637</v>
      </c>
      <c r="Y16" s="296">
        <f t="shared" si="18"/>
        <v>127.49916003351821</v>
      </c>
      <c r="Z16" s="552">
        <f t="shared" si="6"/>
        <v>2.7670752545685815</v>
      </c>
      <c r="AA16" s="11">
        <f t="shared" si="7"/>
        <v>1</v>
      </c>
      <c r="AB16" s="296">
        <f t="shared" si="8"/>
        <v>1</v>
      </c>
      <c r="AC16" s="297">
        <f t="shared" si="9"/>
        <v>0.98011000000000004</v>
      </c>
      <c r="AD16" s="297">
        <f t="shared" si="10"/>
        <v>0.28285974599999997</v>
      </c>
      <c r="AE16" s="297">
        <f t="shared" si="11"/>
        <v>0.23105417665649536</v>
      </c>
      <c r="AF16" s="297">
        <f t="shared" si="12"/>
        <v>0.27275467473736958</v>
      </c>
      <c r="AG16" s="553">
        <f t="shared" si="21"/>
        <v>1.1804793087245062</v>
      </c>
      <c r="AH16" s="297">
        <f t="shared" si="13"/>
        <v>0.19670117741745888</v>
      </c>
      <c r="AI16" s="296">
        <f t="shared" si="22"/>
        <v>0.8513205875083204</v>
      </c>
      <c r="AL16" s="324">
        <v>1.25</v>
      </c>
      <c r="AM16" s="324">
        <v>-2.6</v>
      </c>
      <c r="AN16" s="324">
        <v>1.31</v>
      </c>
      <c r="AO16" s="556">
        <v>2.0499999999999998</v>
      </c>
      <c r="AP16" s="556">
        <v>2.6</v>
      </c>
      <c r="AQ16" s="324">
        <v>2.95</v>
      </c>
      <c r="AR16" s="324">
        <v>3.6</v>
      </c>
    </row>
    <row r="17" spans="1:44" ht="15" customHeight="1">
      <c r="A17" s="538">
        <v>2.8</v>
      </c>
      <c r="B17" s="537">
        <v>8</v>
      </c>
      <c r="C17" s="537">
        <v>13</v>
      </c>
      <c r="D17" s="538">
        <v>0.86</v>
      </c>
      <c r="E17" s="538">
        <v>0.4</v>
      </c>
      <c r="F17" s="536" t="s">
        <v>178</v>
      </c>
      <c r="G17" s="536" t="s">
        <v>178</v>
      </c>
      <c r="H17" s="536" t="s">
        <v>178</v>
      </c>
      <c r="J17"/>
      <c r="K17" s="557">
        <v>2.8</v>
      </c>
      <c r="L17" s="557">
        <f t="shared" si="24"/>
        <v>800</v>
      </c>
      <c r="M17" s="558">
        <f t="shared" si="14"/>
        <v>61.53846153846154</v>
      </c>
      <c r="N17" s="557">
        <f t="shared" si="15"/>
        <v>18.5</v>
      </c>
      <c r="O17" s="557">
        <f t="shared" si="23"/>
        <v>8.5</v>
      </c>
      <c r="P17" s="557">
        <f t="shared" si="1"/>
        <v>51.8</v>
      </c>
      <c r="Q17" s="557">
        <f t="shared" si="2"/>
        <v>23.799999999999997</v>
      </c>
      <c r="R17" s="554" t="s">
        <v>611</v>
      </c>
      <c r="S17" s="21">
        <f t="shared" si="3"/>
        <v>8.2248678880595474</v>
      </c>
      <c r="T17" s="475">
        <f t="shared" si="4"/>
        <v>0.8936697447887767</v>
      </c>
      <c r="U17" s="475">
        <f t="shared" si="19"/>
        <v>26.986838840290016</v>
      </c>
      <c r="V17" s="476">
        <f t="shared" si="17"/>
        <v>2.9522324866028939</v>
      </c>
      <c r="W17" s="475">
        <f t="shared" si="5"/>
        <v>28.855213943106136</v>
      </c>
      <c r="X17" s="296">
        <f t="shared" si="20"/>
        <v>6.2277212000445381</v>
      </c>
      <c r="Y17" s="296">
        <f t="shared" si="18"/>
        <v>179.70222760530282</v>
      </c>
      <c r="Z17" s="552">
        <f t="shared" si="6"/>
        <v>15.176899558603381</v>
      </c>
      <c r="AA17" s="11">
        <f t="shared" si="7"/>
        <v>1</v>
      </c>
      <c r="AB17" s="296">
        <f t="shared" si="8"/>
        <v>1</v>
      </c>
      <c r="AC17" s="297">
        <f t="shared" si="9"/>
        <v>0.97858000000000001</v>
      </c>
      <c r="AD17" s="297">
        <f t="shared" si="10"/>
        <v>0.28241818800000001</v>
      </c>
      <c r="AE17" s="297">
        <f t="shared" si="11"/>
        <v>0.23069348970269998</v>
      </c>
      <c r="AF17" s="297">
        <f t="shared" si="12"/>
        <v>0.61968870713241631</v>
      </c>
      <c r="AG17" s="553">
        <f t="shared" si="21"/>
        <v>2.6861993718636077</v>
      </c>
      <c r="AH17" s="297">
        <f t="shared" si="13"/>
        <v>0.53087524786326501</v>
      </c>
      <c r="AI17" s="296">
        <f t="shared" si="22"/>
        <v>2.3012146920462131</v>
      </c>
      <c r="AL17" s="324">
        <v>1.25</v>
      </c>
      <c r="AM17" s="324">
        <v>-2.8</v>
      </c>
      <c r="AN17" s="324">
        <v>1.31</v>
      </c>
      <c r="AO17" s="556">
        <v>2.0499999999999998</v>
      </c>
      <c r="AP17" s="556">
        <v>2.6</v>
      </c>
      <c r="AQ17" s="324">
        <v>2.95</v>
      </c>
      <c r="AR17" s="324">
        <v>3.6</v>
      </c>
    </row>
    <row r="18" spans="1:44" ht="15" customHeight="1">
      <c r="A18" s="527" t="s">
        <v>186</v>
      </c>
      <c r="B18" s="537">
        <v>36</v>
      </c>
      <c r="C18" s="537">
        <v>34</v>
      </c>
      <c r="D18" s="538">
        <v>0.89</v>
      </c>
      <c r="E18" s="538">
        <v>0.42</v>
      </c>
      <c r="F18" s="537">
        <v>58</v>
      </c>
      <c r="G18" s="537">
        <v>36</v>
      </c>
      <c r="H18" s="141">
        <v>0.126</v>
      </c>
      <c r="J18"/>
      <c r="K18" s="557">
        <v>3</v>
      </c>
      <c r="L18" s="557">
        <f t="shared" si="24"/>
        <v>3600</v>
      </c>
      <c r="M18" s="558">
        <f t="shared" si="14"/>
        <v>105.88235294117646</v>
      </c>
      <c r="N18" s="557">
        <f t="shared" si="15"/>
        <v>18.5</v>
      </c>
      <c r="O18" s="557">
        <f t="shared" si="23"/>
        <v>8.5</v>
      </c>
      <c r="P18" s="557">
        <f t="shared" si="1"/>
        <v>55.5</v>
      </c>
      <c r="Q18" s="557">
        <f t="shared" si="2"/>
        <v>25.5</v>
      </c>
      <c r="R18" s="555" t="s">
        <v>176</v>
      </c>
      <c r="S18" s="21">
        <f t="shared" si="3"/>
        <v>2.9872295934878395</v>
      </c>
      <c r="T18" s="475">
        <f t="shared" si="4"/>
        <v>0.68934390242029497</v>
      </c>
      <c r="U18" s="475">
        <f t="shared" si="19"/>
        <v>90.918631186223877</v>
      </c>
      <c r="V18" s="476">
        <f t="shared" si="17"/>
        <v>2.2711463465543522</v>
      </c>
      <c r="W18" s="475">
        <f t="shared" si="5"/>
        <v>92.342240730824088</v>
      </c>
      <c r="X18" s="296">
        <f t="shared" si="20"/>
        <v>1.8594934993694316</v>
      </c>
      <c r="Y18" s="296">
        <f t="shared" si="18"/>
        <v>171.70979635617454</v>
      </c>
      <c r="Z18" s="552">
        <f t="shared" si="6"/>
        <v>57.300139096320436</v>
      </c>
      <c r="AA18" s="11">
        <f t="shared" si="7"/>
        <v>0.75</v>
      </c>
      <c r="AB18" s="296">
        <f t="shared" si="8"/>
        <v>1</v>
      </c>
      <c r="AC18" s="297">
        <f t="shared" si="9"/>
        <v>0.97704999999999997</v>
      </c>
      <c r="AD18" s="297">
        <f t="shared" si="10"/>
        <v>0.28197662999999995</v>
      </c>
      <c r="AE18" s="297">
        <f t="shared" si="11"/>
        <v>0.2303328027489045</v>
      </c>
      <c r="AF18" s="297">
        <f t="shared" si="12"/>
        <v>0.550834380884756</v>
      </c>
      <c r="AG18" s="553">
        <f t="shared" si="21"/>
        <v>2.3914717066385189</v>
      </c>
      <c r="AH18" s="297">
        <f t="shared" si="13"/>
        <v>0.42529074422099455</v>
      </c>
      <c r="AI18" s="296">
        <f t="shared" si="22"/>
        <v>1.8464184829315082</v>
      </c>
      <c r="AL18" s="324">
        <v>1.25</v>
      </c>
      <c r="AM18" s="324">
        <v>-3</v>
      </c>
      <c r="AN18" s="324">
        <v>1.31</v>
      </c>
      <c r="AO18" s="556">
        <v>2.0499999999999998</v>
      </c>
      <c r="AP18" s="556">
        <v>2.6</v>
      </c>
      <c r="AQ18" s="324">
        <v>2.95</v>
      </c>
      <c r="AR18" s="324">
        <v>3.6</v>
      </c>
    </row>
    <row r="19" spans="1:44" ht="15" customHeight="1">
      <c r="A19" s="538">
        <v>3.2</v>
      </c>
      <c r="B19" s="537">
        <v>38</v>
      </c>
      <c r="C19" s="537">
        <v>71</v>
      </c>
      <c r="D19" s="538">
        <v>0.9</v>
      </c>
      <c r="E19" s="538">
        <v>0.43</v>
      </c>
      <c r="F19" s="537">
        <v>59</v>
      </c>
      <c r="G19" s="537">
        <v>36</v>
      </c>
      <c r="H19" s="141">
        <v>0.128</v>
      </c>
      <c r="J19"/>
      <c r="K19" s="557">
        <v>3.2</v>
      </c>
      <c r="L19" s="557">
        <f t="shared" si="24"/>
        <v>3800</v>
      </c>
      <c r="M19" s="558">
        <f t="shared" si="14"/>
        <v>53.521126760563384</v>
      </c>
      <c r="N19" s="557">
        <f t="shared" si="15"/>
        <v>18.5</v>
      </c>
      <c r="O19" s="557">
        <f t="shared" si="23"/>
        <v>8.5</v>
      </c>
      <c r="P19" s="557">
        <f t="shared" si="1"/>
        <v>59.2</v>
      </c>
      <c r="Q19" s="557">
        <f t="shared" si="2"/>
        <v>27.200000000000003</v>
      </c>
      <c r="R19" s="125">
        <f>($R$13/7.5)^(-3.3)</f>
        <v>1.2556790172954069</v>
      </c>
      <c r="S19" s="21">
        <f t="shared" si="3"/>
        <v>1.4307401293991493</v>
      </c>
      <c r="T19" s="475">
        <f t="shared" si="4"/>
        <v>0.62791301565608926</v>
      </c>
      <c r="U19" s="475">
        <f t="shared" si="19"/>
        <v>84.723918561533665</v>
      </c>
      <c r="V19" s="476">
        <f t="shared" si="17"/>
        <v>2.0663767301681197</v>
      </c>
      <c r="W19" s="475">
        <f t="shared" si="5"/>
        <v>86.064716246211489</v>
      </c>
      <c r="X19" s="296">
        <f t="shared" si="20"/>
        <v>1.3969919056420856</v>
      </c>
      <c r="Y19" s="296">
        <f t="shared" si="18"/>
        <v>120.23171195734035</v>
      </c>
      <c r="Z19" s="552">
        <f t="shared" si="6"/>
        <v>57.924943543580895</v>
      </c>
      <c r="AA19" s="11">
        <f t="shared" si="7"/>
        <v>0.75</v>
      </c>
      <c r="AB19" s="296">
        <f t="shared" si="8"/>
        <v>1</v>
      </c>
      <c r="AC19" s="297">
        <f t="shared" si="9"/>
        <v>0.97551999999999994</v>
      </c>
      <c r="AD19" s="297">
        <f t="shared" si="10"/>
        <v>0.28153507199999994</v>
      </c>
      <c r="AE19" s="297">
        <f t="shared" si="11"/>
        <v>0.22997211579510904</v>
      </c>
      <c r="AF19" s="297">
        <f t="shared" si="12"/>
        <v>0.2416367246724328</v>
      </c>
      <c r="AG19" s="553">
        <f t="shared" si="21"/>
        <v>1.0507218400674114</v>
      </c>
      <c r="AH19" s="297">
        <f t="shared" si="13"/>
        <v>0.18006314779192392</v>
      </c>
      <c r="AI19" s="296">
        <f t="shared" si="22"/>
        <v>0.78297817615570864</v>
      </c>
      <c r="AL19" s="324">
        <v>1.25</v>
      </c>
      <c r="AM19" s="324">
        <v>-3.2</v>
      </c>
      <c r="AN19" s="324">
        <v>1.31</v>
      </c>
      <c r="AO19" s="556">
        <v>2.0499999999999998</v>
      </c>
      <c r="AP19" s="556">
        <v>2.6</v>
      </c>
      <c r="AQ19" s="324">
        <v>2.95</v>
      </c>
      <c r="AR19" s="324">
        <v>3.6</v>
      </c>
    </row>
    <row r="20" spans="1:44" ht="15" customHeight="1">
      <c r="A20" s="538">
        <v>3.4</v>
      </c>
      <c r="B20" s="537">
        <v>52</v>
      </c>
      <c r="C20" s="537">
        <v>32</v>
      </c>
      <c r="D20" s="538">
        <v>0.92</v>
      </c>
      <c r="E20" s="538">
        <v>0.45</v>
      </c>
      <c r="F20" s="537">
        <v>69</v>
      </c>
      <c r="G20" s="537">
        <v>38</v>
      </c>
      <c r="H20" s="141">
        <v>0.156</v>
      </c>
      <c r="J20"/>
      <c r="K20" s="557">
        <v>3.4</v>
      </c>
      <c r="L20" s="557">
        <f t="shared" si="24"/>
        <v>5200</v>
      </c>
      <c r="M20" s="558">
        <f t="shared" si="14"/>
        <v>162.5</v>
      </c>
      <c r="N20" s="557">
        <f t="shared" si="15"/>
        <v>18.5</v>
      </c>
      <c r="O20" s="557">
        <f t="shared" si="23"/>
        <v>8.5</v>
      </c>
      <c r="P20" s="557">
        <f t="shared" si="1"/>
        <v>62.9</v>
      </c>
      <c r="Q20" s="557">
        <f t="shared" si="2"/>
        <v>28.9</v>
      </c>
      <c r="R20" s="554" t="s">
        <v>612</v>
      </c>
      <c r="S20" s="21">
        <f t="shared" si="3"/>
        <v>3.1632633197718558</v>
      </c>
      <c r="T20" s="475">
        <f t="shared" si="4"/>
        <v>0.67271575697749431</v>
      </c>
      <c r="U20" s="475">
        <f t="shared" si="19"/>
        <v>118.40786096946853</v>
      </c>
      <c r="V20" s="476">
        <f t="shared" si="17"/>
        <v>2.2157191913017913</v>
      </c>
      <c r="W20" s="475">
        <f t="shared" si="5"/>
        <v>119.85767788075691</v>
      </c>
      <c r="X20" s="296">
        <f t="shared" si="20"/>
        <v>1.7061491198372032</v>
      </c>
      <c r="Y20" s="296">
        <f t="shared" si="18"/>
        <v>204.49507162198441</v>
      </c>
      <c r="Z20" s="552">
        <f t="shared" si="6"/>
        <v>66.046591868930676</v>
      </c>
      <c r="AA20" s="11">
        <f t="shared" si="7"/>
        <v>0.75</v>
      </c>
      <c r="AB20" s="296">
        <f t="shared" si="8"/>
        <v>1</v>
      </c>
      <c r="AC20" s="297">
        <f t="shared" si="9"/>
        <v>0.97399000000000002</v>
      </c>
      <c r="AD20" s="297">
        <f t="shared" si="10"/>
        <v>0.28109351400000004</v>
      </c>
      <c r="AE20" s="297">
        <f t="shared" si="11"/>
        <v>0.22961142884131372</v>
      </c>
      <c r="AF20" s="297">
        <f t="shared" si="12"/>
        <v>0.87530092243660762</v>
      </c>
      <c r="AG20" s="553">
        <f t="shared" si="21"/>
        <v>3.8120964921198892</v>
      </c>
      <c r="AH20" s="297">
        <f t="shared" si="13"/>
        <v>1.4135580534290351</v>
      </c>
      <c r="AI20" s="296">
        <f t="shared" si="22"/>
        <v>6.1563052874252016</v>
      </c>
      <c r="AL20" s="324">
        <v>1.25</v>
      </c>
      <c r="AM20" s="324">
        <v>-3.4</v>
      </c>
      <c r="AN20" s="324">
        <v>1.31</v>
      </c>
      <c r="AO20" s="556">
        <v>2.0499999999999998</v>
      </c>
      <c r="AP20" s="556">
        <v>2.6</v>
      </c>
      <c r="AQ20" s="324">
        <v>2.95</v>
      </c>
      <c r="AR20" s="324">
        <v>3.6</v>
      </c>
    </row>
    <row r="21" spans="1:44" ht="15" customHeight="1">
      <c r="A21" s="538">
        <v>3.6</v>
      </c>
      <c r="B21" s="537">
        <v>36</v>
      </c>
      <c r="C21" s="537">
        <v>39</v>
      </c>
      <c r="D21" s="538">
        <v>0.89</v>
      </c>
      <c r="E21" s="538">
        <v>0.47</v>
      </c>
      <c r="F21" s="537">
        <v>55</v>
      </c>
      <c r="G21" s="537">
        <v>36</v>
      </c>
      <c r="H21" s="141">
        <v>0.11799999999999999</v>
      </c>
      <c r="J21"/>
      <c r="K21" s="557">
        <v>3.6</v>
      </c>
      <c r="L21" s="557">
        <f t="shared" si="24"/>
        <v>3600</v>
      </c>
      <c r="M21" s="558">
        <f t="shared" si="14"/>
        <v>92.307692307692307</v>
      </c>
      <c r="N21" s="557">
        <f t="shared" si="15"/>
        <v>18.5</v>
      </c>
      <c r="O21" s="557">
        <f t="shared" si="23"/>
        <v>8.5</v>
      </c>
      <c r="P21" s="557">
        <f t="shared" si="1"/>
        <v>66.600000000000009</v>
      </c>
      <c r="Q21" s="557">
        <f t="shared" si="2"/>
        <v>30.6</v>
      </c>
      <c r="R21" s="555" t="s">
        <v>176</v>
      </c>
      <c r="S21" s="21">
        <f t="shared" si="3"/>
        <v>2.6124325665843751</v>
      </c>
      <c r="T21" s="475">
        <f t="shared" si="4"/>
        <v>0.68804252534598886</v>
      </c>
      <c r="U21" s="475">
        <f t="shared" si="19"/>
        <v>79.806512566393764</v>
      </c>
      <c r="V21" s="476">
        <f t="shared" si="17"/>
        <v>2.266808419833235</v>
      </c>
      <c r="W21" s="475">
        <f t="shared" si="5"/>
        <v>81.310761657049156</v>
      </c>
      <c r="X21" s="296">
        <f t="shared" si="20"/>
        <v>1.8466484167854524</v>
      </c>
      <c r="Y21" s="296">
        <f t="shared" si="18"/>
        <v>150.15238928160909</v>
      </c>
      <c r="Z21" s="552">
        <f t="shared" si="6"/>
        <v>54.687157976748836</v>
      </c>
      <c r="AA21" s="11">
        <f t="shared" si="7"/>
        <v>0.75</v>
      </c>
      <c r="AB21" s="296">
        <f t="shared" si="8"/>
        <v>1</v>
      </c>
      <c r="AC21" s="297">
        <f t="shared" si="9"/>
        <v>0.97245999999999999</v>
      </c>
      <c r="AD21" s="297">
        <f t="shared" si="10"/>
        <v>0.28065195599999998</v>
      </c>
      <c r="AE21" s="297">
        <f t="shared" si="11"/>
        <v>0.22925074188751823</v>
      </c>
      <c r="AF21" s="297">
        <f t="shared" si="12"/>
        <v>0.39483259590575331</v>
      </c>
      <c r="AG21" s="553">
        <f t="shared" si="21"/>
        <v>1.7222740160181367</v>
      </c>
      <c r="AH21" s="297">
        <f t="shared" si="13"/>
        <v>0.27204151678604671</v>
      </c>
      <c r="AI21" s="296">
        <f t="shared" si="22"/>
        <v>1.1866549026023381</v>
      </c>
      <c r="AL21" s="324">
        <v>1.25</v>
      </c>
      <c r="AM21" s="324">
        <v>-3.6</v>
      </c>
      <c r="AN21" s="324">
        <v>1.31</v>
      </c>
      <c r="AO21" s="556">
        <v>2.0499999999999998</v>
      </c>
      <c r="AP21" s="556">
        <v>2.6</v>
      </c>
      <c r="AQ21" s="324">
        <v>2.95</v>
      </c>
      <c r="AR21" s="324">
        <v>3.6</v>
      </c>
    </row>
    <row r="22" spans="1:44" ht="15" customHeight="1">
      <c r="A22" s="538">
        <v>3.8</v>
      </c>
      <c r="B22" s="537">
        <v>32</v>
      </c>
      <c r="C22" s="537">
        <v>37</v>
      </c>
      <c r="D22" s="538">
        <v>0.88</v>
      </c>
      <c r="E22" s="538">
        <v>0.49</v>
      </c>
      <c r="F22" s="537">
        <v>50</v>
      </c>
      <c r="G22" s="537">
        <v>35</v>
      </c>
      <c r="H22" s="141">
        <v>0.105</v>
      </c>
      <c r="J22"/>
      <c r="K22" s="557">
        <v>3.8</v>
      </c>
      <c r="L22" s="557">
        <f t="shared" si="24"/>
        <v>3200</v>
      </c>
      <c r="M22" s="558">
        <f t="shared" si="14"/>
        <v>86.486486486486484</v>
      </c>
      <c r="N22" s="557">
        <f t="shared" si="15"/>
        <v>18.5</v>
      </c>
      <c r="O22" s="557">
        <f t="shared" si="23"/>
        <v>8.5</v>
      </c>
      <c r="P22" s="557">
        <f t="shared" si="1"/>
        <v>70.3</v>
      </c>
      <c r="Q22" s="557">
        <f t="shared" si="2"/>
        <v>32.299999999999997</v>
      </c>
      <c r="R22" s="297">
        <f>(R16+R19)/2</f>
        <v>1.2242139488373029</v>
      </c>
      <c r="S22" s="21">
        <f t="shared" si="3"/>
        <v>2.7634113968267404</v>
      </c>
      <c r="T22" s="475">
        <f t="shared" si="4"/>
        <v>0.70584736847016583</v>
      </c>
      <c r="U22" s="475">
        <f t="shared" si="19"/>
        <v>69.491361072550575</v>
      </c>
      <c r="V22" s="476">
        <f t="shared" si="17"/>
        <v>2.3261578962875196</v>
      </c>
      <c r="W22" s="475">
        <f t="shared" si="5"/>
        <v>71.052291092488687</v>
      </c>
      <c r="X22" s="296">
        <f t="shared" si="20"/>
        <v>2.0355126248531086</v>
      </c>
      <c r="Y22" s="296">
        <f t="shared" si="18"/>
        <v>144.6278355434988</v>
      </c>
      <c r="Z22" s="552">
        <f t="shared" si="6"/>
        <v>50.536215332187425</v>
      </c>
      <c r="AA22" s="11">
        <f t="shared" si="7"/>
        <v>0.75</v>
      </c>
      <c r="AB22" s="296">
        <f t="shared" si="8"/>
        <v>1</v>
      </c>
      <c r="AC22" s="297">
        <f t="shared" si="9"/>
        <v>0.97092999999999996</v>
      </c>
      <c r="AD22" s="297">
        <f t="shared" si="10"/>
        <v>0.28021039799999997</v>
      </c>
      <c r="AE22" s="297">
        <f t="shared" si="11"/>
        <v>0.2288900549337228</v>
      </c>
      <c r="AF22" s="297">
        <f t="shared" si="12"/>
        <v>0.36134461608410168</v>
      </c>
      <c r="AG22" s="553">
        <f t="shared" si="21"/>
        <v>1.5786820278789846</v>
      </c>
      <c r="AH22" s="297">
        <f t="shared" si="13"/>
        <v>0.24892607708796058</v>
      </c>
      <c r="AI22" s="296">
        <f t="shared" si="22"/>
        <v>1.0875355731818028</v>
      </c>
      <c r="AL22" s="324">
        <v>1.25</v>
      </c>
      <c r="AM22" s="324">
        <v>-3.8</v>
      </c>
      <c r="AN22" s="324">
        <v>1.31</v>
      </c>
      <c r="AO22" s="556">
        <v>2.0499999999999998</v>
      </c>
      <c r="AP22" s="556">
        <v>2.6</v>
      </c>
      <c r="AQ22" s="324">
        <v>2.95</v>
      </c>
      <c r="AR22" s="324">
        <v>3.6</v>
      </c>
    </row>
    <row r="23" spans="1:44" ht="15" customHeight="1">
      <c r="A23" s="527" t="s">
        <v>188</v>
      </c>
      <c r="B23" s="537">
        <v>37</v>
      </c>
      <c r="C23" s="537">
        <v>40</v>
      </c>
      <c r="D23" s="538">
        <v>0.89</v>
      </c>
      <c r="E23" s="538">
        <v>0.51</v>
      </c>
      <c r="F23" s="537">
        <v>54</v>
      </c>
      <c r="G23" s="537">
        <v>36</v>
      </c>
      <c r="H23" s="141">
        <v>0.115</v>
      </c>
      <c r="J23"/>
      <c r="K23" s="557">
        <v>4</v>
      </c>
      <c r="L23" s="557">
        <f t="shared" si="24"/>
        <v>3700</v>
      </c>
      <c r="M23" s="558">
        <f t="shared" si="14"/>
        <v>92.5</v>
      </c>
      <c r="N23" s="557">
        <f t="shared" si="15"/>
        <v>18.5</v>
      </c>
      <c r="O23" s="557">
        <f t="shared" si="23"/>
        <v>8.5</v>
      </c>
      <c r="P23" s="557">
        <f t="shared" si="1"/>
        <v>74</v>
      </c>
      <c r="Q23" s="557">
        <f t="shared" si="2"/>
        <v>34</v>
      </c>
      <c r="R23" s="554" t="s">
        <v>612</v>
      </c>
      <c r="S23" s="21">
        <f t="shared" si="3"/>
        <v>2.5510204081632653</v>
      </c>
      <c r="T23" s="475">
        <f t="shared" si="4"/>
        <v>0.68985889013601454</v>
      </c>
      <c r="U23" s="475">
        <f t="shared" si="19"/>
        <v>76.320504770603776</v>
      </c>
      <c r="V23" s="476">
        <f t="shared" si="17"/>
        <v>2.2728629680592807</v>
      </c>
      <c r="W23" s="475">
        <f t="shared" si="5"/>
        <v>77.878066092452841</v>
      </c>
      <c r="X23" s="296">
        <f t="shared" si="20"/>
        <v>1.8646173322608952</v>
      </c>
      <c r="Y23" s="296">
        <f t="shared" si="18"/>
        <v>145.21279183894708</v>
      </c>
      <c r="Z23" s="552">
        <f t="shared" si="6"/>
        <v>53.962509526027247</v>
      </c>
      <c r="AA23" s="11">
        <f t="shared" si="7"/>
        <v>0.75</v>
      </c>
      <c r="AB23" s="296">
        <f t="shared" si="8"/>
        <v>1</v>
      </c>
      <c r="AC23" s="297">
        <f t="shared" si="9"/>
        <v>0.96940000000000004</v>
      </c>
      <c r="AD23" s="297">
        <f t="shared" si="10"/>
        <v>0.27976884000000002</v>
      </c>
      <c r="AE23" s="297">
        <f t="shared" si="11"/>
        <v>0.2285293679799274</v>
      </c>
      <c r="AF23" s="297">
        <f t="shared" si="12"/>
        <v>0.36477218932078559</v>
      </c>
      <c r="AG23" s="553">
        <f t="shared" si="21"/>
        <v>1.596172048018025</v>
      </c>
      <c r="AH23" s="297">
        <f t="shared" si="13"/>
        <v>0.25118494822635068</v>
      </c>
      <c r="AI23" s="296">
        <f t="shared" si="22"/>
        <v>1.0991364061725897</v>
      </c>
      <c r="AL23" s="324">
        <v>1.25</v>
      </c>
      <c r="AM23" s="324">
        <v>-4</v>
      </c>
      <c r="AN23" s="324">
        <v>1.31</v>
      </c>
      <c r="AO23" s="556">
        <v>2.0499999999999998</v>
      </c>
      <c r="AP23" s="556">
        <v>2.6</v>
      </c>
      <c r="AQ23" s="324">
        <v>2.95</v>
      </c>
      <c r="AR23" s="324">
        <v>3.6</v>
      </c>
    </row>
    <row r="24" spans="1:44" ht="15" customHeight="1">
      <c r="A24" s="538">
        <v>4.2</v>
      </c>
      <c r="B24" s="537">
        <v>22</v>
      </c>
      <c r="C24" s="537">
        <v>33</v>
      </c>
      <c r="D24" s="538">
        <v>0.86</v>
      </c>
      <c r="E24" s="538">
        <v>0.52</v>
      </c>
      <c r="F24" s="537">
        <v>36</v>
      </c>
      <c r="G24" s="537">
        <v>33</v>
      </c>
      <c r="H24" s="141">
        <v>7.0000000000000007E-2</v>
      </c>
      <c r="J24"/>
      <c r="K24" s="557">
        <v>4.2</v>
      </c>
      <c r="L24" s="557">
        <f t="shared" si="24"/>
        <v>2200</v>
      </c>
      <c r="M24" s="558">
        <f t="shared" si="14"/>
        <v>66.666666666666671</v>
      </c>
      <c r="N24" s="557">
        <f t="shared" si="15"/>
        <v>18.5</v>
      </c>
      <c r="O24" s="557">
        <f t="shared" si="23"/>
        <v>8.5</v>
      </c>
      <c r="P24" s="557">
        <f t="shared" si="1"/>
        <v>77.7</v>
      </c>
      <c r="Q24" s="557">
        <f t="shared" si="2"/>
        <v>35.700000000000003</v>
      </c>
      <c r="R24" s="555" t="s">
        <v>176</v>
      </c>
      <c r="S24" s="21">
        <f t="shared" si="3"/>
        <v>3.1412461323406999</v>
      </c>
      <c r="T24" s="475">
        <f t="shared" si="4"/>
        <v>0.75543999662129913</v>
      </c>
      <c r="U24" s="475">
        <f t="shared" si="19"/>
        <v>46.210332706629274</v>
      </c>
      <c r="V24" s="476">
        <f t="shared" si="17"/>
        <v>2.4914666560900218</v>
      </c>
      <c r="W24" s="475">
        <f t="shared" si="5"/>
        <v>47.902149533329116</v>
      </c>
      <c r="X24" s="296">
        <f t="shared" si="20"/>
        <v>2.7256622778135089</v>
      </c>
      <c r="Y24" s="296">
        <f t="shared" si="18"/>
        <v>130.56508200917716</v>
      </c>
      <c r="Z24" s="552">
        <f t="shared" si="6"/>
        <v>38.361845802563238</v>
      </c>
      <c r="AA24" s="11">
        <f t="shared" si="7"/>
        <v>1</v>
      </c>
      <c r="AB24" s="296">
        <f t="shared" si="8"/>
        <v>1</v>
      </c>
      <c r="AC24" s="297">
        <f t="shared" si="9"/>
        <v>0.96787000000000001</v>
      </c>
      <c r="AD24" s="297">
        <f t="shared" si="10"/>
        <v>0.27932728199999995</v>
      </c>
      <c r="AE24" s="297">
        <f t="shared" si="11"/>
        <v>0.22816868102613191</v>
      </c>
      <c r="AF24" s="297">
        <f t="shared" si="12"/>
        <v>0.2869970166146022</v>
      </c>
      <c r="AG24" s="553">
        <f t="shared" si="21"/>
        <v>1.2578282668940561</v>
      </c>
      <c r="AH24" s="297">
        <f t="shared" si="13"/>
        <v>0.20449031529749104</v>
      </c>
      <c r="AI24" s="296">
        <f t="shared" si="22"/>
        <v>0.89622429501650569</v>
      </c>
      <c r="AL24" s="324">
        <v>1.25</v>
      </c>
      <c r="AM24" s="324">
        <v>-4.2</v>
      </c>
      <c r="AN24" s="324">
        <v>1.31</v>
      </c>
      <c r="AO24" s="556">
        <v>2.0499999999999998</v>
      </c>
      <c r="AP24" s="556">
        <v>2.6</v>
      </c>
      <c r="AQ24" s="324">
        <v>2.95</v>
      </c>
      <c r="AR24" s="324">
        <v>3.6</v>
      </c>
    </row>
    <row r="25" spans="1:44" ht="15" customHeight="1">
      <c r="A25" s="538">
        <v>4.4000000000000004</v>
      </c>
      <c r="B25" s="537">
        <v>26</v>
      </c>
      <c r="C25" s="537">
        <v>43</v>
      </c>
      <c r="D25" s="538">
        <v>0.87</v>
      </c>
      <c r="E25" s="538">
        <v>0.54</v>
      </c>
      <c r="F25" s="537">
        <v>41</v>
      </c>
      <c r="G25" s="537">
        <v>34</v>
      </c>
      <c r="H25" s="141">
        <v>8.1000000000000003E-2</v>
      </c>
      <c r="J25"/>
      <c r="K25" s="557">
        <v>4.4000000000000004</v>
      </c>
      <c r="L25" s="557">
        <f t="shared" si="24"/>
        <v>2600</v>
      </c>
      <c r="M25" s="558">
        <f t="shared" si="14"/>
        <v>60.465116279069768</v>
      </c>
      <c r="N25" s="557">
        <f t="shared" si="15"/>
        <v>18.5</v>
      </c>
      <c r="O25" s="557">
        <f t="shared" si="23"/>
        <v>8.5</v>
      </c>
      <c r="P25" s="557">
        <f t="shared" si="1"/>
        <v>81.400000000000006</v>
      </c>
      <c r="Q25" s="557">
        <f t="shared" si="2"/>
        <v>37.400000000000006</v>
      </c>
      <c r="R25" s="297">
        <f>6.9*EXP(-R13/4)-0.058</f>
        <v>1.1410402098080714</v>
      </c>
      <c r="S25" s="21">
        <f t="shared" si="3"/>
        <v>2.4007431223326359</v>
      </c>
      <c r="T25" s="475">
        <f t="shared" si="4"/>
        <v>0.7217642191697452</v>
      </c>
      <c r="U25" s="475">
        <f t="shared" si="19"/>
        <v>51.22066274907538</v>
      </c>
      <c r="V25" s="476">
        <f t="shared" si="17"/>
        <v>2.3792140645190463</v>
      </c>
      <c r="W25" s="475">
        <f t="shared" si="5"/>
        <v>52.876091140949725</v>
      </c>
      <c r="X25" s="296">
        <f t="shared" si="20"/>
        <v>2.2295186768542372</v>
      </c>
      <c r="Y25" s="296">
        <f t="shared" si="18"/>
        <v>117.88823275779428</v>
      </c>
      <c r="Z25" s="552">
        <f t="shared" si="6"/>
        <v>42.483478093458132</v>
      </c>
      <c r="AA25" s="11">
        <f t="shared" si="7"/>
        <v>0.75</v>
      </c>
      <c r="AB25" s="296">
        <f t="shared" si="8"/>
        <v>1</v>
      </c>
      <c r="AC25" s="297">
        <f t="shared" si="9"/>
        <v>0.96633999999999998</v>
      </c>
      <c r="AD25" s="297">
        <f t="shared" si="10"/>
        <v>0.278885724</v>
      </c>
      <c r="AE25" s="297">
        <f t="shared" si="11"/>
        <v>0.22780799407233654</v>
      </c>
      <c r="AF25" s="297">
        <f t="shared" si="12"/>
        <v>0.23236819419357552</v>
      </c>
      <c r="AG25" s="553">
        <f t="shared" si="21"/>
        <v>1.0200177352854043</v>
      </c>
      <c r="AH25" s="297">
        <f t="shared" si="13"/>
        <v>0.17514782610077556</v>
      </c>
      <c r="AI25" s="296">
        <f t="shared" si="22"/>
        <v>0.76883968367308642</v>
      </c>
      <c r="AL25" s="324">
        <v>1.25</v>
      </c>
      <c r="AM25" s="324">
        <v>-4.4000000000000004</v>
      </c>
      <c r="AN25" s="324">
        <v>1.31</v>
      </c>
      <c r="AO25" s="556">
        <v>2.0499999999999998</v>
      </c>
      <c r="AP25" s="556">
        <v>2.6</v>
      </c>
      <c r="AQ25" s="324">
        <v>2.95</v>
      </c>
      <c r="AR25" s="324">
        <v>3.6</v>
      </c>
    </row>
    <row r="26" spans="1:44" ht="15" customHeight="1">
      <c r="A26" s="538">
        <v>4.5999999999999996</v>
      </c>
      <c r="B26" s="537">
        <v>27</v>
      </c>
      <c r="C26" s="537">
        <v>45</v>
      </c>
      <c r="D26" s="538">
        <v>0.87</v>
      </c>
      <c r="E26" s="538">
        <v>0.56000000000000005</v>
      </c>
      <c r="F26" s="537">
        <v>41</v>
      </c>
      <c r="G26" s="537">
        <v>34</v>
      </c>
      <c r="H26" s="141">
        <v>8.3000000000000004E-2</v>
      </c>
      <c r="J26"/>
      <c r="K26" s="557">
        <v>4.5999999999999996</v>
      </c>
      <c r="L26" s="557">
        <f t="shared" si="24"/>
        <v>2700</v>
      </c>
      <c r="M26" s="558">
        <f t="shared" si="14"/>
        <v>60</v>
      </c>
      <c r="N26" s="557">
        <f t="shared" si="15"/>
        <v>18.5</v>
      </c>
      <c r="O26" s="557">
        <f t="shared" si="23"/>
        <v>8.5</v>
      </c>
      <c r="P26" s="557">
        <f t="shared" si="1"/>
        <v>85.1</v>
      </c>
      <c r="Q26" s="557">
        <f t="shared" si="2"/>
        <v>39.099999999999994</v>
      </c>
      <c r="R26" s="548"/>
      <c r="S26" s="21">
        <f t="shared" si="3"/>
        <v>2.2945428123446403</v>
      </c>
      <c r="T26" s="475">
        <f t="shared" si="4"/>
        <v>0.71765898084034108</v>
      </c>
      <c r="U26" s="475">
        <f t="shared" si="19"/>
        <v>51.301858410064696</v>
      </c>
      <c r="V26" s="476">
        <f t="shared" si="17"/>
        <v>2.3655299365686564</v>
      </c>
      <c r="W26" s="475">
        <f t="shared" si="5"/>
        <v>52.971439713631376</v>
      </c>
      <c r="X26" s="296">
        <f t="shared" si="20"/>
        <v>2.1771106383964103</v>
      </c>
      <c r="Y26" s="296">
        <f t="shared" si="18"/>
        <v>115.32468493172097</v>
      </c>
      <c r="Z26" s="552">
        <f t="shared" si="6"/>
        <v>42.928175440429555</v>
      </c>
      <c r="AA26" s="11">
        <f t="shared" si="7"/>
        <v>0.75</v>
      </c>
      <c r="AB26" s="296">
        <f t="shared" si="8"/>
        <v>1</v>
      </c>
      <c r="AC26" s="297">
        <f t="shared" si="9"/>
        <v>0.96480999999999995</v>
      </c>
      <c r="AD26" s="297">
        <f t="shared" si="10"/>
        <v>0.27844416600000005</v>
      </c>
      <c r="AE26" s="297">
        <f t="shared" si="11"/>
        <v>0.22744730711854114</v>
      </c>
      <c r="AF26" s="297">
        <f t="shared" si="12"/>
        <v>0.22264277493766277</v>
      </c>
      <c r="AG26" s="553">
        <f t="shared" si="21"/>
        <v>0.97887628461402565</v>
      </c>
      <c r="AH26" s="297">
        <f t="shared" si="13"/>
        <v>0.16997914146239404</v>
      </c>
      <c r="AI26" s="296">
        <f t="shared" si="22"/>
        <v>0.74733415671439096</v>
      </c>
      <c r="AL26" s="324">
        <v>1.25</v>
      </c>
      <c r="AM26" s="324">
        <v>-4.5999999999999996</v>
      </c>
      <c r="AN26" s="324">
        <v>1.31</v>
      </c>
      <c r="AO26" s="556">
        <v>2.0499999999999998</v>
      </c>
      <c r="AP26" s="556">
        <v>2.6</v>
      </c>
      <c r="AQ26" s="324">
        <v>2.95</v>
      </c>
      <c r="AR26" s="324">
        <v>3.6</v>
      </c>
    </row>
    <row r="27" spans="1:44" ht="15" customHeight="1">
      <c r="A27" s="538">
        <v>4.8</v>
      </c>
      <c r="B27" s="537">
        <v>28</v>
      </c>
      <c r="C27" s="537">
        <v>42</v>
      </c>
      <c r="D27" s="538">
        <v>0.87</v>
      </c>
      <c r="E27" s="538">
        <v>0.57999999999999996</v>
      </c>
      <c r="F27" s="537">
        <v>42</v>
      </c>
      <c r="G27" s="537">
        <v>34</v>
      </c>
      <c r="H27" s="141">
        <v>8.4000000000000005E-2</v>
      </c>
      <c r="J27"/>
      <c r="K27" s="557">
        <v>4.8</v>
      </c>
      <c r="L27" s="557">
        <f t="shared" si="24"/>
        <v>2800</v>
      </c>
      <c r="M27" s="558">
        <f t="shared" si="14"/>
        <v>66.666666666666671</v>
      </c>
      <c r="N27" s="557">
        <f t="shared" si="15"/>
        <v>18.5</v>
      </c>
      <c r="O27" s="557">
        <f t="shared" si="23"/>
        <v>8.5</v>
      </c>
      <c r="P27" s="557">
        <f t="shared" si="1"/>
        <v>88.8</v>
      </c>
      <c r="Q27" s="557">
        <f t="shared" si="2"/>
        <v>40.799999999999997</v>
      </c>
      <c r="R27" s="548"/>
      <c r="S27" s="21">
        <f t="shared" si="3"/>
        <v>2.45893577259762</v>
      </c>
      <c r="T27" s="475">
        <f t="shared" si="4"/>
        <v>0.72273728356081612</v>
      </c>
      <c r="U27" s="475">
        <f t="shared" si="19"/>
        <v>51.826510898542793</v>
      </c>
      <c r="V27" s="476">
        <f t="shared" si="17"/>
        <v>2.3824576121258687</v>
      </c>
      <c r="W27" s="475">
        <f t="shared" si="5"/>
        <v>53.52398587928586</v>
      </c>
      <c r="X27" s="296">
        <f t="shared" si="20"/>
        <v>2.2421879932613287</v>
      </c>
      <c r="Y27" s="296">
        <f t="shared" si="18"/>
        <v>120.01083849002366</v>
      </c>
      <c r="Z27" s="552">
        <f t="shared" si="6"/>
        <v>43.360644686620418</v>
      </c>
      <c r="AA27" s="11">
        <f t="shared" si="7"/>
        <v>0.75</v>
      </c>
      <c r="AB27" s="296">
        <f t="shared" si="8"/>
        <v>1</v>
      </c>
      <c r="AC27" s="297">
        <f t="shared" si="9"/>
        <v>0.96328000000000003</v>
      </c>
      <c r="AD27" s="297">
        <f t="shared" si="10"/>
        <v>0.27800260800000004</v>
      </c>
      <c r="AE27" s="297">
        <f t="shared" si="11"/>
        <v>0.22708662016474571</v>
      </c>
      <c r="AF27" s="297">
        <f t="shared" si="12"/>
        <v>0.24074754865062903</v>
      </c>
      <c r="AG27" s="553">
        <f t="shared" si="21"/>
        <v>1.0601573464608909</v>
      </c>
      <c r="AH27" s="297">
        <f t="shared" si="13"/>
        <v>0.17959156006384572</v>
      </c>
      <c r="AI27" s="296">
        <f t="shared" si="22"/>
        <v>0.79085046901291012</v>
      </c>
      <c r="AL27" s="324">
        <v>1.25</v>
      </c>
      <c r="AM27" s="324">
        <v>-4.8</v>
      </c>
      <c r="AN27" s="324">
        <v>1.31</v>
      </c>
      <c r="AO27" s="556">
        <v>2.0499999999999998</v>
      </c>
      <c r="AP27" s="556">
        <v>2.6</v>
      </c>
      <c r="AQ27" s="324">
        <v>2.95</v>
      </c>
      <c r="AR27" s="324">
        <v>3.6</v>
      </c>
    </row>
    <row r="28" spans="1:44" ht="15" customHeight="1">
      <c r="A28" s="527" t="s">
        <v>190</v>
      </c>
      <c r="B28" s="537">
        <v>26</v>
      </c>
      <c r="C28" s="537">
        <v>24</v>
      </c>
      <c r="D28" s="538">
        <v>0.95</v>
      </c>
      <c r="E28" s="538">
        <v>0.59</v>
      </c>
      <c r="F28" s="537">
        <v>38</v>
      </c>
      <c r="G28" s="537">
        <v>33</v>
      </c>
      <c r="H28" s="141">
        <v>7.5999999999999998E-2</v>
      </c>
      <c r="J28"/>
      <c r="K28" s="557">
        <v>5</v>
      </c>
      <c r="L28" s="557">
        <f t="shared" si="24"/>
        <v>2600</v>
      </c>
      <c r="M28" s="558">
        <f t="shared" si="14"/>
        <v>108.33333333333333</v>
      </c>
      <c r="N28" s="557">
        <f t="shared" si="15"/>
        <v>18.5</v>
      </c>
      <c r="O28" s="557">
        <f t="shared" si="23"/>
        <v>8.5</v>
      </c>
      <c r="P28" s="557">
        <f t="shared" si="1"/>
        <v>92.5</v>
      </c>
      <c r="Q28" s="557">
        <f t="shared" si="2"/>
        <v>42.5</v>
      </c>
      <c r="R28" s="548"/>
      <c r="S28" s="21">
        <f t="shared" si="3"/>
        <v>4.3203722166832836</v>
      </c>
      <c r="T28" s="475">
        <f t="shared" si="4"/>
        <v>0.77959554416348176</v>
      </c>
      <c r="U28" s="475">
        <f t="shared" si="19"/>
        <v>48.859303980142002</v>
      </c>
      <c r="V28" s="476">
        <f t="shared" si="17"/>
        <v>2.5719851472878101</v>
      </c>
      <c r="W28" s="475">
        <f t="shared" si="5"/>
        <v>50.661691066149238</v>
      </c>
      <c r="X28" s="296">
        <f t="shared" si="20"/>
        <v>3.15948535041586</v>
      </c>
      <c r="Y28" s="296">
        <f t="shared" si="18"/>
        <v>160.06487075079258</v>
      </c>
      <c r="Z28" s="552">
        <f t="shared" si="6"/>
        <v>40.651406274413716</v>
      </c>
      <c r="AA28" s="11">
        <f t="shared" si="7"/>
        <v>0.75</v>
      </c>
      <c r="AB28" s="296">
        <f t="shared" si="8"/>
        <v>1</v>
      </c>
      <c r="AC28" s="297">
        <f t="shared" si="9"/>
        <v>0.96174999999999999</v>
      </c>
      <c r="AD28" s="297">
        <f t="shared" si="10"/>
        <v>0.27756104999999998</v>
      </c>
      <c r="AE28" s="297">
        <f t="shared" si="11"/>
        <v>0.22672593321095022</v>
      </c>
      <c r="AF28" s="297">
        <f t="shared" si="12"/>
        <v>0.4613915207305358</v>
      </c>
      <c r="AG28" s="553">
        <f t="shared" si="21"/>
        <v>2.0350187303066392</v>
      </c>
      <c r="AH28" s="297">
        <f t="shared" si="13"/>
        <v>0.3265051011757481</v>
      </c>
      <c r="AI28" s="296">
        <f t="shared" si="22"/>
        <v>1.4400871420031223</v>
      </c>
      <c r="AL28" s="324">
        <v>1.25</v>
      </c>
      <c r="AM28" s="324">
        <v>-5</v>
      </c>
      <c r="AN28" s="324">
        <v>1.31</v>
      </c>
      <c r="AO28" s="556">
        <v>2.0499999999999998</v>
      </c>
      <c r="AP28" s="556">
        <v>2.6</v>
      </c>
      <c r="AQ28" s="324">
        <v>2.95</v>
      </c>
      <c r="AR28" s="324">
        <v>3.6</v>
      </c>
    </row>
    <row r="29" spans="1:44" ht="15" customHeight="1">
      <c r="A29" s="538">
        <v>5.2</v>
      </c>
      <c r="B29" s="537">
        <v>38</v>
      </c>
      <c r="C29" s="537">
        <v>57</v>
      </c>
      <c r="D29" s="538">
        <v>0.9</v>
      </c>
      <c r="E29" s="538">
        <v>0.61</v>
      </c>
      <c r="F29" s="537">
        <v>51</v>
      </c>
      <c r="G29" s="537">
        <v>35</v>
      </c>
      <c r="H29" s="141">
        <v>0.106</v>
      </c>
      <c r="J29"/>
      <c r="K29" s="557">
        <v>5.2</v>
      </c>
      <c r="L29" s="557">
        <f t="shared" si="24"/>
        <v>3800</v>
      </c>
      <c r="M29" s="558">
        <f t="shared" si="14"/>
        <v>66.666666666666671</v>
      </c>
      <c r="N29" s="557">
        <f t="shared" si="15"/>
        <v>18.5</v>
      </c>
      <c r="O29" s="557">
        <f t="shared" si="23"/>
        <v>8.5</v>
      </c>
      <c r="P29" s="557">
        <f t="shared" si="1"/>
        <v>96.2</v>
      </c>
      <c r="Q29" s="557">
        <f t="shared" si="2"/>
        <v>44.2</v>
      </c>
      <c r="R29" s="548"/>
      <c r="S29" s="21">
        <f t="shared" si="3"/>
        <v>1.7999532012167685</v>
      </c>
      <c r="T29" s="475">
        <f t="shared" si="4"/>
        <v>0.67471684129506326</v>
      </c>
      <c r="U29" s="475">
        <f t="shared" si="19"/>
        <v>64.252065552079586</v>
      </c>
      <c r="V29" s="476">
        <f t="shared" si="17"/>
        <v>2.2223894711307626</v>
      </c>
      <c r="W29" s="475">
        <f t="shared" si="5"/>
        <v>65.920905312895513</v>
      </c>
      <c r="X29" s="296">
        <f t="shared" si="20"/>
        <v>1.7233931802708646</v>
      </c>
      <c r="Y29" s="296">
        <f t="shared" si="18"/>
        <v>113.60763865352554</v>
      </c>
      <c r="Z29" s="552">
        <f t="shared" si="6"/>
        <v>50.966782488189438</v>
      </c>
      <c r="AA29" s="11">
        <f t="shared" si="7"/>
        <v>0.75</v>
      </c>
      <c r="AB29" s="296">
        <f t="shared" si="8"/>
        <v>1</v>
      </c>
      <c r="AC29" s="297">
        <f t="shared" si="9"/>
        <v>0.96021999999999996</v>
      </c>
      <c r="AD29" s="297">
        <f t="shared" si="10"/>
        <v>0.27711949199999997</v>
      </c>
      <c r="AE29" s="297">
        <f t="shared" si="11"/>
        <v>0.22636524625715479</v>
      </c>
      <c r="AF29" s="297">
        <f t="shared" si="12"/>
        <v>0.21636582610595695</v>
      </c>
      <c r="AG29" s="553">
        <f t="shared" si="21"/>
        <v>0.95582616891712113</v>
      </c>
      <c r="AH29" s="297">
        <f t="shared" si="13"/>
        <v>0.1666275029381375</v>
      </c>
      <c r="AI29" s="296">
        <f t="shared" si="22"/>
        <v>0.73610019953701644</v>
      </c>
      <c r="AL29" s="324">
        <v>1.25</v>
      </c>
      <c r="AM29" s="324">
        <v>-5.2</v>
      </c>
      <c r="AN29" s="324">
        <v>1.31</v>
      </c>
      <c r="AO29" s="556">
        <v>2.0499999999999998</v>
      </c>
      <c r="AP29" s="556">
        <v>2.6</v>
      </c>
      <c r="AQ29" s="324">
        <v>2.95</v>
      </c>
      <c r="AR29" s="324">
        <v>3.6</v>
      </c>
    </row>
    <row r="30" spans="1:44" ht="15" customHeight="1">
      <c r="A30" s="538">
        <v>5.4</v>
      </c>
      <c r="B30" s="537">
        <v>48</v>
      </c>
      <c r="C30" s="537">
        <v>60</v>
      </c>
      <c r="D30" s="538">
        <v>0.91</v>
      </c>
      <c r="E30" s="538">
        <v>0.63</v>
      </c>
      <c r="F30" s="537">
        <v>58</v>
      </c>
      <c r="G30" s="537">
        <v>36</v>
      </c>
      <c r="H30" s="141">
        <v>0.125</v>
      </c>
      <c r="J30"/>
      <c r="K30" s="557">
        <v>5.4</v>
      </c>
      <c r="L30" s="557">
        <f t="shared" si="24"/>
        <v>4800</v>
      </c>
      <c r="M30" s="558">
        <f t="shared" si="14"/>
        <v>80</v>
      </c>
      <c r="N30" s="557">
        <f t="shared" si="15"/>
        <v>18.5</v>
      </c>
      <c r="O30" s="557">
        <f t="shared" si="23"/>
        <v>8.5</v>
      </c>
      <c r="P30" s="557">
        <f t="shared" si="1"/>
        <v>99.9</v>
      </c>
      <c r="Q30" s="557">
        <f t="shared" si="2"/>
        <v>45.900000000000006</v>
      </c>
      <c r="R30" s="548"/>
      <c r="S30" s="21">
        <f t="shared" si="3"/>
        <v>1.702091444862875</v>
      </c>
      <c r="T30" s="475">
        <f t="shared" si="4"/>
        <v>0.65104655079249651</v>
      </c>
      <c r="U30" s="475">
        <f t="shared" si="19"/>
        <v>78.033804769765013</v>
      </c>
      <c r="V30" s="476">
        <f t="shared" si="17"/>
        <v>2.1434885027304289</v>
      </c>
      <c r="W30" s="475">
        <f t="shared" si="5"/>
        <v>79.692402905230111</v>
      </c>
      <c r="X30" s="296">
        <f t="shared" si="20"/>
        <v>1.5391546510711542</v>
      </c>
      <c r="Y30" s="296">
        <f t="shared" si="18"/>
        <v>122.65893258662129</v>
      </c>
      <c r="Z30" s="552">
        <f t="shared" si="6"/>
        <v>57.122103044059145</v>
      </c>
      <c r="AA30" s="11">
        <f t="shared" si="7"/>
        <v>0.75</v>
      </c>
      <c r="AB30" s="296">
        <f t="shared" si="8"/>
        <v>1</v>
      </c>
      <c r="AC30" s="297">
        <f t="shared" si="9"/>
        <v>0.95869000000000004</v>
      </c>
      <c r="AD30" s="297">
        <f t="shared" si="10"/>
        <v>0.27667793399999996</v>
      </c>
      <c r="AE30" s="297">
        <f t="shared" si="11"/>
        <v>0.22600455930335936</v>
      </c>
      <c r="AF30" s="297">
        <f t="shared" si="12"/>
        <v>0.25162497682091711</v>
      </c>
      <c r="AG30" s="553">
        <f t="shared" si="21"/>
        <v>1.1133623923186797</v>
      </c>
      <c r="AH30" s="297">
        <f t="shared" si="13"/>
        <v>0.1853681047000823</v>
      </c>
      <c r="AI30" s="296">
        <f t="shared" si="22"/>
        <v>0.82019630608986116</v>
      </c>
      <c r="AL30" s="324">
        <v>1.25</v>
      </c>
      <c r="AM30" s="324">
        <v>-5.4</v>
      </c>
      <c r="AN30" s="324">
        <v>1.31</v>
      </c>
      <c r="AO30" s="556">
        <v>2.0499999999999998</v>
      </c>
      <c r="AP30" s="556">
        <v>2.6</v>
      </c>
      <c r="AQ30" s="324">
        <v>2.95</v>
      </c>
      <c r="AR30" s="324">
        <v>3.6</v>
      </c>
    </row>
    <row r="31" spans="1:44" ht="15" customHeight="1">
      <c r="A31" s="538">
        <v>5.6</v>
      </c>
      <c r="B31" s="537">
        <v>42</v>
      </c>
      <c r="C31" s="537">
        <v>42</v>
      </c>
      <c r="D31" s="538">
        <v>0.9</v>
      </c>
      <c r="E31" s="538">
        <v>0.65</v>
      </c>
      <c r="F31" s="537">
        <v>53</v>
      </c>
      <c r="G31" s="537">
        <v>35</v>
      </c>
      <c r="H31" s="141">
        <v>0.111</v>
      </c>
      <c r="J31"/>
      <c r="K31" s="557">
        <v>5.6</v>
      </c>
      <c r="L31" s="557">
        <f t="shared" si="24"/>
        <v>4200</v>
      </c>
      <c r="M31" s="558">
        <f t="shared" si="14"/>
        <v>100</v>
      </c>
      <c r="N31" s="557">
        <f t="shared" si="15"/>
        <v>18.5</v>
      </c>
      <c r="O31" s="557">
        <f t="shared" si="23"/>
        <v>8.5</v>
      </c>
      <c r="P31" s="557">
        <f t="shared" si="1"/>
        <v>103.6</v>
      </c>
      <c r="Q31" s="557">
        <f t="shared" si="2"/>
        <v>47.599999999999994</v>
      </c>
      <c r="R31" s="548"/>
      <c r="S31" s="21">
        <f t="shared" si="3"/>
        <v>2.4411678547016895</v>
      </c>
      <c r="T31" s="475">
        <f t="shared" si="4"/>
        <v>0.69553320826339893</v>
      </c>
      <c r="U31" s="475">
        <f t="shared" si="19"/>
        <v>68.649507825891376</v>
      </c>
      <c r="V31" s="476">
        <f t="shared" si="17"/>
        <v>2.2917773609155683</v>
      </c>
      <c r="W31" s="475">
        <f t="shared" si="5"/>
        <v>70.385688133176387</v>
      </c>
      <c r="X31" s="296">
        <f t="shared" si="20"/>
        <v>1.9226213959781155</v>
      </c>
      <c r="Y31" s="296">
        <f t="shared" si="18"/>
        <v>135.32502997548787</v>
      </c>
      <c r="Z31" s="552">
        <f t="shared" si="6"/>
        <v>52.773423726485163</v>
      </c>
      <c r="AA31" s="11">
        <f t="shared" si="7"/>
        <v>0.75</v>
      </c>
      <c r="AB31" s="296">
        <f t="shared" si="8"/>
        <v>0.99119718768004195</v>
      </c>
      <c r="AC31" s="297">
        <f t="shared" si="9"/>
        <v>0.95716000000000001</v>
      </c>
      <c r="AD31" s="297">
        <f t="shared" si="10"/>
        <v>0.27623637600000001</v>
      </c>
      <c r="AE31" s="297">
        <f t="shared" si="11"/>
        <v>0.22764781332531553</v>
      </c>
      <c r="AF31" s="297">
        <f t="shared" si="12"/>
        <v>0.31047156158653666</v>
      </c>
      <c r="AG31" s="553">
        <f t="shared" si="21"/>
        <v>1.3638240449200516</v>
      </c>
      <c r="AH31" s="297">
        <f t="shared" si="13"/>
        <v>0.21772835539300217</v>
      </c>
      <c r="AI31" s="296">
        <f t="shared" si="22"/>
        <v>0.95642629820415559</v>
      </c>
      <c r="AL31" s="324">
        <v>1.25</v>
      </c>
      <c r="AM31" s="324">
        <v>-5.6</v>
      </c>
      <c r="AN31" s="324">
        <v>1.31</v>
      </c>
      <c r="AO31" s="556">
        <v>2.0499999999999998</v>
      </c>
      <c r="AP31" s="556">
        <v>2.6</v>
      </c>
      <c r="AQ31" s="324">
        <v>2.95</v>
      </c>
      <c r="AR31" s="324">
        <v>3.6</v>
      </c>
    </row>
    <row r="32" spans="1:44" ht="15" customHeight="1">
      <c r="A32" s="538">
        <v>5.8</v>
      </c>
      <c r="B32" s="537">
        <v>30</v>
      </c>
      <c r="C32" s="537">
        <v>56</v>
      </c>
      <c r="D32" s="538">
        <v>0.88</v>
      </c>
      <c r="E32" s="538">
        <v>0.67</v>
      </c>
      <c r="F32" s="537">
        <v>41</v>
      </c>
      <c r="G32" s="537">
        <v>34</v>
      </c>
      <c r="H32" s="141">
        <v>8.1000000000000003E-2</v>
      </c>
      <c r="J32"/>
      <c r="K32" s="557">
        <v>5.8</v>
      </c>
      <c r="L32" s="557">
        <f t="shared" si="24"/>
        <v>3000</v>
      </c>
      <c r="M32" s="558">
        <f t="shared" si="14"/>
        <v>53.571428571428569</v>
      </c>
      <c r="N32" s="557">
        <f t="shared" si="15"/>
        <v>18.5</v>
      </c>
      <c r="O32" s="557">
        <f t="shared" si="23"/>
        <v>8.5</v>
      </c>
      <c r="P32" s="557">
        <f t="shared" si="1"/>
        <v>107.3</v>
      </c>
      <c r="Q32" s="557">
        <f t="shared" si="2"/>
        <v>49.3</v>
      </c>
      <c r="R32" s="548"/>
      <c r="S32" s="21">
        <f t="shared" si="3"/>
        <v>1.8519524517381192</v>
      </c>
      <c r="T32" s="475">
        <f t="shared" si="4"/>
        <v>0.70662451957105343</v>
      </c>
      <c r="U32" s="475">
        <f t="shared" si="19"/>
        <v>47.680993251136385</v>
      </c>
      <c r="V32" s="476">
        <f t="shared" si="17"/>
        <v>2.3287483986170807</v>
      </c>
      <c r="W32" s="475">
        <f t="shared" si="5"/>
        <v>49.449642117540414</v>
      </c>
      <c r="X32" s="296">
        <f t="shared" si="20"/>
        <v>2.0444185410087918</v>
      </c>
      <c r="Y32" s="296">
        <f t="shared" si="18"/>
        <v>101.09576519134887</v>
      </c>
      <c r="Z32" s="552">
        <f t="shared" si="6"/>
        <v>42.626054475349122</v>
      </c>
      <c r="AA32" s="11">
        <f t="shared" si="7"/>
        <v>0.75</v>
      </c>
      <c r="AB32" s="296">
        <f t="shared" si="8"/>
        <v>0.98253961453697569</v>
      </c>
      <c r="AC32" s="297">
        <f t="shared" si="9"/>
        <v>0.95562999999999998</v>
      </c>
      <c r="AD32" s="297">
        <f t="shared" si="10"/>
        <v>0.275794818</v>
      </c>
      <c r="AE32" s="297">
        <f t="shared" si="11"/>
        <v>0.22928661812982856</v>
      </c>
      <c r="AF32" s="297">
        <f t="shared" si="12"/>
        <v>0.17609080681052361</v>
      </c>
      <c r="AG32" s="553">
        <f t="shared" si="21"/>
        <v>0.76799426083739442</v>
      </c>
      <c r="AH32" s="297">
        <f t="shared" si="13"/>
        <v>0.14433685955394035</v>
      </c>
      <c r="AI32" s="296">
        <f t="shared" si="22"/>
        <v>0.62950407106712503</v>
      </c>
      <c r="AL32" s="324">
        <v>1.25</v>
      </c>
      <c r="AM32" s="324">
        <v>-5.8</v>
      </c>
      <c r="AN32" s="324">
        <v>1.31</v>
      </c>
      <c r="AO32" s="556">
        <v>2.0499999999999998</v>
      </c>
      <c r="AP32" s="556">
        <v>2.6</v>
      </c>
      <c r="AQ32" s="324">
        <v>2.95</v>
      </c>
      <c r="AR32" s="324">
        <v>3.6</v>
      </c>
    </row>
    <row r="33" spans="1:44" ht="15" customHeight="1">
      <c r="A33" s="527" t="s">
        <v>192</v>
      </c>
      <c r="B33" s="537">
        <v>32</v>
      </c>
      <c r="C33" s="537">
        <v>53</v>
      </c>
      <c r="D33" s="538">
        <v>0.88</v>
      </c>
      <c r="E33" s="538">
        <v>0.68</v>
      </c>
      <c r="F33" s="537">
        <v>42</v>
      </c>
      <c r="G33" s="537">
        <v>34</v>
      </c>
      <c r="H33" s="141">
        <v>8.5000000000000006E-2</v>
      </c>
      <c r="J33"/>
      <c r="K33" s="557">
        <v>6</v>
      </c>
      <c r="L33" s="557">
        <f t="shared" si="24"/>
        <v>3200</v>
      </c>
      <c r="M33" s="558">
        <f t="shared" si="14"/>
        <v>60.377358490566039</v>
      </c>
      <c r="N33" s="557">
        <f t="shared" si="15"/>
        <v>18.5</v>
      </c>
      <c r="O33" s="557">
        <f t="shared" si="23"/>
        <v>8.5</v>
      </c>
      <c r="P33" s="557">
        <f t="shared" si="1"/>
        <v>111</v>
      </c>
      <c r="Q33" s="557">
        <f t="shared" si="2"/>
        <v>51</v>
      </c>
      <c r="R33" s="548"/>
      <c r="S33" s="21">
        <f t="shared" si="3"/>
        <v>1.9545923758681139</v>
      </c>
      <c r="T33" s="475">
        <f t="shared" si="4"/>
        <v>0.70696739471399117</v>
      </c>
      <c r="U33" s="475">
        <f t="shared" si="19"/>
        <v>49.722878118225907</v>
      </c>
      <c r="V33" s="476">
        <f t="shared" si="17"/>
        <v>2.329891315740543</v>
      </c>
      <c r="W33" s="475">
        <f t="shared" si="5"/>
        <v>51.509617992335031</v>
      </c>
      <c r="X33" s="296">
        <f t="shared" si="20"/>
        <v>2.0483658999171546</v>
      </c>
      <c r="Y33" s="296">
        <f t="shared" si="18"/>
        <v>105.5105450132582</v>
      </c>
      <c r="Z33" s="552">
        <f t="shared" si="6"/>
        <v>43.990082757881908</v>
      </c>
      <c r="AA33" s="11">
        <f t="shared" si="7"/>
        <v>0.75</v>
      </c>
      <c r="AB33" s="296">
        <f t="shared" si="8"/>
        <v>0.97424739966422236</v>
      </c>
      <c r="AC33" s="297">
        <f t="shared" si="9"/>
        <v>0.95409999999999995</v>
      </c>
      <c r="AD33" s="297">
        <f t="shared" si="10"/>
        <v>0.27535325999999993</v>
      </c>
      <c r="AE33" s="297">
        <f t="shared" si="11"/>
        <v>0.23086794844871367</v>
      </c>
      <c r="AF33" s="297">
        <f t="shared" si="12"/>
        <v>0.18923719699698108</v>
      </c>
      <c r="AG33" s="553">
        <f t="shared" si="21"/>
        <v>0.81967721491239964</v>
      </c>
      <c r="AH33" s="297">
        <f t="shared" si="13"/>
        <v>0.15182667952336013</v>
      </c>
      <c r="AI33" s="296">
        <f t="shared" si="22"/>
        <v>0.65763429069968016</v>
      </c>
      <c r="AL33" s="324">
        <v>1.25</v>
      </c>
      <c r="AM33" s="324">
        <v>-6</v>
      </c>
      <c r="AN33" s="324">
        <v>1.31</v>
      </c>
      <c r="AO33" s="556">
        <v>2.0499999999999998</v>
      </c>
      <c r="AP33" s="556">
        <v>2.6</v>
      </c>
      <c r="AQ33" s="324">
        <v>2.95</v>
      </c>
      <c r="AR33" s="324">
        <v>3.6</v>
      </c>
    </row>
    <row r="34" spans="1:44" ht="15" customHeight="1">
      <c r="A34" s="538">
        <v>6.2</v>
      </c>
      <c r="B34" s="537">
        <v>37</v>
      </c>
      <c r="C34" s="537">
        <v>37</v>
      </c>
      <c r="D34" s="538">
        <v>0.89</v>
      </c>
      <c r="E34" s="538">
        <v>0.7</v>
      </c>
      <c r="F34" s="537">
        <v>46</v>
      </c>
      <c r="G34" s="537">
        <v>35</v>
      </c>
      <c r="H34" s="141">
        <v>9.5000000000000001E-2</v>
      </c>
      <c r="J34"/>
      <c r="K34" s="557">
        <v>6.2</v>
      </c>
      <c r="L34" s="557">
        <f t="shared" si="24"/>
        <v>3700</v>
      </c>
      <c r="M34" s="558">
        <f t="shared" si="14"/>
        <v>100</v>
      </c>
      <c r="N34" s="557">
        <f t="shared" si="15"/>
        <v>18.5</v>
      </c>
      <c r="O34" s="557">
        <f t="shared" si="23"/>
        <v>8.5</v>
      </c>
      <c r="P34" s="557">
        <f t="shared" si="1"/>
        <v>114.7</v>
      </c>
      <c r="Q34" s="557">
        <f t="shared" si="2"/>
        <v>52.7</v>
      </c>
      <c r="R34" s="548"/>
      <c r="S34" s="21">
        <f t="shared" si="3"/>
        <v>2.7891668758541819</v>
      </c>
      <c r="T34" s="475">
        <f t="shared" si="4"/>
        <v>0.72492726869263291</v>
      </c>
      <c r="U34" s="475">
        <f t="shared" si="19"/>
        <v>57.041714684300665</v>
      </c>
      <c r="V34" s="476">
        <f t="shared" si="17"/>
        <v>2.3897575623182523</v>
      </c>
      <c r="W34" s="475">
        <f t="shared" si="5"/>
        <v>58.866578621569317</v>
      </c>
      <c r="X34" s="296">
        <f t="shared" si="20"/>
        <v>2.271051204452565</v>
      </c>
      <c r="Y34" s="296">
        <f t="shared" si="18"/>
        <v>133.6890142805166</v>
      </c>
      <c r="Z34" s="552">
        <f t="shared" si="6"/>
        <v>47.68156348640764</v>
      </c>
      <c r="AA34" s="11">
        <f t="shared" si="7"/>
        <v>0.75</v>
      </c>
      <c r="AB34" s="296">
        <f t="shared" si="8"/>
        <v>0.96629369437200952</v>
      </c>
      <c r="AC34" s="297">
        <f t="shared" si="9"/>
        <v>0.95257000000000003</v>
      </c>
      <c r="AD34" s="297">
        <f t="shared" si="10"/>
        <v>0.27491170199999998</v>
      </c>
      <c r="AE34" s="297">
        <f t="shared" si="11"/>
        <v>0.23239498797942532</v>
      </c>
      <c r="AF34" s="297">
        <f t="shared" si="12"/>
        <v>0.30221333225960378</v>
      </c>
      <c r="AG34" s="553">
        <f t="shared" si="21"/>
        <v>1.3004296473311194</v>
      </c>
      <c r="AH34" s="297">
        <f t="shared" si="13"/>
        <v>0.21300537935170111</v>
      </c>
      <c r="AI34" s="296">
        <f t="shared" si="22"/>
        <v>0.91656614974226192</v>
      </c>
      <c r="AL34" s="324">
        <v>1.25</v>
      </c>
      <c r="AM34" s="324">
        <v>-6.2</v>
      </c>
      <c r="AN34" s="324">
        <v>1.31</v>
      </c>
      <c r="AO34" s="556">
        <v>2.0499999999999998</v>
      </c>
      <c r="AP34" s="556">
        <v>2.6</v>
      </c>
      <c r="AQ34" s="324">
        <v>2.95</v>
      </c>
      <c r="AR34" s="324">
        <v>3.6</v>
      </c>
    </row>
    <row r="35" spans="1:44" ht="15" customHeight="1">
      <c r="A35" s="538">
        <v>6.4</v>
      </c>
      <c r="B35" s="537">
        <v>41</v>
      </c>
      <c r="C35" s="537">
        <v>56</v>
      </c>
      <c r="D35" s="538">
        <v>0.9</v>
      </c>
      <c r="E35" s="538">
        <v>0.72</v>
      </c>
      <c r="F35" s="537">
        <v>49</v>
      </c>
      <c r="G35" s="537">
        <v>35</v>
      </c>
      <c r="H35" s="141">
        <v>0.10199999999999999</v>
      </c>
      <c r="J35"/>
      <c r="K35" s="557">
        <v>6.4</v>
      </c>
      <c r="L35" s="557">
        <f t="shared" si="24"/>
        <v>4100</v>
      </c>
      <c r="M35" s="558">
        <f t="shared" si="14"/>
        <v>73.214285714285708</v>
      </c>
      <c r="N35" s="557">
        <f t="shared" si="15"/>
        <v>18.5</v>
      </c>
      <c r="O35" s="557">
        <f t="shared" si="23"/>
        <v>8.5</v>
      </c>
      <c r="P35" s="557">
        <f t="shared" si="1"/>
        <v>118.4</v>
      </c>
      <c r="Q35" s="557">
        <f t="shared" si="2"/>
        <v>54.400000000000006</v>
      </c>
      <c r="R35" s="548"/>
      <c r="S35" s="21">
        <f t="shared" si="3"/>
        <v>1.838815695054393</v>
      </c>
      <c r="T35" s="475">
        <f t="shared" si="4"/>
        <v>0.6827028826771171</v>
      </c>
      <c r="U35" s="475">
        <f t="shared" si="19"/>
        <v>60.334403178451154</v>
      </c>
      <c r="V35" s="476">
        <f t="shared" si="17"/>
        <v>2.2490096089342213</v>
      </c>
      <c r="W35" s="475">
        <f t="shared" si="5"/>
        <v>62.128554609114353</v>
      </c>
      <c r="X35" s="296">
        <f t="shared" si="20"/>
        <v>1.7954699290350185</v>
      </c>
      <c r="Y35" s="296">
        <f t="shared" si="18"/>
        <v>111.54995153507481</v>
      </c>
      <c r="Z35" s="552">
        <f t="shared" si="6"/>
        <v>50.168970853462582</v>
      </c>
      <c r="AA35" s="11">
        <f t="shared" si="7"/>
        <v>0.75</v>
      </c>
      <c r="AB35" s="296">
        <f t="shared" si="8"/>
        <v>0.95865440989819661</v>
      </c>
      <c r="AC35" s="297">
        <f t="shared" si="9"/>
        <v>0.95104</v>
      </c>
      <c r="AD35" s="297">
        <f t="shared" si="10"/>
        <v>0.27447014399999997</v>
      </c>
      <c r="AE35" s="297">
        <f t="shared" si="11"/>
        <v>0.23387064433176813</v>
      </c>
      <c r="AF35" s="297">
        <f t="shared" si="12"/>
        <v>0.20908955578931676</v>
      </c>
      <c r="AG35" s="553">
        <f t="shared" si="21"/>
        <v>0.89403933694518323</v>
      </c>
      <c r="AH35" s="297">
        <f t="shared" si="13"/>
        <v>0.16271731215848559</v>
      </c>
      <c r="AI35" s="296">
        <f t="shared" si="22"/>
        <v>0.6957577451561443</v>
      </c>
      <c r="AL35" s="324">
        <v>1.25</v>
      </c>
      <c r="AM35" s="324">
        <v>-6.4</v>
      </c>
      <c r="AN35" s="324">
        <v>1.31</v>
      </c>
      <c r="AO35" s="556">
        <v>2.0499999999999998</v>
      </c>
      <c r="AP35" s="556">
        <v>2.6</v>
      </c>
      <c r="AQ35" s="324">
        <v>2.95</v>
      </c>
      <c r="AR35" s="324">
        <v>3.6</v>
      </c>
    </row>
    <row r="36" spans="1:44" ht="15" customHeight="1">
      <c r="A36" s="538">
        <v>6.6</v>
      </c>
      <c r="B36" s="537">
        <v>33</v>
      </c>
      <c r="C36" s="537">
        <v>45</v>
      </c>
      <c r="D36" s="538">
        <v>0.88</v>
      </c>
      <c r="E36" s="538">
        <v>0.74</v>
      </c>
      <c r="F36" s="537">
        <v>41</v>
      </c>
      <c r="G36" s="537">
        <v>34</v>
      </c>
      <c r="H36" s="141">
        <v>8.3000000000000004E-2</v>
      </c>
      <c r="J36"/>
      <c r="K36" s="557">
        <v>6.6</v>
      </c>
      <c r="L36" s="557">
        <f t="shared" si="24"/>
        <v>3300</v>
      </c>
      <c r="M36" s="558">
        <f t="shared" si="14"/>
        <v>73.333333333333329</v>
      </c>
      <c r="N36" s="557">
        <f t="shared" si="15"/>
        <v>18.5</v>
      </c>
      <c r="O36" s="557">
        <f t="shared" si="23"/>
        <v>8.5</v>
      </c>
      <c r="P36" s="557">
        <f t="shared" si="1"/>
        <v>122.1</v>
      </c>
      <c r="Q36" s="557">
        <f t="shared" si="2"/>
        <v>56.099999999999994</v>
      </c>
      <c r="R36" s="548"/>
      <c r="S36" s="21">
        <f t="shared" si="3"/>
        <v>2.3076035537094723</v>
      </c>
      <c r="T36" s="475">
        <f t="shared" si="4"/>
        <v>0.72402418780699374</v>
      </c>
      <c r="U36" s="475">
        <f t="shared" si="19"/>
        <v>48.294445886618526</v>
      </c>
      <c r="V36" s="476">
        <f t="shared" si="17"/>
        <v>2.3867472926955076</v>
      </c>
      <c r="W36" s="475">
        <f t="shared" si="5"/>
        <v>50.149995728575831</v>
      </c>
      <c r="X36" s="296">
        <f t="shared" si="20"/>
        <v>2.2590901083709092</v>
      </c>
      <c r="Y36" s="296">
        <f t="shared" si="18"/>
        <v>113.29335928526901</v>
      </c>
      <c r="Z36" s="552">
        <f t="shared" si="6"/>
        <v>43.506145610487266</v>
      </c>
      <c r="AA36" s="11">
        <f t="shared" si="7"/>
        <v>0.75</v>
      </c>
      <c r="AB36" s="296">
        <f t="shared" si="8"/>
        <v>0.95130785775864091</v>
      </c>
      <c r="AC36" s="297">
        <f t="shared" si="9"/>
        <v>0.94950999999999997</v>
      </c>
      <c r="AD36" s="297">
        <f t="shared" si="10"/>
        <v>0.27402858600000002</v>
      </c>
      <c r="AE36" s="297">
        <f t="shared" si="11"/>
        <v>0.2352975808567094</v>
      </c>
      <c r="AF36" s="297">
        <f t="shared" si="12"/>
        <v>0.21523724396623395</v>
      </c>
      <c r="AG36" s="553">
        <f t="shared" si="21"/>
        <v>0.91474482305582339</v>
      </c>
      <c r="AH36" s="297">
        <f t="shared" si="13"/>
        <v>0.16602299528681552</v>
      </c>
      <c r="AI36" s="296">
        <f t="shared" si="22"/>
        <v>0.70558734468213491</v>
      </c>
      <c r="AL36" s="324">
        <v>1.25</v>
      </c>
      <c r="AM36" s="324">
        <v>-6.6</v>
      </c>
      <c r="AN36" s="324">
        <v>1.31</v>
      </c>
      <c r="AO36" s="556">
        <v>2.0499999999999998</v>
      </c>
      <c r="AP36" s="556">
        <v>2.6</v>
      </c>
      <c r="AQ36" s="324">
        <v>2.95</v>
      </c>
      <c r="AR36" s="324">
        <v>3.6</v>
      </c>
    </row>
    <row r="37" spans="1:44" ht="15" customHeight="1">
      <c r="A37" s="538">
        <v>6.8</v>
      </c>
      <c r="B37" s="537">
        <v>26</v>
      </c>
      <c r="C37" s="537">
        <v>65</v>
      </c>
      <c r="D37" s="538">
        <v>0.87</v>
      </c>
      <c r="E37" s="538">
        <v>0.75</v>
      </c>
      <c r="F37" s="537">
        <v>33</v>
      </c>
      <c r="G37" s="537">
        <v>33</v>
      </c>
      <c r="H37" s="141">
        <v>6.3E-2</v>
      </c>
      <c r="J37"/>
      <c r="K37" s="557">
        <v>6.8</v>
      </c>
      <c r="L37" s="557">
        <f t="shared" si="24"/>
        <v>2600</v>
      </c>
      <c r="M37" s="558">
        <f t="shared" si="14"/>
        <v>40</v>
      </c>
      <c r="N37" s="557">
        <f t="shared" si="15"/>
        <v>18.5</v>
      </c>
      <c r="O37" s="557">
        <f t="shared" si="23"/>
        <v>8.5</v>
      </c>
      <c r="P37" s="557">
        <f t="shared" si="1"/>
        <v>125.8</v>
      </c>
      <c r="Q37" s="557">
        <f t="shared" si="2"/>
        <v>57.8</v>
      </c>
      <c r="R37" s="548"/>
      <c r="S37" s="21">
        <f t="shared" si="3"/>
        <v>1.6166841807452914</v>
      </c>
      <c r="T37" s="475">
        <f t="shared" si="4"/>
        <v>0.72226017271307008</v>
      </c>
      <c r="U37" s="475">
        <f t="shared" si="19"/>
        <v>36.760790607350074</v>
      </c>
      <c r="V37" s="476">
        <f t="shared" si="17"/>
        <v>2.3808672423832116</v>
      </c>
      <c r="W37" s="475">
        <f t="shared" si="5"/>
        <v>38.629882620285422</v>
      </c>
      <c r="X37" s="296">
        <f t="shared" si="20"/>
        <v>2.2359640992615333</v>
      </c>
      <c r="Y37" s="296">
        <f t="shared" si="18"/>
        <v>86.375030697645258</v>
      </c>
      <c r="Z37" s="552">
        <f t="shared" si="6"/>
        <v>36.244622298196532</v>
      </c>
      <c r="AA37" s="11">
        <f t="shared" si="7"/>
        <v>1</v>
      </c>
      <c r="AB37" s="296">
        <f t="shared" si="8"/>
        <v>1</v>
      </c>
      <c r="AC37" s="297">
        <f t="shared" si="9"/>
        <v>0.94798000000000004</v>
      </c>
      <c r="AD37" s="297">
        <f t="shared" si="10"/>
        <v>0.27358702800000007</v>
      </c>
      <c r="AE37" s="297">
        <f t="shared" si="11"/>
        <v>0.22347975062679143</v>
      </c>
      <c r="AF37" s="297">
        <f t="shared" si="12"/>
        <v>0.13993045745829327</v>
      </c>
      <c r="AG37" s="553">
        <f t="shared" si="21"/>
        <v>0.62614378737148091</v>
      </c>
      <c r="AH37" s="297">
        <f t="shared" si="13"/>
        <v>0.12158724079104102</v>
      </c>
      <c r="AI37" s="296">
        <f t="shared" si="22"/>
        <v>0.54406379302834595</v>
      </c>
      <c r="AL37" s="324">
        <v>1.25</v>
      </c>
      <c r="AM37" s="324">
        <v>-6.8</v>
      </c>
      <c r="AN37" s="324">
        <v>1.31</v>
      </c>
      <c r="AO37" s="556">
        <v>2.0499999999999998</v>
      </c>
      <c r="AP37" s="556">
        <v>2.6</v>
      </c>
      <c r="AQ37" s="324">
        <v>2.95</v>
      </c>
      <c r="AR37" s="324">
        <v>3.6</v>
      </c>
    </row>
    <row r="38" spans="1:44" ht="15" customHeight="1">
      <c r="A38" s="527" t="s">
        <v>194</v>
      </c>
      <c r="B38" s="537">
        <v>20</v>
      </c>
      <c r="C38" s="537">
        <v>25</v>
      </c>
      <c r="D38" s="538">
        <v>0.93</v>
      </c>
      <c r="E38" s="538">
        <v>0.77</v>
      </c>
      <c r="F38" s="537">
        <v>23</v>
      </c>
      <c r="G38" s="537">
        <v>31</v>
      </c>
      <c r="H38" s="141">
        <v>4.3999999999999997E-2</v>
      </c>
      <c r="J38"/>
      <c r="K38" s="557">
        <v>7</v>
      </c>
      <c r="L38" s="557">
        <f t="shared" si="24"/>
        <v>2000</v>
      </c>
      <c r="M38" s="558">
        <f t="shared" si="14"/>
        <v>80</v>
      </c>
      <c r="N38" s="557">
        <f t="shared" si="15"/>
        <v>18.5</v>
      </c>
      <c r="O38" s="557">
        <f t="shared" si="23"/>
        <v>8.5</v>
      </c>
      <c r="P38" s="557">
        <f t="shared" si="1"/>
        <v>129.5</v>
      </c>
      <c r="Q38" s="557">
        <f t="shared" si="2"/>
        <v>59.5</v>
      </c>
      <c r="R38" s="548"/>
      <c r="S38" s="21">
        <f t="shared" si="3"/>
        <v>4.2769313017909649</v>
      </c>
      <c r="T38" s="475">
        <f t="shared" si="4"/>
        <v>0.82805632939910767</v>
      </c>
      <c r="U38" s="475">
        <f t="shared" si="19"/>
        <v>28.752152697770466</v>
      </c>
      <c r="V38" s="476">
        <f t="shared" si="17"/>
        <v>2.7335210979981492</v>
      </c>
      <c r="W38" s="475">
        <f t="shared" si="5"/>
        <v>30.742745466742015</v>
      </c>
      <c r="X38" s="296">
        <f t="shared" si="20"/>
        <v>4.2466628874648045</v>
      </c>
      <c r="Y38" s="296">
        <f t="shared" si="18"/>
        <v>130.55407623239017</v>
      </c>
      <c r="Z38" s="552">
        <f t="shared" si="6"/>
        <v>28.308919844780618</v>
      </c>
      <c r="AA38" s="11">
        <f t="shared" si="7"/>
        <v>1</v>
      </c>
      <c r="AB38" s="296">
        <f t="shared" si="8"/>
        <v>1</v>
      </c>
      <c r="AC38" s="297">
        <f t="shared" si="9"/>
        <v>0.94645000000000001</v>
      </c>
      <c r="AD38" s="297">
        <f t="shared" si="10"/>
        <v>0.27314546999999995</v>
      </c>
      <c r="AE38" s="297">
        <f t="shared" si="11"/>
        <v>0.22311906367299592</v>
      </c>
      <c r="AF38" s="297">
        <f t="shared" si="12"/>
        <v>0.28694467556989178</v>
      </c>
      <c r="AG38" s="553">
        <f t="shared" si="21"/>
        <v>1.2860607733207365</v>
      </c>
      <c r="AH38" s="297">
        <f t="shared" si="13"/>
        <v>0.20446139839048427</v>
      </c>
      <c r="AI38" s="296">
        <f t="shared" si="22"/>
        <v>0.91637798682296201</v>
      </c>
      <c r="AL38" s="324">
        <v>1.25</v>
      </c>
      <c r="AM38" s="324">
        <v>-7</v>
      </c>
      <c r="AN38" s="324">
        <v>1.31</v>
      </c>
      <c r="AO38" s="556">
        <v>2.0499999999999998</v>
      </c>
      <c r="AP38" s="556">
        <v>2.6</v>
      </c>
      <c r="AQ38" s="324">
        <v>2.95</v>
      </c>
      <c r="AR38" s="324">
        <v>3.6</v>
      </c>
    </row>
    <row r="39" spans="1:44" ht="15" customHeight="1">
      <c r="A39" s="538">
        <v>7.2</v>
      </c>
      <c r="B39" s="537">
        <v>10</v>
      </c>
      <c r="C39" s="537">
        <v>25</v>
      </c>
      <c r="D39" s="538">
        <v>0.9</v>
      </c>
      <c r="E39" s="538">
        <v>0.79</v>
      </c>
      <c r="F39" s="536" t="s">
        <v>178</v>
      </c>
      <c r="G39" s="536" t="s">
        <v>178</v>
      </c>
      <c r="H39" s="536" t="s">
        <v>178</v>
      </c>
      <c r="J39"/>
      <c r="K39" s="557">
        <v>7.2</v>
      </c>
      <c r="L39" s="557">
        <f t="shared" si="24"/>
        <v>1000</v>
      </c>
      <c r="M39" s="558">
        <f t="shared" si="14"/>
        <v>40</v>
      </c>
      <c r="N39" s="557">
        <f t="shared" si="15"/>
        <v>18.5</v>
      </c>
      <c r="O39" s="557">
        <f t="shared" si="23"/>
        <v>8.5</v>
      </c>
      <c r="P39" s="557">
        <f t="shared" si="1"/>
        <v>133.20000000000002</v>
      </c>
      <c r="Q39" s="557">
        <f t="shared" si="2"/>
        <v>61.2</v>
      </c>
      <c r="R39" s="548"/>
      <c r="S39" s="21">
        <f t="shared" si="3"/>
        <v>4.6146746654360875</v>
      </c>
      <c r="T39" s="475">
        <f t="shared" si="4"/>
        <v>0.90887316298555121</v>
      </c>
      <c r="U39" s="475">
        <f t="shared" si="19"/>
        <v>13.543621623082563</v>
      </c>
      <c r="V39" s="476">
        <f t="shared" si="17"/>
        <v>3.0029105432857723</v>
      </c>
      <c r="W39" s="475">
        <f t="shared" si="5"/>
        <v>15.624851895572871</v>
      </c>
      <c r="X39" s="296">
        <f t="shared" si="20"/>
        <v>6.7764610147600557</v>
      </c>
      <c r="Y39" s="296">
        <f t="shared" si="18"/>
        <v>105.88119973174932</v>
      </c>
      <c r="Z39" s="552">
        <f t="shared" si="6"/>
        <v>8.0372030691964795</v>
      </c>
      <c r="AA39" s="11">
        <f t="shared" si="7"/>
        <v>1</v>
      </c>
      <c r="AB39" s="296">
        <f t="shared" si="8"/>
        <v>1</v>
      </c>
      <c r="AC39" s="297">
        <f t="shared" si="9"/>
        <v>0.94491999999999998</v>
      </c>
      <c r="AD39" s="297">
        <f t="shared" si="10"/>
        <v>0.27270391200000005</v>
      </c>
      <c r="AE39" s="297">
        <f t="shared" si="11"/>
        <v>0.22275837671920057</v>
      </c>
      <c r="AF39" s="297">
        <f t="shared" si="12"/>
        <v>0.1903924849287035</v>
      </c>
      <c r="AG39" s="553">
        <f t="shared" si="21"/>
        <v>0.85470404180895931</v>
      </c>
      <c r="AH39" s="297">
        <f t="shared" si="13"/>
        <v>0.15247235656982899</v>
      </c>
      <c r="AI39" s="296">
        <f t="shared" si="22"/>
        <v>0.68447417697799506</v>
      </c>
      <c r="AL39" s="324">
        <v>1.25</v>
      </c>
      <c r="AM39" s="324">
        <v>-7.2</v>
      </c>
      <c r="AN39" s="324">
        <v>1.31</v>
      </c>
      <c r="AO39" s="556">
        <v>2.0499999999999998</v>
      </c>
      <c r="AP39" s="556">
        <v>2.6</v>
      </c>
      <c r="AQ39" s="324">
        <v>2.95</v>
      </c>
      <c r="AR39" s="324">
        <v>3.6</v>
      </c>
    </row>
    <row r="40" spans="1:44" ht="15" customHeight="1">
      <c r="A40" s="538">
        <v>7.4</v>
      </c>
      <c r="B40" s="537">
        <v>40</v>
      </c>
      <c r="C40" s="537">
        <v>46</v>
      </c>
      <c r="D40" s="538">
        <v>0.9</v>
      </c>
      <c r="E40" s="538">
        <v>0.81</v>
      </c>
      <c r="F40" s="537">
        <v>46</v>
      </c>
      <c r="G40" s="537">
        <v>34</v>
      </c>
      <c r="H40" s="141">
        <v>9.2999999999999999E-2</v>
      </c>
      <c r="J40"/>
      <c r="K40" s="557">
        <v>7.4</v>
      </c>
      <c r="L40" s="557">
        <f t="shared" si="24"/>
        <v>4000</v>
      </c>
      <c r="M40" s="558">
        <f t="shared" si="14"/>
        <v>86.956521739130437</v>
      </c>
      <c r="N40" s="557">
        <f t="shared" si="15"/>
        <v>18.5</v>
      </c>
      <c r="O40" s="557">
        <f t="shared" si="23"/>
        <v>8.5</v>
      </c>
      <c r="P40" s="557">
        <f t="shared" si="1"/>
        <v>136.9</v>
      </c>
      <c r="Q40" s="557">
        <f t="shared" si="2"/>
        <v>62.900000000000006</v>
      </c>
      <c r="R40" s="548"/>
      <c r="S40" s="21">
        <f t="shared" si="3"/>
        <v>2.2509518712725645</v>
      </c>
      <c r="T40" s="475">
        <f t="shared" si="4"/>
        <v>0.71151398289344436</v>
      </c>
      <c r="U40" s="475">
        <f t="shared" si="19"/>
        <v>53.727772017716113</v>
      </c>
      <c r="V40" s="476">
        <f t="shared" si="17"/>
        <v>2.345046609645542</v>
      </c>
      <c r="W40" s="475">
        <f t="shared" si="5"/>
        <v>55.631769322788557</v>
      </c>
      <c r="X40" s="296">
        <f t="shared" si="20"/>
        <v>2.1017655460848665</v>
      </c>
      <c r="Y40" s="296">
        <f t="shared" si="18"/>
        <v>116.92493603037802</v>
      </c>
      <c r="Z40" s="552">
        <f t="shared" si="6"/>
        <v>47.380488127951651</v>
      </c>
      <c r="AA40" s="11">
        <f t="shared" si="7"/>
        <v>0.75</v>
      </c>
      <c r="AB40" s="296">
        <f t="shared" si="8"/>
        <v>0.92448344381246006</v>
      </c>
      <c r="AC40" s="297">
        <f t="shared" si="9"/>
        <v>0.94338999999999995</v>
      </c>
      <c r="AD40" s="297">
        <f t="shared" si="10"/>
        <v>0.27226235399999993</v>
      </c>
      <c r="AE40" s="297">
        <f t="shared" si="11"/>
        <v>0.24056427538416844</v>
      </c>
      <c r="AF40" s="297">
        <f t="shared" si="12"/>
        <v>0.22866350625113452</v>
      </c>
      <c r="AG40" s="553">
        <f t="shared" si="21"/>
        <v>0.9505297737412215</v>
      </c>
      <c r="AH40" s="297">
        <f t="shared" si="13"/>
        <v>0.17318133019290641</v>
      </c>
      <c r="AI40" s="296">
        <f t="shared" si="22"/>
        <v>0.71989629348058837</v>
      </c>
      <c r="AL40" s="324">
        <v>1.25</v>
      </c>
      <c r="AM40" s="324">
        <v>-7.4</v>
      </c>
      <c r="AN40" s="324">
        <v>1.31</v>
      </c>
      <c r="AO40" s="556">
        <v>2.0499999999999998</v>
      </c>
      <c r="AP40" s="556">
        <v>2.6</v>
      </c>
      <c r="AQ40" s="324">
        <v>2.95</v>
      </c>
      <c r="AR40" s="324">
        <v>3.6</v>
      </c>
    </row>
    <row r="41" spans="1:44" ht="15" customHeight="1">
      <c r="A41" s="538">
        <v>7.6</v>
      </c>
      <c r="B41" s="537">
        <v>35</v>
      </c>
      <c r="C41" s="537">
        <v>52</v>
      </c>
      <c r="D41" s="538">
        <v>0.89</v>
      </c>
      <c r="E41" s="538">
        <v>0.83</v>
      </c>
      <c r="F41" s="537">
        <v>41</v>
      </c>
      <c r="G41" s="537">
        <v>34</v>
      </c>
      <c r="H41" s="141">
        <v>8.1000000000000003E-2</v>
      </c>
      <c r="J41"/>
      <c r="K41" s="557">
        <v>7.6</v>
      </c>
      <c r="L41" s="557">
        <f t="shared" si="24"/>
        <v>3500</v>
      </c>
      <c r="M41" s="558">
        <f t="shared" si="14"/>
        <v>67.307692307692307</v>
      </c>
      <c r="N41" s="557">
        <f t="shared" si="15"/>
        <v>18.5</v>
      </c>
      <c r="O41" s="557">
        <f t="shared" si="23"/>
        <v>8.5</v>
      </c>
      <c r="P41" s="557">
        <f t="shared" si="1"/>
        <v>140.6</v>
      </c>
      <c r="Q41" s="557">
        <f t="shared" si="2"/>
        <v>64.599999999999994</v>
      </c>
      <c r="R41" s="548"/>
      <c r="S41" s="21">
        <f t="shared" si="3"/>
        <v>2.0035629072957168</v>
      </c>
      <c r="T41" s="475">
        <f t="shared" si="4"/>
        <v>0.71689226386924443</v>
      </c>
      <c r="U41" s="475">
        <f t="shared" si="19"/>
        <v>45.952014753470401</v>
      </c>
      <c r="V41" s="476">
        <f t="shared" si="17"/>
        <v>2.3629742128980333</v>
      </c>
      <c r="W41" s="475">
        <f t="shared" si="5"/>
        <v>47.875231183290587</v>
      </c>
      <c r="X41" s="296">
        <f t="shared" si="20"/>
        <v>2.1675079483894102</v>
      </c>
      <c r="Y41" s="296">
        <f t="shared" si="18"/>
        <v>103.7699441207629</v>
      </c>
      <c r="Z41" s="552">
        <f t="shared" si="6"/>
        <v>43.17081783328041</v>
      </c>
      <c r="AA41" s="11">
        <f t="shared" si="7"/>
        <v>0.75</v>
      </c>
      <c r="AB41" s="296">
        <f t="shared" si="8"/>
        <v>0.91834035651281998</v>
      </c>
      <c r="AC41" s="297">
        <f t="shared" si="9"/>
        <v>0.94186000000000003</v>
      </c>
      <c r="AD41" s="297">
        <f t="shared" si="10"/>
        <v>0.27182079600000003</v>
      </c>
      <c r="AE41" s="297">
        <f t="shared" si="11"/>
        <v>0.2417807311166664</v>
      </c>
      <c r="AF41" s="297">
        <f t="shared" si="12"/>
        <v>0.18391965521521281</v>
      </c>
      <c r="AG41" s="553">
        <f t="shared" si="21"/>
        <v>0.7606878114967156</v>
      </c>
      <c r="AH41" s="297">
        <f t="shared" si="13"/>
        <v>0.14883055787725818</v>
      </c>
      <c r="AI41" s="296">
        <f t="shared" si="22"/>
        <v>0.61556004562432654</v>
      </c>
      <c r="AL41" s="324">
        <v>1.25</v>
      </c>
      <c r="AM41" s="324">
        <v>-7.6</v>
      </c>
      <c r="AN41" s="324">
        <v>1.31</v>
      </c>
      <c r="AO41" s="556">
        <v>2.0499999999999998</v>
      </c>
      <c r="AP41" s="556">
        <v>2.6</v>
      </c>
      <c r="AQ41" s="324">
        <v>2.95</v>
      </c>
      <c r="AR41" s="324">
        <v>3.6</v>
      </c>
    </row>
    <row r="42" spans="1:44" ht="15" customHeight="1">
      <c r="A42" s="538">
        <v>7.8</v>
      </c>
      <c r="B42" s="537">
        <v>44</v>
      </c>
      <c r="C42" s="537">
        <v>35</v>
      </c>
      <c r="D42" s="538">
        <v>0.91</v>
      </c>
      <c r="E42" s="538">
        <v>0.85</v>
      </c>
      <c r="F42" s="537">
        <v>48</v>
      </c>
      <c r="G42" s="537">
        <v>35</v>
      </c>
      <c r="H42" s="141">
        <v>9.9000000000000005E-2</v>
      </c>
      <c r="J42"/>
      <c r="K42" s="557">
        <v>7.8</v>
      </c>
      <c r="L42" s="557">
        <f t="shared" si="24"/>
        <v>4400</v>
      </c>
      <c r="M42" s="558">
        <f t="shared" si="14"/>
        <v>125.71428571428571</v>
      </c>
      <c r="N42" s="557">
        <f t="shared" si="15"/>
        <v>18.5</v>
      </c>
      <c r="O42" s="557">
        <f t="shared" si="23"/>
        <v>8.5</v>
      </c>
      <c r="P42" s="557">
        <f t="shared" si="1"/>
        <v>144.29999999999998</v>
      </c>
      <c r="Q42" s="557">
        <f t="shared" si="2"/>
        <v>66.3</v>
      </c>
      <c r="R42" s="548"/>
      <c r="S42" s="21">
        <f t="shared" si="3"/>
        <v>2.9540213293767348</v>
      </c>
      <c r="T42" s="475">
        <f t="shared" si="4"/>
        <v>0.72952336869245626</v>
      </c>
      <c r="U42" s="475">
        <f t="shared" si="19"/>
        <v>57.435586125938123</v>
      </c>
      <c r="V42" s="476">
        <f t="shared" si="17"/>
        <v>2.4050778956416776</v>
      </c>
      <c r="W42" s="475">
        <f t="shared" si="5"/>
        <v>59.383081268446503</v>
      </c>
      <c r="X42" s="296">
        <f t="shared" si="20"/>
        <v>2.3332155757103514</v>
      </c>
      <c r="Y42" s="296">
        <f t="shared" si="18"/>
        <v>138.553530149213</v>
      </c>
      <c r="Z42" s="552">
        <f t="shared" si="6"/>
        <v>49.357930210730871</v>
      </c>
      <c r="AA42" s="11">
        <f t="shared" si="7"/>
        <v>0.75</v>
      </c>
      <c r="AB42" s="296">
        <f t="shared" si="8"/>
        <v>0.91239609368087293</v>
      </c>
      <c r="AC42" s="297">
        <f t="shared" si="9"/>
        <v>0.94033</v>
      </c>
      <c r="AD42" s="297">
        <f t="shared" si="10"/>
        <v>0.27137923799999997</v>
      </c>
      <c r="AE42" s="297">
        <f t="shared" si="11"/>
        <v>0.24296061479560599</v>
      </c>
      <c r="AF42" s="297">
        <f t="shared" si="12"/>
        <v>0.32736356707421266</v>
      </c>
      <c r="AG42" s="553">
        <f t="shared" si="21"/>
        <v>1.3473935573862943</v>
      </c>
      <c r="AH42" s="297">
        <f t="shared" si="13"/>
        <v>0.22765267181281482</v>
      </c>
      <c r="AI42" s="296">
        <f t="shared" si="22"/>
        <v>0.93699413793602226</v>
      </c>
      <c r="AL42" s="324">
        <v>1.25</v>
      </c>
      <c r="AM42" s="324">
        <v>-7.8</v>
      </c>
      <c r="AN42" s="324">
        <v>1.31</v>
      </c>
      <c r="AO42" s="556">
        <v>2.0499999999999998</v>
      </c>
      <c r="AP42" s="556">
        <v>2.6</v>
      </c>
      <c r="AQ42" s="324">
        <v>2.95</v>
      </c>
      <c r="AR42" s="324">
        <v>3.6</v>
      </c>
    </row>
    <row r="43" spans="1:44" ht="15" customHeight="1">
      <c r="A43" s="527" t="s">
        <v>196</v>
      </c>
      <c r="B43" s="537">
        <v>37</v>
      </c>
      <c r="C43" s="537">
        <v>62</v>
      </c>
      <c r="D43" s="538">
        <v>0.89</v>
      </c>
      <c r="E43" s="538">
        <v>0.86</v>
      </c>
      <c r="F43" s="537">
        <v>41</v>
      </c>
      <c r="G43" s="537">
        <v>34</v>
      </c>
      <c r="H43" s="141">
        <v>8.3000000000000004E-2</v>
      </c>
      <c r="J43"/>
      <c r="K43" s="557">
        <v>8</v>
      </c>
      <c r="L43" s="557">
        <f t="shared" si="24"/>
        <v>3700</v>
      </c>
      <c r="M43" s="558">
        <f t="shared" si="14"/>
        <v>59.677419354838712</v>
      </c>
      <c r="N43" s="557">
        <f t="shared" si="15"/>
        <v>18.5</v>
      </c>
      <c r="O43" s="557">
        <f t="shared" si="23"/>
        <v>8.5</v>
      </c>
      <c r="P43" s="557">
        <f t="shared" si="1"/>
        <v>148</v>
      </c>
      <c r="Q43" s="557">
        <f t="shared" si="2"/>
        <v>68</v>
      </c>
      <c r="R43" s="548"/>
      <c r="S43" s="21">
        <f t="shared" si="3"/>
        <v>1.6801075268817203</v>
      </c>
      <c r="T43" s="475">
        <f t="shared" si="4"/>
        <v>0.70103252870335186</v>
      </c>
      <c r="U43" s="475">
        <f t="shared" si="19"/>
        <v>46.546781576791531</v>
      </c>
      <c r="V43" s="476">
        <f t="shared" si="17"/>
        <v>2.310108429011398</v>
      </c>
      <c r="W43" s="475">
        <f t="shared" si="5"/>
        <v>48.486230809157846</v>
      </c>
      <c r="X43" s="296">
        <f t="shared" si="20"/>
        <v>1.9815949488547524</v>
      </c>
      <c r="Y43" s="296">
        <f t="shared" si="18"/>
        <v>96.08007006043286</v>
      </c>
      <c r="Z43" s="552">
        <f t="shared" si="6"/>
        <v>44.028519669115866</v>
      </c>
      <c r="AA43" s="11">
        <f t="shared" si="7"/>
        <v>0.75</v>
      </c>
      <c r="AB43" s="296">
        <f t="shared" si="8"/>
        <v>0.90663936409511059</v>
      </c>
      <c r="AC43" s="297">
        <f t="shared" si="9"/>
        <v>0.93879999999999997</v>
      </c>
      <c r="AD43" s="297">
        <f t="shared" si="10"/>
        <v>0.27093767999999996</v>
      </c>
      <c r="AE43" s="297">
        <f t="shared" si="11"/>
        <v>0.24410547089460122</v>
      </c>
      <c r="AF43" s="297">
        <f t="shared" si="12"/>
        <v>0.16248650102958129</v>
      </c>
      <c r="AG43" s="553">
        <f t="shared" si="21"/>
        <v>0.66564055460985139</v>
      </c>
      <c r="AH43" s="297">
        <f t="shared" si="13"/>
        <v>0.13623205822782683</v>
      </c>
      <c r="AI43" s="296">
        <f t="shared" si="22"/>
        <v>0.55808687010807922</v>
      </c>
      <c r="AL43" s="324">
        <v>1.25</v>
      </c>
      <c r="AM43" s="324">
        <v>-8</v>
      </c>
      <c r="AN43" s="324">
        <v>1.31</v>
      </c>
      <c r="AO43" s="556">
        <v>2.0499999999999998</v>
      </c>
      <c r="AP43" s="556">
        <v>2.6</v>
      </c>
      <c r="AQ43" s="324">
        <v>2.95</v>
      </c>
      <c r="AR43" s="324">
        <v>3.6</v>
      </c>
    </row>
    <row r="44" spans="1:44" ht="15" customHeight="1">
      <c r="A44" s="538">
        <v>8.1999999999999993</v>
      </c>
      <c r="B44" s="537">
        <v>49</v>
      </c>
      <c r="C44" s="537">
        <v>46</v>
      </c>
      <c r="D44" s="538">
        <v>0.92</v>
      </c>
      <c r="E44" s="538">
        <v>0.88</v>
      </c>
      <c r="F44" s="537">
        <v>51</v>
      </c>
      <c r="G44" s="537">
        <v>35</v>
      </c>
      <c r="H44" s="141">
        <v>0.105</v>
      </c>
      <c r="J44"/>
      <c r="K44" s="557">
        <v>8.1999999999999993</v>
      </c>
      <c r="L44" s="557">
        <f t="shared" si="24"/>
        <v>4900</v>
      </c>
      <c r="M44" s="558">
        <f t="shared" si="14"/>
        <v>106.52173913043478</v>
      </c>
      <c r="N44" s="557">
        <f t="shared" si="15"/>
        <v>18.5</v>
      </c>
      <c r="O44" s="557">
        <f t="shared" si="23"/>
        <v>8.5</v>
      </c>
      <c r="P44" s="557">
        <f t="shared" si="1"/>
        <v>151.69999999999999</v>
      </c>
      <c r="Q44" s="557">
        <f t="shared" si="2"/>
        <v>69.699999999999989</v>
      </c>
      <c r="R44" s="548"/>
      <c r="S44" s="21">
        <f t="shared" si="3"/>
        <v>2.2433658178808158</v>
      </c>
      <c r="T44" s="475">
        <f t="shared" si="4"/>
        <v>0.69886398367559754</v>
      </c>
      <c r="U44" s="475">
        <f t="shared" si="19"/>
        <v>61.107865674551455</v>
      </c>
      <c r="V44" s="476">
        <f t="shared" si="17"/>
        <v>2.3028799455853948</v>
      </c>
      <c r="W44" s="475">
        <f t="shared" si="5"/>
        <v>63.060156646652935</v>
      </c>
      <c r="X44" s="296">
        <f t="shared" si="20"/>
        <v>1.9580111597421599</v>
      </c>
      <c r="Y44" s="296">
        <f t="shared" si="18"/>
        <v>123.47249044923518</v>
      </c>
      <c r="Z44" s="552">
        <f t="shared" si="6"/>
        <v>51.726259604647595</v>
      </c>
      <c r="AA44" s="11">
        <f t="shared" si="7"/>
        <v>0.75</v>
      </c>
      <c r="AB44" s="296">
        <f t="shared" si="8"/>
        <v>0.90105977998333042</v>
      </c>
      <c r="AC44" s="297">
        <f t="shared" si="9"/>
        <v>0.93727000000000005</v>
      </c>
      <c r="AD44" s="297">
        <f t="shared" si="10"/>
        <v>0.27049612200000006</v>
      </c>
      <c r="AE44" s="297">
        <f t="shared" si="11"/>
        <v>0.24521674017489836</v>
      </c>
      <c r="AF44" s="297">
        <f t="shared" si="12"/>
        <v>0.25506267991865778</v>
      </c>
      <c r="AG44" s="553">
        <f t="shared" si="21"/>
        <v>1.0401519885499533</v>
      </c>
      <c r="AH44" s="297">
        <f t="shared" si="13"/>
        <v>0.187199248247406</v>
      </c>
      <c r="AI44" s="296">
        <f t="shared" si="22"/>
        <v>0.76340321673751976</v>
      </c>
      <c r="AL44" s="324">
        <v>1.25</v>
      </c>
      <c r="AM44" s="324">
        <v>-8.1999999999999993</v>
      </c>
      <c r="AN44" s="324">
        <v>1.31</v>
      </c>
      <c r="AO44" s="556">
        <v>2.0499999999999998</v>
      </c>
      <c r="AP44" s="556">
        <v>2.6</v>
      </c>
      <c r="AQ44" s="324">
        <v>2.95</v>
      </c>
      <c r="AR44" s="324">
        <v>3.6</v>
      </c>
    </row>
    <row r="45" spans="1:44" ht="15" customHeight="1">
      <c r="A45" s="538">
        <v>8.4</v>
      </c>
      <c r="B45" s="537">
        <v>56</v>
      </c>
      <c r="C45" s="537">
        <v>40</v>
      </c>
      <c r="D45" s="538">
        <v>0.93</v>
      </c>
      <c r="E45" s="538">
        <v>0.9</v>
      </c>
      <c r="F45" s="537">
        <v>55</v>
      </c>
      <c r="G45" s="537">
        <v>36</v>
      </c>
      <c r="H45" s="141">
        <v>0.11600000000000001</v>
      </c>
      <c r="J45"/>
      <c r="K45" s="557">
        <v>8.4</v>
      </c>
      <c r="L45" s="557">
        <f t="shared" si="24"/>
        <v>5600</v>
      </c>
      <c r="M45" s="558">
        <f t="shared" si="14"/>
        <v>140</v>
      </c>
      <c r="N45" s="557">
        <f t="shared" si="15"/>
        <v>18.5</v>
      </c>
      <c r="O45" s="557">
        <f t="shared" si="23"/>
        <v>8.5</v>
      </c>
      <c r="P45" s="557">
        <f t="shared" si="1"/>
        <v>155.4</v>
      </c>
      <c r="Q45" s="557">
        <f t="shared" si="2"/>
        <v>71.400000000000006</v>
      </c>
      <c r="R45" s="548"/>
      <c r="S45" s="21">
        <f t="shared" si="3"/>
        <v>2.5713551041398817</v>
      </c>
      <c r="T45" s="475">
        <f t="shared" si="4"/>
        <v>0.69993125469993678</v>
      </c>
      <c r="U45" s="475">
        <f t="shared" si="19"/>
        <v>68.923476163690708</v>
      </c>
      <c r="V45" s="476">
        <f t="shared" si="17"/>
        <v>2.3064375156664836</v>
      </c>
      <c r="W45" s="475">
        <f t="shared" si="5"/>
        <v>70.890692891427818</v>
      </c>
      <c r="X45" s="296">
        <f t="shared" si="20"/>
        <v>1.9695642992803322</v>
      </c>
      <c r="Y45" s="296">
        <f t="shared" si="18"/>
        <v>139.62377787020225</v>
      </c>
      <c r="Z45" s="552">
        <f t="shared" si="6"/>
        <v>55.208368793795472</v>
      </c>
      <c r="AA45" s="11">
        <f t="shared" si="7"/>
        <v>0.75</v>
      </c>
      <c r="AB45" s="296">
        <f t="shared" si="8"/>
        <v>0.89564776476012919</v>
      </c>
      <c r="AC45" s="297">
        <f t="shared" si="9"/>
        <v>0.93574000000000002</v>
      </c>
      <c r="AD45" s="297">
        <f t="shared" si="10"/>
        <v>0.270054564</v>
      </c>
      <c r="AE45" s="297">
        <f t="shared" si="11"/>
        <v>0.24629576902422917</v>
      </c>
      <c r="AF45" s="297">
        <f t="shared" si="12"/>
        <v>0.3331401906261437</v>
      </c>
      <c r="AG45" s="553">
        <f t="shared" si="21"/>
        <v>1.3526021658673775</v>
      </c>
      <c r="AH45" s="297">
        <f t="shared" si="13"/>
        <v>0.23113719688657178</v>
      </c>
      <c r="AI45" s="296">
        <f t="shared" si="22"/>
        <v>0.93845378587820494</v>
      </c>
      <c r="AL45" s="324">
        <v>1.25</v>
      </c>
      <c r="AM45" s="324">
        <v>-8.4</v>
      </c>
      <c r="AN45" s="324">
        <v>1.31</v>
      </c>
      <c r="AO45" s="556">
        <v>2.0499999999999998</v>
      </c>
      <c r="AP45" s="556">
        <v>2.6</v>
      </c>
      <c r="AQ45" s="324">
        <v>2.95</v>
      </c>
      <c r="AR45" s="324">
        <v>3.6</v>
      </c>
    </row>
    <row r="46" spans="1:44" ht="15" customHeight="1">
      <c r="A46" s="538">
        <v>8.6</v>
      </c>
      <c r="B46" s="537">
        <v>55</v>
      </c>
      <c r="C46" s="537">
        <v>46</v>
      </c>
      <c r="D46" s="538">
        <v>0.93</v>
      </c>
      <c r="E46" s="538">
        <v>0.92</v>
      </c>
      <c r="F46" s="537">
        <v>54</v>
      </c>
      <c r="G46" s="537">
        <v>35</v>
      </c>
      <c r="H46" s="141">
        <v>0.113</v>
      </c>
      <c r="J46"/>
      <c r="K46" s="557">
        <v>8.6</v>
      </c>
      <c r="L46" s="557">
        <f t="shared" si="24"/>
        <v>5500</v>
      </c>
      <c r="M46" s="558">
        <f t="shared" si="14"/>
        <v>119.56521739130434</v>
      </c>
      <c r="N46" s="557">
        <f t="shared" si="15"/>
        <v>18.5</v>
      </c>
      <c r="O46" s="557">
        <f t="shared" si="23"/>
        <v>8.5</v>
      </c>
      <c r="P46" s="557">
        <f t="shared" si="1"/>
        <v>159.1</v>
      </c>
      <c r="Q46" s="557">
        <f t="shared" si="2"/>
        <v>73.099999999999994</v>
      </c>
      <c r="R46" s="548"/>
      <c r="S46" s="21">
        <f t="shared" si="3"/>
        <v>2.2386717105975467</v>
      </c>
      <c r="T46" s="475">
        <f t="shared" si="4"/>
        <v>0.69091837800079858</v>
      </c>
      <c r="U46" s="475">
        <f t="shared" si="19"/>
        <v>66.318765250324105</v>
      </c>
      <c r="V46" s="476">
        <f t="shared" si="17"/>
        <v>2.2763945933360139</v>
      </c>
      <c r="W46" s="475">
        <f t="shared" si="5"/>
        <v>68.294334077923679</v>
      </c>
      <c r="X46" s="296">
        <f t="shared" si="20"/>
        <v>1.8752316219988749</v>
      </c>
      <c r="Y46" s="296">
        <f t="shared" si="18"/>
        <v>128.06769486627786</v>
      </c>
      <c r="Z46" s="552">
        <f t="shared" si="6"/>
        <v>54.354664067010702</v>
      </c>
      <c r="AA46" s="11">
        <f t="shared" si="7"/>
        <v>0.75</v>
      </c>
      <c r="AB46" s="296">
        <f t="shared" si="8"/>
        <v>0.89039447213071388</v>
      </c>
      <c r="AC46" s="297">
        <f t="shared" si="9"/>
        <v>0.93420999999999998</v>
      </c>
      <c r="AD46" s="297">
        <f t="shared" si="10"/>
        <v>0.26961300599999999</v>
      </c>
      <c r="AE46" s="297">
        <f t="shared" si="11"/>
        <v>0.24734381775261205</v>
      </c>
      <c r="AF46" s="297">
        <f t="shared" si="12"/>
        <v>0.27534474212273802</v>
      </c>
      <c r="AG46" s="553">
        <f t="shared" si="21"/>
        <v>1.1132064857110433</v>
      </c>
      <c r="AH46" s="297">
        <f t="shared" si="13"/>
        <v>0.19810674572663728</v>
      </c>
      <c r="AI46" s="296">
        <f t="shared" si="22"/>
        <v>0.8009367184781605</v>
      </c>
      <c r="AL46" s="324">
        <v>1.25</v>
      </c>
      <c r="AM46" s="324">
        <v>-8.6</v>
      </c>
      <c r="AN46" s="324">
        <v>1.31</v>
      </c>
      <c r="AO46" s="556">
        <v>2.0499999999999998</v>
      </c>
      <c r="AP46" s="556">
        <v>2.6</v>
      </c>
      <c r="AQ46" s="324">
        <v>2.95</v>
      </c>
      <c r="AR46" s="324">
        <v>3.6</v>
      </c>
    </row>
    <row r="47" spans="1:44" ht="15" customHeight="1">
      <c r="A47" s="538">
        <v>8.8000000000000007</v>
      </c>
      <c r="B47" s="537">
        <v>66</v>
      </c>
      <c r="C47" s="537">
        <v>49</v>
      </c>
      <c r="D47" s="538">
        <v>0.94</v>
      </c>
      <c r="E47" s="538">
        <v>0.94</v>
      </c>
      <c r="F47" s="537">
        <v>59</v>
      </c>
      <c r="G47" s="537">
        <v>36</v>
      </c>
      <c r="H47" s="141">
        <v>0.128</v>
      </c>
      <c r="J47"/>
      <c r="K47" s="557">
        <v>8.8000000000000007</v>
      </c>
      <c r="L47" s="557">
        <f t="shared" si="24"/>
        <v>6600</v>
      </c>
      <c r="M47" s="558">
        <f t="shared" si="14"/>
        <v>134.69387755102042</v>
      </c>
      <c r="N47" s="557">
        <f t="shared" si="15"/>
        <v>18.5</v>
      </c>
      <c r="O47" s="557">
        <f t="shared" si="23"/>
        <v>8.5</v>
      </c>
      <c r="P47" s="557">
        <f t="shared" si="1"/>
        <v>162.80000000000001</v>
      </c>
      <c r="Q47" s="557">
        <f t="shared" si="2"/>
        <v>74.800000000000011</v>
      </c>
      <c r="R47" s="548"/>
      <c r="S47" s="21">
        <f t="shared" si="3"/>
        <v>2.0924295897443055</v>
      </c>
      <c r="T47" s="475">
        <f t="shared" si="4"/>
        <v>0.6693761918967901</v>
      </c>
      <c r="U47" s="475">
        <f t="shared" si="19"/>
        <v>78.181549007288581</v>
      </c>
      <c r="V47" s="476">
        <f t="shared" si="17"/>
        <v>2.2045873063226424</v>
      </c>
      <c r="W47" s="475">
        <f t="shared" si="5"/>
        <v>80.158799392298619</v>
      </c>
      <c r="X47" s="296">
        <f t="shared" si="20"/>
        <v>1.6780818878769672</v>
      </c>
      <c r="Y47" s="296">
        <f t="shared" si="18"/>
        <v>134.51302941417956</v>
      </c>
      <c r="Z47" s="552">
        <f t="shared" si="6"/>
        <v>59.251147016236104</v>
      </c>
      <c r="AA47" s="11">
        <f t="shared" si="7"/>
        <v>0.75</v>
      </c>
      <c r="AB47" s="296">
        <f t="shared" si="8"/>
        <v>0.88529171493220016</v>
      </c>
      <c r="AC47" s="297">
        <f t="shared" si="9"/>
        <v>0.93267999999999995</v>
      </c>
      <c r="AD47" s="297">
        <f t="shared" si="10"/>
        <v>0.26917144799999992</v>
      </c>
      <c r="AE47" s="297">
        <f t="shared" si="11"/>
        <v>0.24836206798306695</v>
      </c>
      <c r="AF47" s="297">
        <f t="shared" si="12"/>
        <v>0.30634766029114746</v>
      </c>
      <c r="AG47" s="553">
        <f t="shared" si="21"/>
        <v>1.2334720143819784</v>
      </c>
      <c r="AH47" s="297">
        <f t="shared" si="13"/>
        <v>0.21536011356479459</v>
      </c>
      <c r="AI47" s="296">
        <f t="shared" si="22"/>
        <v>0.86712159917865395</v>
      </c>
      <c r="AL47" s="324">
        <v>1.25</v>
      </c>
      <c r="AM47" s="324">
        <v>-8.8000000000000007</v>
      </c>
      <c r="AN47" s="324">
        <v>1.31</v>
      </c>
      <c r="AO47" s="556">
        <v>2.0499999999999998</v>
      </c>
      <c r="AP47" s="556">
        <v>2.6</v>
      </c>
      <c r="AQ47" s="324">
        <v>2.95</v>
      </c>
      <c r="AR47" s="324">
        <v>3.6</v>
      </c>
    </row>
    <row r="48" spans="1:44" ht="15" customHeight="1">
      <c r="A48" s="527" t="s">
        <v>197</v>
      </c>
      <c r="B48" s="537">
        <v>50</v>
      </c>
      <c r="C48" s="537">
        <v>34</v>
      </c>
      <c r="D48" s="538">
        <v>0.92</v>
      </c>
      <c r="E48" s="538">
        <v>0.96</v>
      </c>
      <c r="F48" s="537">
        <v>49</v>
      </c>
      <c r="G48" s="537">
        <v>35</v>
      </c>
      <c r="H48" s="141">
        <v>0.10199999999999999</v>
      </c>
      <c r="J48"/>
      <c r="K48" s="557">
        <v>9</v>
      </c>
      <c r="L48" s="557">
        <f t="shared" si="24"/>
        <v>5000</v>
      </c>
      <c r="M48" s="558">
        <f t="shared" si="14"/>
        <v>147.05882352941177</v>
      </c>
      <c r="N48" s="557">
        <f t="shared" si="15"/>
        <v>18.5</v>
      </c>
      <c r="O48" s="557">
        <f t="shared" si="23"/>
        <v>8.5</v>
      </c>
      <c r="P48" s="557">
        <f t="shared" si="1"/>
        <v>166.5</v>
      </c>
      <c r="Q48" s="557">
        <f t="shared" si="2"/>
        <v>76.5</v>
      </c>
      <c r="R48" s="548"/>
      <c r="S48" s="21">
        <f t="shared" si="3"/>
        <v>3.0424914353866095</v>
      </c>
      <c r="T48" s="475">
        <f t="shared" si="4"/>
        <v>0.73010365978438208</v>
      </c>
      <c r="U48" s="475">
        <f t="shared" si="19"/>
        <v>58.776122894144322</v>
      </c>
      <c r="V48" s="476">
        <f t="shared" si="17"/>
        <v>2.4070121992812763</v>
      </c>
      <c r="W48" s="475">
        <f t="shared" si="5"/>
        <v>60.800789173626072</v>
      </c>
      <c r="X48" s="296">
        <f t="shared" si="20"/>
        <v>2.3412187645957339</v>
      </c>
      <c r="Y48" s="296">
        <f t="shared" si="18"/>
        <v>142.34794851552249</v>
      </c>
      <c r="Z48" s="552">
        <f t="shared" si="6"/>
        <v>50.971192926107875</v>
      </c>
      <c r="AA48" s="11">
        <f t="shared" si="7"/>
        <v>0.75</v>
      </c>
      <c r="AB48" s="296">
        <f t="shared" si="8"/>
        <v>0.88033190234827263</v>
      </c>
      <c r="AC48" s="297">
        <f t="shared" si="9"/>
        <v>0.93115000000000003</v>
      </c>
      <c r="AD48" s="297">
        <f t="shared" si="10"/>
        <v>0.26872988999999997</v>
      </c>
      <c r="AE48" s="297">
        <f t="shared" si="11"/>
        <v>0.24935162925425741</v>
      </c>
      <c r="AF48" s="297">
        <f t="shared" si="12"/>
        <v>0.34824805784529977</v>
      </c>
      <c r="AG48" s="553">
        <f t="shared" si="21"/>
        <v>1.3966143268717135</v>
      </c>
      <c r="AH48" s="297">
        <f t="shared" si="13"/>
        <v>0.24049631318575543</v>
      </c>
      <c r="AI48" s="296">
        <f t="shared" si="22"/>
        <v>0.96448663241148325</v>
      </c>
      <c r="AL48" s="324">
        <v>1.25</v>
      </c>
      <c r="AM48" s="324">
        <v>-9</v>
      </c>
      <c r="AN48" s="324">
        <v>1.31</v>
      </c>
      <c r="AO48" s="556">
        <v>2.0499999999999998</v>
      </c>
      <c r="AP48" s="556">
        <v>2.6</v>
      </c>
      <c r="AQ48" s="324">
        <v>2.95</v>
      </c>
      <c r="AR48" s="324">
        <v>3.6</v>
      </c>
    </row>
    <row r="49" spans="1:49" ht="15" customHeight="1">
      <c r="A49" s="538">
        <v>9.1999999999999993</v>
      </c>
      <c r="B49" s="537">
        <v>64</v>
      </c>
      <c r="C49" s="537">
        <v>44</v>
      </c>
      <c r="D49" s="538">
        <v>0.94</v>
      </c>
      <c r="E49" s="538">
        <v>0.97</v>
      </c>
      <c r="F49" s="537">
        <v>57</v>
      </c>
      <c r="G49" s="537">
        <v>36</v>
      </c>
      <c r="H49" s="141">
        <v>0.123</v>
      </c>
      <c r="J49"/>
      <c r="K49" s="557">
        <v>9.1999999999999993</v>
      </c>
      <c r="L49" s="557">
        <f t="shared" si="24"/>
        <v>6400</v>
      </c>
      <c r="M49" s="558">
        <f t="shared" si="14"/>
        <v>145.45454545454547</v>
      </c>
      <c r="N49" s="557">
        <f t="shared" si="15"/>
        <v>18.5</v>
      </c>
      <c r="O49" s="557">
        <f t="shared" si="23"/>
        <v>8.5</v>
      </c>
      <c r="P49" s="557">
        <f t="shared" si="1"/>
        <v>170.2</v>
      </c>
      <c r="Q49" s="557">
        <f t="shared" si="2"/>
        <v>78.199999999999989</v>
      </c>
      <c r="R49" s="548"/>
      <c r="S49" s="21">
        <f t="shared" si="3"/>
        <v>2.3348188618341754</v>
      </c>
      <c r="T49" s="475">
        <f t="shared" si="4"/>
        <v>0.68484409828191906</v>
      </c>
      <c r="U49" s="475">
        <f t="shared" si="19"/>
        <v>73.724329132155148</v>
      </c>
      <c r="V49" s="476">
        <f t="shared" si="17"/>
        <v>2.2561469942730654</v>
      </c>
      <c r="W49" s="475">
        <f t="shared" si="5"/>
        <v>75.738499862883714</v>
      </c>
      <c r="X49" s="296">
        <f t="shared" si="20"/>
        <v>1.8157002203180248</v>
      </c>
      <c r="Y49" s="296">
        <f t="shared" si="18"/>
        <v>137.51841088759465</v>
      </c>
      <c r="Z49" s="552">
        <f t="shared" si="6"/>
        <v>57.732055431961584</v>
      </c>
      <c r="AA49" s="11">
        <f t="shared" si="7"/>
        <v>0.75</v>
      </c>
      <c r="AB49" s="296">
        <f t="shared" si="8"/>
        <v>0.87550798434989729</v>
      </c>
      <c r="AC49" s="297">
        <f t="shared" si="9"/>
        <v>0.92835999999999996</v>
      </c>
      <c r="AD49" s="297">
        <f t="shared" si="10"/>
        <v>0.26792469600000002</v>
      </c>
      <c r="AE49" s="297">
        <f t="shared" si="11"/>
        <v>0.24997427182673251</v>
      </c>
      <c r="AF49" s="297">
        <f t="shared" si="12"/>
        <v>0.32186079943432394</v>
      </c>
      <c r="AG49" s="553">
        <f t="shared" si="21"/>
        <v>1.2875757056206927</v>
      </c>
      <c r="AH49" s="297">
        <f t="shared" si="13"/>
        <v>0.22437794945871806</v>
      </c>
      <c r="AI49" s="296">
        <f t="shared" si="22"/>
        <v>0.8976041726975954</v>
      </c>
      <c r="AL49" s="324">
        <v>1.25</v>
      </c>
      <c r="AM49" s="324">
        <v>-9.1999999999999993</v>
      </c>
      <c r="AN49" s="324">
        <v>1.31</v>
      </c>
      <c r="AO49" s="556">
        <v>2.0499999999999998</v>
      </c>
      <c r="AP49" s="556">
        <v>2.6</v>
      </c>
      <c r="AQ49" s="324">
        <v>2.95</v>
      </c>
      <c r="AR49" s="324">
        <v>3.6</v>
      </c>
    </row>
    <row r="50" spans="1:49" ht="15" customHeight="1">
      <c r="A50" s="538">
        <v>9.4</v>
      </c>
      <c r="B50" s="537">
        <v>68</v>
      </c>
      <c r="C50" s="537">
        <v>42</v>
      </c>
      <c r="D50" s="538">
        <v>0.95</v>
      </c>
      <c r="E50" s="538">
        <v>0.99</v>
      </c>
      <c r="F50" s="537">
        <v>59</v>
      </c>
      <c r="G50" s="537">
        <v>36</v>
      </c>
      <c r="H50" s="141">
        <v>0.127</v>
      </c>
      <c r="J50"/>
      <c r="K50" s="557">
        <v>9.4</v>
      </c>
      <c r="L50" s="557">
        <f t="shared" si="24"/>
        <v>6800</v>
      </c>
      <c r="M50" s="558">
        <f t="shared" si="14"/>
        <v>161.9047619047619</v>
      </c>
      <c r="N50" s="557">
        <f t="shared" si="15"/>
        <v>18.5</v>
      </c>
      <c r="O50" s="557">
        <f t="shared" si="23"/>
        <v>8.5</v>
      </c>
      <c r="P50" s="557">
        <f t="shared" si="1"/>
        <v>173.9</v>
      </c>
      <c r="Q50" s="557">
        <f t="shared" si="2"/>
        <v>79.900000000000006</v>
      </c>
      <c r="R50" s="548"/>
      <c r="S50" s="21">
        <f t="shared" si="3"/>
        <v>2.4434397595080348</v>
      </c>
      <c r="T50" s="475">
        <f t="shared" si="4"/>
        <v>0.68472678955350563</v>
      </c>
      <c r="U50" s="475">
        <f t="shared" si="19"/>
        <v>77.265713044167882</v>
      </c>
      <c r="V50" s="476">
        <f t="shared" si="17"/>
        <v>2.2557559651783525</v>
      </c>
      <c r="W50" s="475">
        <f t="shared" si="5"/>
        <v>79.29352842552052</v>
      </c>
      <c r="X50" s="296">
        <f t="shared" si="20"/>
        <v>1.8145818004449232</v>
      </c>
      <c r="Y50" s="296">
        <f t="shared" si="18"/>
        <v>143.88459357401172</v>
      </c>
      <c r="Z50" s="552">
        <f t="shared" si="6"/>
        <v>59.16154452124988</v>
      </c>
      <c r="AA50" s="11">
        <f t="shared" si="7"/>
        <v>0.75</v>
      </c>
      <c r="AB50" s="296">
        <f t="shared" si="8"/>
        <v>0.87081340239323546</v>
      </c>
      <c r="AC50" s="297">
        <f t="shared" si="9"/>
        <v>0.92301999999999995</v>
      </c>
      <c r="AD50" s="297">
        <f t="shared" si="10"/>
        <v>0.26638357199999996</v>
      </c>
      <c r="AE50" s="297">
        <f t="shared" si="11"/>
        <v>0.24987626749503963</v>
      </c>
      <c r="AF50" s="297">
        <f t="shared" si="12"/>
        <v>0.35702938107270843</v>
      </c>
      <c r="AG50" s="553">
        <f t="shared" si="21"/>
        <v>1.4288246925242547</v>
      </c>
      <c r="AH50" s="297">
        <f t="shared" si="13"/>
        <v>0.24611396057021506</v>
      </c>
      <c r="AI50" s="296">
        <f t="shared" si="22"/>
        <v>0.98494332029791798</v>
      </c>
      <c r="AL50" s="324">
        <v>1.25</v>
      </c>
      <c r="AM50" s="324">
        <v>-9.4</v>
      </c>
      <c r="AN50" s="324">
        <v>1.31</v>
      </c>
      <c r="AO50" s="556">
        <v>2.0499999999999998</v>
      </c>
      <c r="AP50" s="556">
        <v>2.6</v>
      </c>
      <c r="AQ50" s="324">
        <v>2.95</v>
      </c>
      <c r="AR50" s="324">
        <v>3.6</v>
      </c>
    </row>
    <row r="51" spans="1:49" ht="15.75" customHeight="1" thickBot="1">
      <c r="A51" s="538">
        <v>9.6</v>
      </c>
      <c r="B51" s="537">
        <v>72</v>
      </c>
      <c r="C51" s="535" t="s">
        <v>178</v>
      </c>
      <c r="D51" s="538">
        <v>0.95</v>
      </c>
      <c r="E51" s="538">
        <v>1.01</v>
      </c>
      <c r="F51" s="537">
        <v>60</v>
      </c>
      <c r="G51" s="537">
        <v>36</v>
      </c>
      <c r="H51" s="141">
        <v>0.13200000000000001</v>
      </c>
      <c r="J51"/>
      <c r="K51" s="557">
        <v>9.6</v>
      </c>
      <c r="L51" s="557">
        <f t="shared" si="24"/>
        <v>7200</v>
      </c>
      <c r="M51" s="557"/>
      <c r="N51" s="557">
        <f t="shared" si="15"/>
        <v>18.5</v>
      </c>
      <c r="O51" s="557">
        <f t="shared" si="23"/>
        <v>8.5</v>
      </c>
      <c r="P51" s="557">
        <f t="shared" si="1"/>
        <v>177.6</v>
      </c>
      <c r="Q51" s="557">
        <f t="shared" si="2"/>
        <v>81.599999999999994</v>
      </c>
      <c r="R51" s="548"/>
      <c r="S51" s="21">
        <f t="shared" si="3"/>
        <v>0</v>
      </c>
      <c r="T51" s="475" t="e">
        <f t="shared" si="4"/>
        <v>#NUM!</v>
      </c>
      <c r="U51" s="475" t="e">
        <f t="shared" si="19"/>
        <v>#NUM!</v>
      </c>
      <c r="V51" s="476"/>
      <c r="W51" s="475" t="e">
        <f t="shared" si="5"/>
        <v>#NUM!</v>
      </c>
      <c r="X51" s="296">
        <f t="shared" si="20"/>
        <v>-17.88</v>
      </c>
      <c r="Y51" s="490" t="e">
        <f t="shared" si="18"/>
        <v>#NUM!</v>
      </c>
      <c r="Z51" s="552">
        <f t="shared" si="6"/>
        <v>60.49816952558632</v>
      </c>
      <c r="AA51" s="11">
        <f t="shared" si="7"/>
        <v>0.75</v>
      </c>
      <c r="AB51" s="296">
        <f t="shared" si="8"/>
        <v>0.86624204555342388</v>
      </c>
      <c r="AC51" s="297">
        <f t="shared" si="9"/>
        <v>0.91767999999999994</v>
      </c>
      <c r="AD51" s="297">
        <f t="shared" si="10"/>
        <v>0.26484244800000001</v>
      </c>
      <c r="AE51" s="297">
        <f t="shared" si="11"/>
        <v>0.24974166930997507</v>
      </c>
      <c r="AF51" s="297" t="e">
        <f>IF(Y51&lt;160,93*(Y51/1000)^3+0.08,0)</f>
        <v>#NUM!</v>
      </c>
      <c r="AG51" s="553"/>
      <c r="AH51" s="11" t="e">
        <f t="shared" si="13"/>
        <v>#NUM!</v>
      </c>
      <c r="AI51" s="11"/>
      <c r="AL51" s="324">
        <v>1.25</v>
      </c>
      <c r="AM51" s="324">
        <v>-9.6</v>
      </c>
      <c r="AN51" s="324">
        <v>1.31</v>
      </c>
      <c r="AO51" s="556">
        <v>2.0499999999999998</v>
      </c>
      <c r="AP51" s="556">
        <v>2.6</v>
      </c>
      <c r="AQ51" s="324">
        <v>2.95</v>
      </c>
      <c r="AR51" s="324">
        <v>3.6</v>
      </c>
    </row>
    <row r="52" spans="1:49">
      <c r="T52" s="550"/>
      <c r="AR52" s="207"/>
      <c r="AS52" s="207"/>
      <c r="AT52" s="207"/>
      <c r="AU52" s="207"/>
      <c r="AV52" s="207"/>
      <c r="AW52" s="207"/>
    </row>
    <row r="56" spans="1:49">
      <c r="M56" s="695" t="s">
        <v>600</v>
      </c>
      <c r="N56" s="695"/>
      <c r="O56" s="695"/>
      <c r="P56" s="695" t="s">
        <v>601</v>
      </c>
      <c r="Q56" s="695"/>
      <c r="R56" s="695"/>
      <c r="S56" s="695" t="s">
        <v>602</v>
      </c>
      <c r="T56" s="695"/>
      <c r="U56" s="695"/>
      <c r="V56" s="695" t="s">
        <v>603</v>
      </c>
      <c r="W56" s="695"/>
      <c r="X56" s="695"/>
      <c r="Y56" s="697" t="s">
        <v>604</v>
      </c>
      <c r="Z56" s="698"/>
      <c r="AA56" s="699"/>
      <c r="AB56" s="695" t="s">
        <v>605</v>
      </c>
      <c r="AC56" s="695"/>
      <c r="AD56" s="695"/>
      <c r="AE56" s="695" t="s">
        <v>606</v>
      </c>
      <c r="AF56" s="695"/>
      <c r="AG56" s="695"/>
      <c r="AH56" s="695" t="s">
        <v>607</v>
      </c>
      <c r="AI56" s="695"/>
      <c r="AJ56" s="695"/>
    </row>
    <row r="57" spans="1:49">
      <c r="K57" s="543" t="s">
        <v>594</v>
      </c>
      <c r="L57" s="543" t="s">
        <v>598</v>
      </c>
      <c r="M57" s="543" t="s">
        <v>529</v>
      </c>
      <c r="N57" s="543" t="s">
        <v>599</v>
      </c>
      <c r="O57" s="543" t="s">
        <v>598</v>
      </c>
      <c r="P57" s="543" t="s">
        <v>529</v>
      </c>
      <c r="Q57" s="543" t="s">
        <v>599</v>
      </c>
      <c r="R57" s="543" t="s">
        <v>598</v>
      </c>
      <c r="S57" s="543" t="s">
        <v>529</v>
      </c>
      <c r="T57" s="543" t="s">
        <v>599</v>
      </c>
      <c r="U57" s="543" t="s">
        <v>598</v>
      </c>
      <c r="V57" s="543" t="s">
        <v>529</v>
      </c>
      <c r="W57" s="543" t="s">
        <v>599</v>
      </c>
      <c r="X57" s="543" t="s">
        <v>598</v>
      </c>
      <c r="Y57" s="543" t="s">
        <v>529</v>
      </c>
      <c r="Z57" s="543" t="s">
        <v>599</v>
      </c>
      <c r="AA57" s="543" t="s">
        <v>598</v>
      </c>
      <c r="AB57" s="543" t="s">
        <v>529</v>
      </c>
      <c r="AC57" s="543" t="s">
        <v>599</v>
      </c>
      <c r="AD57" s="543" t="s">
        <v>598</v>
      </c>
      <c r="AE57" s="543" t="s">
        <v>529</v>
      </c>
      <c r="AF57" s="543" t="s">
        <v>599</v>
      </c>
      <c r="AG57" s="543" t="s">
        <v>598</v>
      </c>
      <c r="AH57" s="543" t="s">
        <v>529</v>
      </c>
      <c r="AI57" s="543" t="s">
        <v>599</v>
      </c>
      <c r="AJ57" s="543" t="s">
        <v>598</v>
      </c>
    </row>
    <row r="58" spans="1:49">
      <c r="K58" s="540" t="s">
        <v>176</v>
      </c>
      <c r="L58" s="540" t="s">
        <v>176</v>
      </c>
      <c r="M58" s="540" t="s">
        <v>176</v>
      </c>
      <c r="N58" s="540" t="s">
        <v>176</v>
      </c>
      <c r="O58" s="540" t="s">
        <v>176</v>
      </c>
      <c r="P58" s="540" t="s">
        <v>176</v>
      </c>
      <c r="Q58" s="540" t="s">
        <v>176</v>
      </c>
      <c r="R58" s="540" t="s">
        <v>176</v>
      </c>
      <c r="S58" s="540" t="s">
        <v>176</v>
      </c>
      <c r="T58" s="540" t="s">
        <v>176</v>
      </c>
      <c r="U58" s="540" t="s">
        <v>176</v>
      </c>
      <c r="V58" s="540" t="s">
        <v>176</v>
      </c>
      <c r="W58" s="540" t="s">
        <v>176</v>
      </c>
      <c r="X58" s="540" t="s">
        <v>176</v>
      </c>
      <c r="Y58" s="540" t="s">
        <v>176</v>
      </c>
      <c r="Z58" s="540" t="s">
        <v>176</v>
      </c>
      <c r="AA58" s="540" t="s">
        <v>176</v>
      </c>
      <c r="AB58" s="540" t="s">
        <v>176</v>
      </c>
      <c r="AC58" s="540" t="s">
        <v>176</v>
      </c>
      <c r="AD58" s="540" t="s">
        <v>176</v>
      </c>
      <c r="AE58" s="540" t="s">
        <v>176</v>
      </c>
      <c r="AF58" s="540" t="s">
        <v>176</v>
      </c>
      <c r="AG58" s="540" t="s">
        <v>176</v>
      </c>
      <c r="AH58" s="540" t="s">
        <v>176</v>
      </c>
      <c r="AI58" s="540" t="s">
        <v>176</v>
      </c>
      <c r="AJ58" s="540" t="s">
        <v>176</v>
      </c>
    </row>
    <row r="59" spans="1:49">
      <c r="K59" s="278">
        <f t="shared" ref="K59:K106" si="25">((L4-P4)/$R$4)*(($R$4/Q4)^$R$10)</f>
        <v>431.43243243243239</v>
      </c>
      <c r="L59" s="11" t="e">
        <f t="shared" ref="L59:L106" si="26">((3.47-LOG(K59))^2+(LOG(S4)+1.22)^2)^0.5</f>
        <v>#VALUE!</v>
      </c>
      <c r="M59" s="11" t="e">
        <f>((L59-1.64)*0.3)+0.5</f>
        <v>#VALUE!</v>
      </c>
      <c r="N59" s="11" t="e">
        <f t="shared" ref="N59:N106" si="27">((L4-P4)/$R$4)*(($R$4/Q4)^M59)</f>
        <v>#VALUE!</v>
      </c>
      <c r="O59" s="296" t="e">
        <f t="shared" ref="O59:O106" si="28">((3.47-LOG(N59))^2+(LOG(S4)+1.22)^2)^0.5</f>
        <v>#VALUE!</v>
      </c>
      <c r="P59" s="11" t="e">
        <f>((O59-1.64)*0.3)+0.5</f>
        <v>#VALUE!</v>
      </c>
      <c r="Q59" s="296" t="e">
        <f t="shared" ref="Q59:Q106" si="29">(($L4-$P4)/$R$4)*(($R$4/$Q4)^P59)</f>
        <v>#VALUE!</v>
      </c>
      <c r="R59" s="296" t="e">
        <f t="shared" ref="R59:R106" si="30">((3.47-LOG(Q59))^2+(LOG($S4)+1.22)^2)^0.5</f>
        <v>#VALUE!</v>
      </c>
      <c r="S59" s="296" t="e">
        <f>((R59-1.64)*0.3)+0.5</f>
        <v>#VALUE!</v>
      </c>
      <c r="T59" s="296" t="e">
        <f t="shared" ref="T59:T106" si="31">(($L4-$P4)/$R$4)*(($R$4/$Q4)^S59)</f>
        <v>#VALUE!</v>
      </c>
      <c r="U59" s="296" t="e">
        <f t="shared" ref="U59:U106" si="32">((3.47-LOG(T59))^2+(LOG($S4)+1.22)^2)^0.5</f>
        <v>#VALUE!</v>
      </c>
      <c r="V59" s="296" t="e">
        <f t="shared" ref="V59" si="33">((U59-1.64)*0.3)+0.5</f>
        <v>#VALUE!</v>
      </c>
      <c r="W59" s="296" t="e">
        <f t="shared" ref="W59:W106" si="34">(($L4-$P4)/$R$4)*(($R$4/$Q4)^V59)</f>
        <v>#VALUE!</v>
      </c>
      <c r="X59" s="296" t="e">
        <f t="shared" ref="X59:X106" si="35">((3.47-LOG(W59))^2+(LOG($S4)+1.22)^2)^0.5</f>
        <v>#VALUE!</v>
      </c>
      <c r="Y59" s="296" t="e">
        <f t="shared" ref="Y59" si="36">((X59-1.64)*0.3)+0.5</f>
        <v>#VALUE!</v>
      </c>
      <c r="Z59" s="296" t="e">
        <f t="shared" ref="Z59:Z106" si="37">(($L4-$P4)/$R$4)*(($R$4/$Q4)^Y59)</f>
        <v>#VALUE!</v>
      </c>
      <c r="AA59" s="296" t="e">
        <f t="shared" ref="AA59:AA106" si="38">((3.47-LOG(Z59))^2+(LOG($S4)+1.22)^2)^0.5</f>
        <v>#VALUE!</v>
      </c>
      <c r="AB59" s="296" t="e">
        <f t="shared" ref="AB59:AB106" si="39">((AA59-1.64)*0.3)+0.5</f>
        <v>#VALUE!</v>
      </c>
      <c r="AC59" s="296" t="e">
        <f t="shared" ref="AC59:AC106" si="40">(($L4-$P4)/$R$4)*(($R$4/$Q4)^AB59)</f>
        <v>#VALUE!</v>
      </c>
      <c r="AD59" s="296" t="e">
        <f t="shared" ref="AD59:AD106" si="41">((3.47-LOG(AC59))^2+(LOG($S4)+1.22)^2)^0.5</f>
        <v>#VALUE!</v>
      </c>
      <c r="AE59" s="296" t="e">
        <f t="shared" ref="AE59" si="42">((AD59-1.64)*0.3)+0.5</f>
        <v>#VALUE!</v>
      </c>
      <c r="AF59" s="296" t="e">
        <f t="shared" ref="AF59:AF106" si="43">(($L4-$P4)/$R$4)*(($R$4/$Q4)^AE59)</f>
        <v>#VALUE!</v>
      </c>
      <c r="AG59" s="296" t="e">
        <f t="shared" ref="AG59:AG106" si="44">((3.47-LOG(AF59))^2+(LOG($S4)+1.22)^2)^0.5</f>
        <v>#VALUE!</v>
      </c>
      <c r="AH59" s="475" t="e">
        <f t="shared" ref="AH59" si="45">((AG59-1.64)*0.3)+0.5</f>
        <v>#VALUE!</v>
      </c>
      <c r="AI59" s="475" t="e">
        <f t="shared" ref="AI59:AI106" si="46">(($L4-$P4)/$R$4)*(($R$4/$Q4)^AH59)</f>
        <v>#VALUE!</v>
      </c>
      <c r="AJ59" s="475" t="e">
        <f t="shared" ref="AJ59:AJ106" si="47">((3.47-LOG(AI59))^2+(LOG($S4)+1.22)^2)^0.5</f>
        <v>#VALUE!</v>
      </c>
    </row>
    <row r="60" spans="1:49">
      <c r="K60" s="278">
        <f t="shared" si="25"/>
        <v>350.3513513513513</v>
      </c>
      <c r="L60" s="296">
        <f t="shared" si="26"/>
        <v>2.0295651271845845</v>
      </c>
      <c r="M60" s="296">
        <f t="shared" ref="M60:M106" si="48">((L60-1.64)*0.3)+0.5</f>
        <v>0.61686953815537537</v>
      </c>
      <c r="N60" s="11">
        <f t="shared" si="27"/>
        <v>129.20282915307666</v>
      </c>
      <c r="O60" s="296">
        <f t="shared" si="28"/>
        <v>2.2602506714431607</v>
      </c>
      <c r="P60" s="11">
        <f t="shared" ref="P60:P106" si="49">((O60-1.64)*0.3)+0.5</f>
        <v>0.6860752014329482</v>
      </c>
      <c r="Q60" s="296">
        <f t="shared" si="29"/>
        <v>154.71327959644458</v>
      </c>
      <c r="R60" s="296">
        <f t="shared" si="30"/>
        <v>2.2140914548390209</v>
      </c>
      <c r="S60" s="296">
        <f>((R60-1.64)*0.3)+0.5</f>
        <v>0.67222743645170624</v>
      </c>
      <c r="T60" s="296">
        <f t="shared" si="31"/>
        <v>149.23441207023748</v>
      </c>
      <c r="U60" s="296">
        <f t="shared" si="32"/>
        <v>2.2231839796447512</v>
      </c>
      <c r="V60" s="296">
        <f t="shared" ref="V60:V106" si="50">((U60-1.64)*0.3)+0.5</f>
        <v>0.6749551938934254</v>
      </c>
      <c r="W60" s="296">
        <f t="shared" si="34"/>
        <v>150.29808272517334</v>
      </c>
      <c r="X60" s="296">
        <f t="shared" si="35"/>
        <v>2.2213871316249318</v>
      </c>
      <c r="Y60" s="296">
        <f t="shared" ref="Y60" si="51">((X60-1.64)*0.3)+0.5</f>
        <v>0.67441613948747958</v>
      </c>
      <c r="Z60" s="296">
        <f t="shared" si="37"/>
        <v>150.08728272371104</v>
      </c>
      <c r="AA60" s="296">
        <f t="shared" si="38"/>
        <v>2.2217419971359211</v>
      </c>
      <c r="AB60" s="296">
        <f t="shared" si="39"/>
        <v>0.67452259914077639</v>
      </c>
      <c r="AC60" s="296">
        <f t="shared" si="40"/>
        <v>150.12889087697425</v>
      </c>
      <c r="AD60" s="296">
        <f t="shared" si="41"/>
        <v>2.2216719048011795</v>
      </c>
      <c r="AE60" s="296">
        <f t="shared" ref="AE60" si="52">((AD60-1.64)*0.3)+0.5</f>
        <v>0.67450157144035383</v>
      </c>
      <c r="AF60" s="296">
        <f t="shared" si="43"/>
        <v>150.12067160266824</v>
      </c>
      <c r="AG60" s="296">
        <f t="shared" si="44"/>
        <v>2.2216857489589867</v>
      </c>
      <c r="AH60" s="475">
        <f t="shared" ref="AH60" si="53">((AG60-1.64)*0.3)+0.5</f>
        <v>0.67450572468769598</v>
      </c>
      <c r="AI60" s="475">
        <f t="shared" si="46"/>
        <v>150.12229498176211</v>
      </c>
      <c r="AJ60" s="475">
        <f t="shared" si="47"/>
        <v>2.221683014542442</v>
      </c>
    </row>
    <row r="61" spans="1:49">
      <c r="K61" s="278">
        <f t="shared" si="25"/>
        <v>269.27027027027026</v>
      </c>
      <c r="L61" s="296">
        <f t="shared" si="26"/>
        <v>1.8817753363538294</v>
      </c>
      <c r="M61" s="296">
        <f t="shared" si="48"/>
        <v>0.57253260090614888</v>
      </c>
      <c r="N61" s="11">
        <f t="shared" si="27"/>
        <v>105.21922605961755</v>
      </c>
      <c r="O61" s="296">
        <f t="shared" si="28"/>
        <v>2.1345488649169808</v>
      </c>
      <c r="P61" s="11">
        <f t="shared" si="49"/>
        <v>0.64836465947509425</v>
      </c>
      <c r="Q61" s="296">
        <f t="shared" si="29"/>
        <v>124.30546623097999</v>
      </c>
      <c r="R61" s="296">
        <f t="shared" si="30"/>
        <v>2.0861201792247521</v>
      </c>
      <c r="S61" s="296">
        <f t="shared" ref="S61:S106" si="54">((R61-1.64)*0.3)+0.5</f>
        <v>0.63383605376742569</v>
      </c>
      <c r="T61" s="296">
        <f t="shared" si="31"/>
        <v>120.39822957663978</v>
      </c>
      <c r="U61" s="296">
        <f t="shared" si="32"/>
        <v>2.095291571680348</v>
      </c>
      <c r="V61" s="296">
        <f t="shared" si="50"/>
        <v>0.63658747150410444</v>
      </c>
      <c r="W61" s="296">
        <f t="shared" si="34"/>
        <v>121.1286330184585</v>
      </c>
      <c r="X61" s="296">
        <f t="shared" si="35"/>
        <v>2.0935507300137286</v>
      </c>
      <c r="Y61" s="296">
        <f t="shared" ref="Y61:Y106" si="55">((X61-1.64)*0.3)+0.5</f>
        <v>0.63606521900411861</v>
      </c>
      <c r="Z61" s="296">
        <f t="shared" si="37"/>
        <v>120.98965368184497</v>
      </c>
      <c r="AA61" s="296">
        <f t="shared" si="38"/>
        <v>2.0938810208213812</v>
      </c>
      <c r="AB61" s="296">
        <f t="shared" si="39"/>
        <v>0.6361643062464144</v>
      </c>
      <c r="AC61" s="296">
        <f t="shared" si="40"/>
        <v>121.01601004193367</v>
      </c>
      <c r="AD61" s="296">
        <f t="shared" si="41"/>
        <v>2.0938183494513014</v>
      </c>
      <c r="AE61" s="296">
        <f t="shared" ref="AE61:AE106" si="56">((AD61-1.64)*0.3)+0.5</f>
        <v>0.63614550483539045</v>
      </c>
      <c r="AF61" s="296">
        <f t="shared" si="43"/>
        <v>121.01100858587981</v>
      </c>
      <c r="AG61" s="296">
        <f t="shared" si="44"/>
        <v>2.093830240910751</v>
      </c>
      <c r="AH61" s="475">
        <f t="shared" ref="AH61:AH106" si="57">((AG61-1.64)*0.3)+0.5</f>
        <v>0.63614907227322526</v>
      </c>
      <c r="AI61" s="475">
        <f t="shared" si="46"/>
        <v>121.01195756171913</v>
      </c>
      <c r="AJ61" s="475">
        <f t="shared" si="47"/>
        <v>2.0938279845818473</v>
      </c>
    </row>
    <row r="62" spans="1:49">
      <c r="K62" s="278">
        <f t="shared" si="25"/>
        <v>167.91891891891888</v>
      </c>
      <c r="L62" s="296">
        <f t="shared" si="26"/>
        <v>2.0999036372192919</v>
      </c>
      <c r="M62" s="296">
        <f t="shared" si="48"/>
        <v>0.63797109116578754</v>
      </c>
      <c r="N62" s="11">
        <f t="shared" si="27"/>
        <v>84.083423083421948</v>
      </c>
      <c r="O62" s="296">
        <f t="shared" si="28"/>
        <v>2.2907942621136201</v>
      </c>
      <c r="P62" s="11">
        <f t="shared" si="49"/>
        <v>0.69523827863408605</v>
      </c>
      <c r="Q62" s="296">
        <f t="shared" si="29"/>
        <v>93.805253546819358</v>
      </c>
      <c r="R62" s="296">
        <f t="shared" si="30"/>
        <v>2.259013463563142</v>
      </c>
      <c r="S62" s="296">
        <f t="shared" si="54"/>
        <v>0.68570403906894262</v>
      </c>
      <c r="T62" s="296">
        <f t="shared" si="31"/>
        <v>92.112005504696825</v>
      </c>
      <c r="U62" s="296">
        <f t="shared" si="32"/>
        <v>2.2642663147707833</v>
      </c>
      <c r="V62" s="296">
        <f t="shared" si="50"/>
        <v>0.68727989443123505</v>
      </c>
      <c r="W62" s="296">
        <f t="shared" si="34"/>
        <v>92.389748648853995</v>
      </c>
      <c r="X62" s="296">
        <f t="shared" si="35"/>
        <v>2.2633970371397965</v>
      </c>
      <c r="Y62" s="296">
        <f t="shared" si="55"/>
        <v>0.68701911114193892</v>
      </c>
      <c r="Z62" s="296">
        <f t="shared" si="37"/>
        <v>92.343728059525546</v>
      </c>
      <c r="AA62" s="296">
        <f t="shared" si="38"/>
        <v>2.2635408620253945</v>
      </c>
      <c r="AB62" s="296">
        <f t="shared" si="39"/>
        <v>0.68706225860761838</v>
      </c>
      <c r="AC62" s="296">
        <f t="shared" si="40"/>
        <v>92.351340736714903</v>
      </c>
      <c r="AD62" s="296">
        <f t="shared" si="41"/>
        <v>2.2635170649208445</v>
      </c>
      <c r="AE62" s="296">
        <f t="shared" si="56"/>
        <v>0.68705511947625331</v>
      </c>
      <c r="AF62" s="296">
        <f t="shared" si="43"/>
        <v>92.350081108342735</v>
      </c>
      <c r="AG62" s="296">
        <f t="shared" si="44"/>
        <v>2.2635210023412995</v>
      </c>
      <c r="AH62" s="475">
        <f t="shared" si="57"/>
        <v>0.68705630070238988</v>
      </c>
      <c r="AI62" s="475">
        <f t="shared" si="46"/>
        <v>92.350289522701743</v>
      </c>
      <c r="AJ62" s="475">
        <f t="shared" si="47"/>
        <v>2.2635203508631325</v>
      </c>
    </row>
    <row r="63" spans="1:49">
      <c r="K63" s="278">
        <f t="shared" si="25"/>
        <v>90.891891891891902</v>
      </c>
      <c r="L63" s="296">
        <f t="shared" si="26"/>
        <v>2.2894513592964287</v>
      </c>
      <c r="M63" s="296">
        <f t="shared" si="48"/>
        <v>0.69483540778892861</v>
      </c>
      <c r="N63" s="11">
        <f t="shared" si="27"/>
        <v>54.311513141210739</v>
      </c>
      <c r="O63" s="296">
        <f t="shared" si="28"/>
        <v>2.4428735934765013</v>
      </c>
      <c r="P63" s="11">
        <f t="shared" si="49"/>
        <v>0.74086207804295046</v>
      </c>
      <c r="Q63" s="296">
        <f t="shared" si="29"/>
        <v>58.697762649047753</v>
      </c>
      <c r="R63" s="296">
        <f t="shared" si="30"/>
        <v>2.4190328483959185</v>
      </c>
      <c r="S63" s="296">
        <f t="shared" si="54"/>
        <v>0.73370985451877557</v>
      </c>
      <c r="T63" s="296">
        <f t="shared" si="31"/>
        <v>57.993617015363341</v>
      </c>
      <c r="U63" s="296">
        <f t="shared" si="32"/>
        <v>2.4227221133967594</v>
      </c>
      <c r="V63" s="296">
        <f t="shared" si="50"/>
        <v>0.73481663401902786</v>
      </c>
      <c r="W63" s="296">
        <f t="shared" si="34"/>
        <v>58.102025883404828</v>
      </c>
      <c r="X63" s="296">
        <f t="shared" si="35"/>
        <v>2.4221508393515894</v>
      </c>
      <c r="Y63" s="296">
        <f t="shared" si="55"/>
        <v>0.7346452518054768</v>
      </c>
      <c r="Z63" s="296">
        <f t="shared" si="37"/>
        <v>58.085225773138703</v>
      </c>
      <c r="AA63" s="296">
        <f t="shared" si="38"/>
        <v>2.4222392908444688</v>
      </c>
      <c r="AB63" s="296">
        <f t="shared" si="39"/>
        <v>0.73467178725334059</v>
      </c>
      <c r="AC63" s="296">
        <f t="shared" si="40"/>
        <v>58.087826649640881</v>
      </c>
      <c r="AD63" s="296">
        <f t="shared" si="41"/>
        <v>2.4222255955097345</v>
      </c>
      <c r="AE63" s="296">
        <f t="shared" si="56"/>
        <v>0.73466767865292038</v>
      </c>
      <c r="AF63" s="296">
        <f t="shared" si="43"/>
        <v>58.087423936841745</v>
      </c>
      <c r="AG63" s="296">
        <f t="shared" si="44"/>
        <v>2.4222277160136629</v>
      </c>
      <c r="AH63" s="475">
        <f t="shared" si="57"/>
        <v>0.73466831480409889</v>
      </c>
      <c r="AI63" s="475">
        <f t="shared" si="46"/>
        <v>58.087486290306437</v>
      </c>
      <c r="AJ63" s="475">
        <f t="shared" si="47"/>
        <v>2.4222273876873612</v>
      </c>
    </row>
    <row r="64" spans="1:49">
      <c r="K64" s="278">
        <f t="shared" si="25"/>
        <v>53.054054054054049</v>
      </c>
      <c r="L64" s="296">
        <f t="shared" si="26"/>
        <v>2.5694012473805903</v>
      </c>
      <c r="M64" s="296">
        <f t="shared" si="48"/>
        <v>0.77882037421417705</v>
      </c>
      <c r="N64" s="11">
        <f t="shared" si="27"/>
        <v>38.031650295585102</v>
      </c>
      <c r="O64" s="296">
        <f t="shared" si="28"/>
        <v>2.6697128673413189</v>
      </c>
      <c r="P64" s="11">
        <f t="shared" si="49"/>
        <v>0.80891386020239575</v>
      </c>
      <c r="Q64" s="296">
        <f t="shared" si="29"/>
        <v>39.793825265795618</v>
      </c>
      <c r="R64" s="296">
        <f t="shared" si="30"/>
        <v>2.655824707683784</v>
      </c>
      <c r="S64" s="296">
        <f t="shared" si="54"/>
        <v>0.80474741230513525</v>
      </c>
      <c r="T64" s="296">
        <f t="shared" si="31"/>
        <v>39.545065785843803</v>
      </c>
      <c r="U64" s="296">
        <f t="shared" si="32"/>
        <v>2.6577431710659387</v>
      </c>
      <c r="V64" s="296">
        <f t="shared" si="50"/>
        <v>0.80532295131978171</v>
      </c>
      <c r="W64" s="296">
        <f t="shared" si="34"/>
        <v>39.579335790424736</v>
      </c>
      <c r="X64" s="296">
        <f t="shared" si="35"/>
        <v>2.6574780773320472</v>
      </c>
      <c r="Y64" s="296">
        <f t="shared" si="55"/>
        <v>0.80524342319961417</v>
      </c>
      <c r="Z64" s="296">
        <f t="shared" si="37"/>
        <v>39.574598585138077</v>
      </c>
      <c r="AA64" s="296">
        <f t="shared" si="38"/>
        <v>2.657514706451849</v>
      </c>
      <c r="AB64" s="296">
        <f t="shared" si="39"/>
        <v>0.80525441193555469</v>
      </c>
      <c r="AC64" s="296">
        <f t="shared" si="40"/>
        <v>39.575253111020899</v>
      </c>
      <c r="AD64" s="296">
        <f t="shared" si="41"/>
        <v>2.6575096452213227</v>
      </c>
      <c r="AE64" s="296">
        <f t="shared" si="56"/>
        <v>0.80525289356639684</v>
      </c>
      <c r="AF64" s="296">
        <f t="shared" si="43"/>
        <v>39.575162671228597</v>
      </c>
      <c r="AG64" s="296">
        <f t="shared" si="44"/>
        <v>2.6575103445565307</v>
      </c>
      <c r="AH64" s="475">
        <f t="shared" si="57"/>
        <v>0.80525310336695921</v>
      </c>
      <c r="AI64" s="475">
        <f t="shared" si="46"/>
        <v>39.575175167728872</v>
      </c>
      <c r="AJ64" s="475">
        <f t="shared" si="47"/>
        <v>2.6575102479259214</v>
      </c>
    </row>
    <row r="65" spans="11:36">
      <c r="K65" s="278">
        <f t="shared" si="25"/>
        <v>91.664092664092664</v>
      </c>
      <c r="L65" s="296">
        <f t="shared" si="26"/>
        <v>2.1778600711890488</v>
      </c>
      <c r="M65" s="296">
        <f t="shared" si="48"/>
        <v>0.66135802135671462</v>
      </c>
      <c r="N65" s="11">
        <f t="shared" si="27"/>
        <v>58.012010268964907</v>
      </c>
      <c r="O65" s="296">
        <f t="shared" si="28"/>
        <v>2.3198475112652699</v>
      </c>
      <c r="P65" s="11">
        <f t="shared" si="49"/>
        <v>0.70395425337958095</v>
      </c>
      <c r="Q65" s="296">
        <f t="shared" si="29"/>
        <v>61.448195602167289</v>
      </c>
      <c r="R65" s="296">
        <f t="shared" si="30"/>
        <v>2.3015262110781811</v>
      </c>
      <c r="S65" s="296">
        <f t="shared" si="54"/>
        <v>0.69845786332345439</v>
      </c>
      <c r="T65" s="296">
        <f t="shared" si="31"/>
        <v>60.993618807135043</v>
      </c>
      <c r="U65" s="296">
        <f t="shared" si="32"/>
        <v>2.3038832475851048</v>
      </c>
      <c r="V65" s="296">
        <f t="shared" si="50"/>
        <v>0.69916497427553148</v>
      </c>
      <c r="W65" s="296">
        <f t="shared" si="34"/>
        <v>61.051911130341125</v>
      </c>
      <c r="X65" s="296">
        <f t="shared" si="35"/>
        <v>2.3035798968347514</v>
      </c>
      <c r="Y65" s="296">
        <f t="shared" si="55"/>
        <v>0.6990739690504254</v>
      </c>
      <c r="Z65" s="296">
        <f t="shared" si="37"/>
        <v>61.04440578211468</v>
      </c>
      <c r="AA65" s="296">
        <f t="shared" si="38"/>
        <v>2.3036189361465751</v>
      </c>
      <c r="AB65" s="296">
        <f t="shared" si="39"/>
        <v>0.69908568084397249</v>
      </c>
      <c r="AC65" s="296">
        <f t="shared" si="40"/>
        <v>61.045371620954484</v>
      </c>
      <c r="AD65" s="296">
        <f t="shared" si="41"/>
        <v>2.3036139120031991</v>
      </c>
      <c r="AE65" s="296">
        <f t="shared" si="56"/>
        <v>0.69908417360095976</v>
      </c>
      <c r="AF65" s="296">
        <f t="shared" si="43"/>
        <v>61.045247321984284</v>
      </c>
      <c r="AG65" s="296">
        <f t="shared" si="44"/>
        <v>2.3036145585821117</v>
      </c>
      <c r="AH65" s="475">
        <f t="shared" si="57"/>
        <v>0.69908436757463355</v>
      </c>
      <c r="AI65" s="475">
        <f t="shared" si="46"/>
        <v>61.045263318546432</v>
      </c>
      <c r="AJ65" s="475">
        <f t="shared" si="47"/>
        <v>2.3036144753710439</v>
      </c>
    </row>
    <row r="66" spans="11:36">
      <c r="K66" s="278">
        <f t="shared" si="25"/>
        <v>66.567567567567565</v>
      </c>
      <c r="L66" s="296">
        <f t="shared" si="26"/>
        <v>2.193031506385922</v>
      </c>
      <c r="M66" s="296">
        <f t="shared" si="48"/>
        <v>0.66590945191577666</v>
      </c>
      <c r="N66" s="11">
        <f t="shared" si="27"/>
        <v>44.322703812629463</v>
      </c>
      <c r="O66" s="296">
        <f t="shared" si="28"/>
        <v>2.3285908314323076</v>
      </c>
      <c r="P66" s="11">
        <f t="shared" si="49"/>
        <v>0.70657724942969224</v>
      </c>
      <c r="Q66" s="296">
        <f t="shared" si="29"/>
        <v>46.57229582151281</v>
      </c>
      <c r="R66" s="296">
        <f t="shared" si="30"/>
        <v>2.3117931109093588</v>
      </c>
      <c r="S66" s="296">
        <f t="shared" si="54"/>
        <v>0.70153793327280767</v>
      </c>
      <c r="T66" s="296">
        <f t="shared" si="31"/>
        <v>46.287456738985725</v>
      </c>
      <c r="U66" s="296">
        <f t="shared" si="32"/>
        <v>2.3138703604607063</v>
      </c>
      <c r="V66" s="296">
        <f t="shared" si="50"/>
        <v>0.70216110813821186</v>
      </c>
      <c r="W66" s="296">
        <f t="shared" si="34"/>
        <v>46.322586063975272</v>
      </c>
      <c r="X66" s="296">
        <f t="shared" si="35"/>
        <v>2.3136134172162723</v>
      </c>
      <c r="Y66" s="296">
        <f t="shared" si="55"/>
        <v>0.70208402516488166</v>
      </c>
      <c r="Z66" s="296">
        <f t="shared" si="37"/>
        <v>46.318239333759159</v>
      </c>
      <c r="AA66" s="296">
        <f t="shared" si="38"/>
        <v>2.3136451985499384</v>
      </c>
      <c r="AB66" s="296">
        <f t="shared" si="39"/>
        <v>0.70209355956498154</v>
      </c>
      <c r="AC66" s="296">
        <f t="shared" si="40"/>
        <v>46.31877695911556</v>
      </c>
      <c r="AD66" s="296">
        <f t="shared" si="41"/>
        <v>2.3136412674985918</v>
      </c>
      <c r="AE66" s="296">
        <f t="shared" si="56"/>
        <v>0.70209238024957754</v>
      </c>
      <c r="AF66" s="296">
        <f t="shared" si="43"/>
        <v>46.318710459589397</v>
      </c>
      <c r="AG66" s="296">
        <f t="shared" si="44"/>
        <v>2.313641753732349</v>
      </c>
      <c r="AH66" s="475">
        <f t="shared" si="57"/>
        <v>0.70209252611970474</v>
      </c>
      <c r="AI66" s="475">
        <f t="shared" si="46"/>
        <v>46.31871868494472</v>
      </c>
      <c r="AJ66" s="475">
        <f t="shared" si="47"/>
        <v>2.313641693589843</v>
      </c>
    </row>
    <row r="67" spans="11:36">
      <c r="K67" s="278">
        <f t="shared" si="25"/>
        <v>56.647058823529406</v>
      </c>
      <c r="L67" s="296">
        <f t="shared" si="26"/>
        <v>2.4195342986502824</v>
      </c>
      <c r="M67" s="296">
        <f t="shared" si="48"/>
        <v>0.73386028959508476</v>
      </c>
      <c r="N67" s="11">
        <f t="shared" si="27"/>
        <v>34.37093759178186</v>
      </c>
      <c r="O67" s="296">
        <f t="shared" si="28"/>
        <v>2.5780384106007794</v>
      </c>
      <c r="P67" s="11">
        <f t="shared" si="49"/>
        <v>0.78141152318023388</v>
      </c>
      <c r="Q67" s="296">
        <f t="shared" si="29"/>
        <v>37.580305603822488</v>
      </c>
      <c r="R67" s="296">
        <f t="shared" si="30"/>
        <v>2.5490864444190935</v>
      </c>
      <c r="S67" s="296">
        <f t="shared" si="54"/>
        <v>0.77272593332572814</v>
      </c>
      <c r="T67" s="296">
        <f t="shared" si="31"/>
        <v>36.972504598843649</v>
      </c>
      <c r="U67" s="296">
        <f t="shared" si="32"/>
        <v>2.5543553104132348</v>
      </c>
      <c r="V67" s="296">
        <f t="shared" si="50"/>
        <v>0.77430659312397054</v>
      </c>
      <c r="W67" s="296">
        <f t="shared" si="34"/>
        <v>37.082379752933669</v>
      </c>
      <c r="X67" s="296">
        <f t="shared" si="35"/>
        <v>2.553395795548965</v>
      </c>
      <c r="Y67" s="296">
        <f t="shared" si="55"/>
        <v>0.77401873866468951</v>
      </c>
      <c r="Z67" s="296">
        <f t="shared" si="37"/>
        <v>37.062346064530878</v>
      </c>
      <c r="AA67" s="296">
        <f t="shared" si="38"/>
        <v>2.5535705115206997</v>
      </c>
      <c r="AB67" s="296">
        <f t="shared" si="39"/>
        <v>0.77407115345620991</v>
      </c>
      <c r="AC67" s="296">
        <f t="shared" si="40"/>
        <v>37.065993149088662</v>
      </c>
      <c r="AD67" s="296">
        <f t="shared" si="41"/>
        <v>2.5535386971539169</v>
      </c>
      <c r="AE67" s="296">
        <f t="shared" si="56"/>
        <v>0.77406160914617517</v>
      </c>
      <c r="AF67" s="296">
        <f t="shared" si="43"/>
        <v>37.065329017734058</v>
      </c>
      <c r="AG67" s="296">
        <f t="shared" si="44"/>
        <v>2.5535444902693145</v>
      </c>
      <c r="AH67" s="475">
        <f t="shared" si="57"/>
        <v>0.77406334708079438</v>
      </c>
      <c r="AI67" s="475">
        <f t="shared" si="46"/>
        <v>37.065449949305972</v>
      </c>
      <c r="AJ67" s="475">
        <f t="shared" si="47"/>
        <v>2.5535434353933431</v>
      </c>
    </row>
    <row r="68" spans="11:36">
      <c r="K68" s="278">
        <f t="shared" si="25"/>
        <v>56.64705882352942</v>
      </c>
      <c r="L68" s="296">
        <f t="shared" si="26"/>
        <v>2.1057708574581615</v>
      </c>
      <c r="M68" s="296">
        <f t="shared" si="48"/>
        <v>0.6397312572374485</v>
      </c>
      <c r="N68" s="11">
        <f t="shared" si="27"/>
        <v>29.917973017486819</v>
      </c>
      <c r="O68" s="296">
        <f t="shared" si="28"/>
        <v>2.3373269930822458</v>
      </c>
      <c r="P68" s="11">
        <f t="shared" si="49"/>
        <v>0.7091980979246737</v>
      </c>
      <c r="Q68" s="296">
        <f t="shared" si="29"/>
        <v>33.836890685919172</v>
      </c>
      <c r="R68" s="296">
        <f t="shared" si="30"/>
        <v>2.2918892596790656</v>
      </c>
      <c r="S68" s="296">
        <f t="shared" si="54"/>
        <v>0.69556677790371968</v>
      </c>
      <c r="T68" s="296">
        <f t="shared" si="31"/>
        <v>33.029382263335911</v>
      </c>
      <c r="U68" s="296">
        <f t="shared" si="32"/>
        <v>2.3007782151953933</v>
      </c>
      <c r="V68" s="296">
        <f t="shared" si="50"/>
        <v>0.69823346455861801</v>
      </c>
      <c r="W68" s="296">
        <f t="shared" si="34"/>
        <v>33.185823794750739</v>
      </c>
      <c r="X68" s="296">
        <f t="shared" si="35"/>
        <v>2.2990382125478801</v>
      </c>
      <c r="Y68" s="296">
        <f t="shared" si="55"/>
        <v>0.69771146376436399</v>
      </c>
      <c r="Z68" s="296">
        <f t="shared" si="37"/>
        <v>33.155142331430596</v>
      </c>
      <c r="AA68" s="296">
        <f t="shared" si="38"/>
        <v>2.2993787755086732</v>
      </c>
      <c r="AB68" s="296">
        <f t="shared" si="39"/>
        <v>0.69781363265260199</v>
      </c>
      <c r="AC68" s="296">
        <f t="shared" si="40"/>
        <v>33.161145243983349</v>
      </c>
      <c r="AD68" s="296">
        <f t="shared" si="41"/>
        <v>2.2993121170850972</v>
      </c>
      <c r="AE68" s="296">
        <f t="shared" si="56"/>
        <v>0.69779363512552917</v>
      </c>
      <c r="AF68" s="296">
        <f t="shared" si="43"/>
        <v>33.159970207747499</v>
      </c>
      <c r="AG68" s="296">
        <f t="shared" si="44"/>
        <v>2.2993251640857362</v>
      </c>
      <c r="AH68" s="475">
        <f t="shared" si="57"/>
        <v>0.6977975492257209</v>
      </c>
      <c r="AI68" s="475">
        <f t="shared" si="46"/>
        <v>33.160200193385357</v>
      </c>
      <c r="AJ68" s="475">
        <f t="shared" si="47"/>
        <v>2.2993226104043178</v>
      </c>
    </row>
    <row r="69" spans="11:36">
      <c r="K69" s="278">
        <f t="shared" si="25"/>
        <v>56.647058823529406</v>
      </c>
      <c r="L69" s="296">
        <f t="shared" si="26"/>
        <v>2.1671743220308568</v>
      </c>
      <c r="M69" s="296">
        <f t="shared" si="48"/>
        <v>0.658152296609257</v>
      </c>
      <c r="N69" s="11">
        <f t="shared" si="27"/>
        <v>31.934350764290752</v>
      </c>
      <c r="O69" s="296">
        <f t="shared" si="28"/>
        <v>2.3692416163099144</v>
      </c>
      <c r="P69" s="11">
        <f t="shared" si="49"/>
        <v>0.71877248489297429</v>
      </c>
      <c r="Q69" s="296">
        <f t="shared" si="29"/>
        <v>35.350795415647362</v>
      </c>
      <c r="R69" s="296">
        <f t="shared" si="30"/>
        <v>2.3327482198057861</v>
      </c>
      <c r="S69" s="296">
        <f t="shared" si="54"/>
        <v>0.70782446594173587</v>
      </c>
      <c r="T69" s="296">
        <f t="shared" si="31"/>
        <v>34.707816946205782</v>
      </c>
      <c r="U69" s="296">
        <f t="shared" si="32"/>
        <v>2.3393194300683962</v>
      </c>
      <c r="V69" s="296">
        <f t="shared" si="50"/>
        <v>0.70979582902051885</v>
      </c>
      <c r="W69" s="296">
        <f t="shared" si="34"/>
        <v>34.822725774277835</v>
      </c>
      <c r="X69" s="296">
        <f t="shared" si="35"/>
        <v>2.338135537120912</v>
      </c>
      <c r="Y69" s="296">
        <f t="shared" si="55"/>
        <v>0.70944066113627358</v>
      </c>
      <c r="Z69" s="296">
        <f t="shared" si="37"/>
        <v>34.801995325836543</v>
      </c>
      <c r="AA69" s="296">
        <f t="shared" si="38"/>
        <v>2.3383488107335082</v>
      </c>
      <c r="AB69" s="296">
        <f t="shared" si="39"/>
        <v>0.70950464322005247</v>
      </c>
      <c r="AC69" s="296">
        <f t="shared" si="40"/>
        <v>34.805728922226351</v>
      </c>
      <c r="AD69" s="296">
        <f t="shared" si="41"/>
        <v>2.3383103896634552</v>
      </c>
      <c r="AE69" s="296">
        <f t="shared" si="56"/>
        <v>0.7094931168990366</v>
      </c>
      <c r="AF69" s="296">
        <f t="shared" si="43"/>
        <v>34.805056288256729</v>
      </c>
      <c r="AG69" s="296">
        <f t="shared" si="44"/>
        <v>2.3383173111664441</v>
      </c>
      <c r="AH69" s="475">
        <f t="shared" si="57"/>
        <v>0.70949519334993327</v>
      </c>
      <c r="AI69" s="475">
        <f t="shared" si="46"/>
        <v>34.805177461382378</v>
      </c>
      <c r="AJ69" s="475">
        <f t="shared" si="47"/>
        <v>2.3383160642664773</v>
      </c>
    </row>
    <row r="70" spans="11:36">
      <c r="K70" s="278">
        <f t="shared" si="25"/>
        <v>27.235294117647062</v>
      </c>
      <c r="L70" s="296">
        <f t="shared" si="26"/>
        <v>2.4142222624582956</v>
      </c>
      <c r="M70" s="296">
        <f t="shared" si="48"/>
        <v>0.73226667873748874</v>
      </c>
      <c r="N70" s="11">
        <f t="shared" si="27"/>
        <v>17.794961857914142</v>
      </c>
      <c r="O70" s="296">
        <f t="shared" si="28"/>
        <v>2.5719375524846066</v>
      </c>
      <c r="P70" s="11">
        <f t="shared" si="49"/>
        <v>0.779581265745382</v>
      </c>
      <c r="Q70" s="296">
        <f t="shared" si="29"/>
        <v>19.184992112175649</v>
      </c>
      <c r="R70" s="296">
        <f t="shared" si="30"/>
        <v>2.5438000102931513</v>
      </c>
      <c r="S70" s="296">
        <f t="shared" si="54"/>
        <v>0.77114000308794539</v>
      </c>
      <c r="T70" s="296">
        <f t="shared" si="31"/>
        <v>18.929277235368751</v>
      </c>
      <c r="U70" s="296">
        <f t="shared" si="32"/>
        <v>2.5488120355651036</v>
      </c>
      <c r="V70" s="296">
        <f t="shared" si="50"/>
        <v>0.77264361066953113</v>
      </c>
      <c r="W70" s="296">
        <f t="shared" si="34"/>
        <v>18.974575874914944</v>
      </c>
      <c r="X70" s="296">
        <f t="shared" si="35"/>
        <v>2.5479190100341067</v>
      </c>
      <c r="Y70" s="296">
        <f t="shared" si="55"/>
        <v>0.77237570301023206</v>
      </c>
      <c r="Z70" s="296">
        <f t="shared" si="37"/>
        <v>18.96649678899125</v>
      </c>
      <c r="AA70" s="296">
        <f t="shared" si="38"/>
        <v>2.5480781182241157</v>
      </c>
      <c r="AB70" s="296">
        <f t="shared" si="39"/>
        <v>0.7724234354672348</v>
      </c>
      <c r="AC70" s="296">
        <f t="shared" si="40"/>
        <v>18.967935968221294</v>
      </c>
      <c r="AD70" s="296">
        <f t="shared" si="41"/>
        <v>2.5480497700488001</v>
      </c>
      <c r="AE70" s="296">
        <f t="shared" si="56"/>
        <v>0.77241493101463998</v>
      </c>
      <c r="AF70" s="296">
        <f t="shared" si="43"/>
        <v>18.967679542846955</v>
      </c>
      <c r="AG70" s="296">
        <f t="shared" si="44"/>
        <v>2.548054820811763</v>
      </c>
      <c r="AH70" s="475">
        <f t="shared" si="57"/>
        <v>0.77241644624352901</v>
      </c>
      <c r="AI70" s="475">
        <f t="shared" si="46"/>
        <v>18.967725229617777</v>
      </c>
      <c r="AJ70" s="475">
        <f t="shared" si="47"/>
        <v>2.5480539209226687</v>
      </c>
    </row>
    <row r="71" spans="11:36">
      <c r="K71" s="278">
        <f t="shared" si="25"/>
        <v>20.447963800904976</v>
      </c>
      <c r="L71" s="296">
        <f t="shared" si="26"/>
        <v>2.9332078322206945</v>
      </c>
      <c r="M71" s="296">
        <f t="shared" si="48"/>
        <v>0.88796234966620835</v>
      </c>
      <c r="N71" s="11">
        <f t="shared" si="27"/>
        <v>17.266221916830709</v>
      </c>
      <c r="O71" s="296">
        <f t="shared" si="28"/>
        <v>2.9876954114141081</v>
      </c>
      <c r="P71" s="11">
        <f t="shared" si="49"/>
        <v>0.90430862342423246</v>
      </c>
      <c r="Q71" s="296">
        <f t="shared" si="29"/>
        <v>17.697587238646555</v>
      </c>
      <c r="R71" s="296">
        <f t="shared" si="30"/>
        <v>2.9796949463486126</v>
      </c>
      <c r="S71" s="296">
        <f t="shared" si="54"/>
        <v>0.90190848390458389</v>
      </c>
      <c r="T71" s="296">
        <f t="shared" si="31"/>
        <v>17.633580785179422</v>
      </c>
      <c r="U71" s="296">
        <f t="shared" si="32"/>
        <v>2.9808685942306017</v>
      </c>
      <c r="V71" s="296">
        <f t="shared" si="50"/>
        <v>0.9022605782691806</v>
      </c>
      <c r="W71" s="296">
        <f t="shared" si="34"/>
        <v>17.642955860393648</v>
      </c>
      <c r="X71" s="296">
        <f t="shared" si="35"/>
        <v>2.9806964000019809</v>
      </c>
      <c r="Y71" s="296">
        <f t="shared" si="55"/>
        <v>0.90220892000059427</v>
      </c>
      <c r="Z71" s="296">
        <f t="shared" si="37"/>
        <v>17.641580064491141</v>
      </c>
      <c r="AA71" s="296">
        <f t="shared" si="38"/>
        <v>2.9807216633457108</v>
      </c>
      <c r="AB71" s="296">
        <f t="shared" si="39"/>
        <v>0.90221649900371326</v>
      </c>
      <c r="AC71" s="296">
        <f t="shared" si="40"/>
        <v>17.641781906612529</v>
      </c>
      <c r="AD71" s="296">
        <f t="shared" si="41"/>
        <v>2.9807179568429945</v>
      </c>
      <c r="AE71" s="296">
        <f t="shared" si="56"/>
        <v>0.90221538705289839</v>
      </c>
      <c r="AF71" s="296">
        <f t="shared" si="43"/>
        <v>17.641752293271121</v>
      </c>
      <c r="AG71" s="296">
        <f t="shared" si="44"/>
        <v>2.9807185006410255</v>
      </c>
      <c r="AH71" s="475">
        <f t="shared" si="57"/>
        <v>0.9022155501923077</v>
      </c>
      <c r="AI71" s="475">
        <f t="shared" si="46"/>
        <v>17.641756637977291</v>
      </c>
      <c r="AJ71" s="475">
        <f t="shared" si="47"/>
        <v>2.9807184208579143</v>
      </c>
    </row>
    <row r="72" spans="11:36">
      <c r="K72" s="278">
        <f t="shared" si="25"/>
        <v>31.436974789915968</v>
      </c>
      <c r="L72" s="296">
        <f t="shared" si="26"/>
        <v>2.9068480453232475</v>
      </c>
      <c r="M72" s="296">
        <f t="shared" si="48"/>
        <v>0.88005441359697434</v>
      </c>
      <c r="N72" s="11">
        <f t="shared" si="27"/>
        <v>26.464512867731653</v>
      </c>
      <c r="O72" s="296">
        <f t="shared" si="28"/>
        <v>2.9581008501770989</v>
      </c>
      <c r="P72" s="11">
        <f t="shared" si="49"/>
        <v>0.89543025505312968</v>
      </c>
      <c r="Q72" s="296">
        <f t="shared" si="29"/>
        <v>27.055125835516993</v>
      </c>
      <c r="R72" s="296">
        <f t="shared" si="30"/>
        <v>2.9514746169072841</v>
      </c>
      <c r="S72" s="296">
        <f t="shared" si="54"/>
        <v>0.89344238507218532</v>
      </c>
      <c r="T72" s="296">
        <f t="shared" si="31"/>
        <v>26.978032545783226</v>
      </c>
      <c r="U72" s="296">
        <f t="shared" si="32"/>
        <v>2.9523303766543672</v>
      </c>
      <c r="V72" s="296">
        <f t="shared" si="50"/>
        <v>0.89369911299631011</v>
      </c>
      <c r="W72" s="296">
        <f t="shared" si="34"/>
        <v>26.98797656489328</v>
      </c>
      <c r="X72" s="296">
        <f t="shared" si="35"/>
        <v>2.9522198423386756</v>
      </c>
      <c r="Y72" s="296">
        <f t="shared" si="55"/>
        <v>0.89366595270160265</v>
      </c>
      <c r="Z72" s="296">
        <f t="shared" si="37"/>
        <v>26.986691938297863</v>
      </c>
      <c r="AA72" s="296">
        <f t="shared" si="38"/>
        <v>2.9522341192622674</v>
      </c>
      <c r="AB72" s="296">
        <f t="shared" si="39"/>
        <v>0.89367023577868032</v>
      </c>
      <c r="AC72" s="296">
        <f t="shared" si="40"/>
        <v>26.986857860848719</v>
      </c>
      <c r="AD72" s="296">
        <f t="shared" si="41"/>
        <v>2.9522322752103398</v>
      </c>
      <c r="AE72" s="296">
        <f t="shared" si="56"/>
        <v>0.89366968256310197</v>
      </c>
      <c r="AF72" s="296">
        <f t="shared" si="43"/>
        <v>26.98683642971778</v>
      </c>
      <c r="AG72" s="296">
        <f t="shared" si="44"/>
        <v>2.9522325133937599</v>
      </c>
      <c r="AH72" s="475">
        <f t="shared" si="57"/>
        <v>0.89366975401812798</v>
      </c>
      <c r="AI72" s="475">
        <f t="shared" si="46"/>
        <v>26.986839197827624</v>
      </c>
      <c r="AJ72" s="475">
        <f t="shared" si="47"/>
        <v>2.9522324826292556</v>
      </c>
    </row>
    <row r="73" spans="11:36">
      <c r="K73" s="278">
        <f t="shared" si="25"/>
        <v>139</v>
      </c>
      <c r="L73" s="296">
        <f t="shared" si="26"/>
        <v>2.1528644538817674</v>
      </c>
      <c r="M73" s="296">
        <f t="shared" si="48"/>
        <v>0.65385933616453018</v>
      </c>
      <c r="N73" s="11">
        <f t="shared" si="27"/>
        <v>86.615222300139706</v>
      </c>
      <c r="O73" s="296">
        <f t="shared" si="28"/>
        <v>2.2852140157300305</v>
      </c>
      <c r="P73" s="11">
        <f t="shared" si="49"/>
        <v>0.69356420471900915</v>
      </c>
      <c r="Q73" s="296">
        <f t="shared" si="29"/>
        <v>91.444474492240872</v>
      </c>
      <c r="R73" s="296">
        <f t="shared" si="30"/>
        <v>2.2694804298280467</v>
      </c>
      <c r="S73" s="296">
        <f t="shared" si="54"/>
        <v>0.68884412894841396</v>
      </c>
      <c r="T73" s="296">
        <f t="shared" si="31"/>
        <v>90.856560748484554</v>
      </c>
      <c r="U73" s="296">
        <f t="shared" si="32"/>
        <v>2.2713437284706939</v>
      </c>
      <c r="V73" s="296">
        <f t="shared" si="50"/>
        <v>0.68940311854120817</v>
      </c>
      <c r="W73" s="296">
        <f t="shared" si="34"/>
        <v>90.925988468576151</v>
      </c>
      <c r="X73" s="296">
        <f t="shared" si="35"/>
        <v>2.2711229610057844</v>
      </c>
      <c r="Y73" s="296">
        <f t="shared" si="55"/>
        <v>0.68933688830173534</v>
      </c>
      <c r="Z73" s="296">
        <f t="shared" si="37"/>
        <v>90.917759759410714</v>
      </c>
      <c r="AA73" s="296">
        <f t="shared" si="38"/>
        <v>2.2711491165804216</v>
      </c>
      <c r="AB73" s="296">
        <f t="shared" si="39"/>
        <v>0.68934473497412652</v>
      </c>
      <c r="AC73" s="296">
        <f t="shared" si="40"/>
        <v>90.918734622402724</v>
      </c>
      <c r="AD73" s="296">
        <f t="shared" si="41"/>
        <v>2.2711460177612448</v>
      </c>
      <c r="AE73" s="296">
        <f t="shared" si="56"/>
        <v>0.68934380532837347</v>
      </c>
      <c r="AF73" s="296">
        <f t="shared" si="43"/>
        <v>90.918619123567268</v>
      </c>
      <c r="AG73" s="296">
        <f t="shared" si="44"/>
        <v>2.271146384898008</v>
      </c>
      <c r="AH73" s="475">
        <f t="shared" si="57"/>
        <v>0.68934391546940244</v>
      </c>
      <c r="AI73" s="475">
        <f t="shared" si="46"/>
        <v>90.918632807439238</v>
      </c>
      <c r="AJ73" s="475">
        <f t="shared" si="47"/>
        <v>2.2711463414009834</v>
      </c>
    </row>
    <row r="74" spans="11:36">
      <c r="K74" s="278">
        <f t="shared" si="25"/>
        <v>137.52941176470588</v>
      </c>
      <c r="L74" s="296">
        <f t="shared" si="26"/>
        <v>1.9145071733868095</v>
      </c>
      <c r="M74" s="296">
        <f t="shared" si="48"/>
        <v>0.58235215201604285</v>
      </c>
      <c r="N74" s="11">
        <f t="shared" si="27"/>
        <v>79.844407969788563</v>
      </c>
      <c r="O74" s="296">
        <f t="shared" si="28"/>
        <v>2.0856712809283655</v>
      </c>
      <c r="P74" s="11">
        <f t="shared" si="49"/>
        <v>0.63370138427850964</v>
      </c>
      <c r="Q74" s="296">
        <f t="shared" si="29"/>
        <v>85.364825660221982</v>
      </c>
      <c r="R74" s="296">
        <f t="shared" si="30"/>
        <v>2.0639355237220651</v>
      </c>
      <c r="S74" s="296">
        <f t="shared" si="54"/>
        <v>0.62718065711661952</v>
      </c>
      <c r="T74" s="296">
        <f t="shared" si="31"/>
        <v>84.643173098580945</v>
      </c>
      <c r="U74" s="296">
        <f t="shared" si="32"/>
        <v>2.0666857614527667</v>
      </c>
      <c r="V74" s="296">
        <f t="shared" si="50"/>
        <v>0.62800572843583002</v>
      </c>
      <c r="W74" s="296">
        <f t="shared" si="34"/>
        <v>84.734146008253632</v>
      </c>
      <c r="X74" s="296">
        <f t="shared" si="35"/>
        <v>2.0663376110377634</v>
      </c>
      <c r="Y74" s="296">
        <f t="shared" si="55"/>
        <v>0.62790128331132899</v>
      </c>
      <c r="Z74" s="296">
        <f t="shared" si="37"/>
        <v>84.722624416615716</v>
      </c>
      <c r="AA74" s="296">
        <f t="shared" si="38"/>
        <v>2.0663816805430315</v>
      </c>
      <c r="AB74" s="296">
        <f t="shared" si="39"/>
        <v>0.6279145041629095</v>
      </c>
      <c r="AC74" s="296">
        <f t="shared" si="40"/>
        <v>84.724082753786377</v>
      </c>
      <c r="AD74" s="296">
        <f t="shared" si="41"/>
        <v>2.0663761021045013</v>
      </c>
      <c r="AE74" s="296">
        <f t="shared" si="56"/>
        <v>0.62791283063135039</v>
      </c>
      <c r="AF74" s="296">
        <f t="shared" si="43"/>
        <v>84.723898152090342</v>
      </c>
      <c r="AG74" s="296">
        <f t="shared" si="44"/>
        <v>2.0663768082378482</v>
      </c>
      <c r="AH74" s="475">
        <f t="shared" si="57"/>
        <v>0.62791304247135449</v>
      </c>
      <c r="AI74" s="475">
        <f t="shared" si="46"/>
        <v>84.723921519433858</v>
      </c>
      <c r="AJ74" s="475">
        <f t="shared" si="47"/>
        <v>2.0663767188536308</v>
      </c>
    </row>
    <row r="75" spans="11:36">
      <c r="K75" s="278">
        <f t="shared" si="25"/>
        <v>177.75432525951558</v>
      </c>
      <c r="L75" s="296">
        <f t="shared" si="26"/>
        <v>2.1089581329978055</v>
      </c>
      <c r="M75" s="296">
        <f t="shared" si="48"/>
        <v>0.64068743989934163</v>
      </c>
      <c r="N75" s="11">
        <f t="shared" si="27"/>
        <v>113.79259483913499</v>
      </c>
      <c r="O75" s="296">
        <f t="shared" si="28"/>
        <v>2.226643039460305</v>
      </c>
      <c r="P75" s="11">
        <f t="shared" si="49"/>
        <v>0.67599291183809151</v>
      </c>
      <c r="Q75" s="296">
        <f t="shared" si="29"/>
        <v>118.89052831550755</v>
      </c>
      <c r="R75" s="296">
        <f t="shared" si="30"/>
        <v>2.2146060104275058</v>
      </c>
      <c r="S75" s="296">
        <f t="shared" si="54"/>
        <v>0.6723818031282518</v>
      </c>
      <c r="T75" s="296">
        <f t="shared" si="31"/>
        <v>118.35878558245452</v>
      </c>
      <c r="U75" s="296">
        <f t="shared" si="32"/>
        <v>2.2158326761193345</v>
      </c>
      <c r="V75" s="296">
        <f t="shared" si="50"/>
        <v>0.67274980283580033</v>
      </c>
      <c r="W75" s="296">
        <f t="shared" si="34"/>
        <v>118.41286523975653</v>
      </c>
      <c r="X75" s="296">
        <f t="shared" si="35"/>
        <v>2.2157076222701688</v>
      </c>
      <c r="Y75" s="296">
        <f t="shared" si="55"/>
        <v>0.67271228668105065</v>
      </c>
      <c r="Z75" s="296">
        <f t="shared" si="37"/>
        <v>118.40735089576565</v>
      </c>
      <c r="AA75" s="296">
        <f t="shared" si="38"/>
        <v>2.2157203705390467</v>
      </c>
      <c r="AB75" s="296">
        <f t="shared" si="39"/>
        <v>0.67271611116171404</v>
      </c>
      <c r="AC75" s="296">
        <f t="shared" si="40"/>
        <v>118.40791302856151</v>
      </c>
      <c r="AD75" s="296">
        <f t="shared" si="41"/>
        <v>2.2157190709469314</v>
      </c>
      <c r="AE75" s="296">
        <f t="shared" si="56"/>
        <v>0.67271572128407942</v>
      </c>
      <c r="AF75" s="296">
        <f t="shared" si="43"/>
        <v>118.40785572314118</v>
      </c>
      <c r="AG75" s="296">
        <f t="shared" si="44"/>
        <v>2.2157192034307225</v>
      </c>
      <c r="AH75" s="475">
        <f t="shared" si="57"/>
        <v>0.67271576102921671</v>
      </c>
      <c r="AI75" s="475">
        <f t="shared" si="46"/>
        <v>118.40786156500307</v>
      </c>
      <c r="AJ75" s="475">
        <f t="shared" si="47"/>
        <v>2.2157191899249811</v>
      </c>
    </row>
    <row r="76" spans="11:36">
      <c r="K76" s="278">
        <f t="shared" si="25"/>
        <v>115.47058823529413</v>
      </c>
      <c r="L76" s="296">
        <f t="shared" si="26"/>
        <v>2.1589473001133554</v>
      </c>
      <c r="M76" s="296">
        <f t="shared" si="48"/>
        <v>0.65568419003400669</v>
      </c>
      <c r="N76" s="11">
        <f t="shared" si="27"/>
        <v>76.80635134805668</v>
      </c>
      <c r="O76" s="296">
        <f t="shared" si="28"/>
        <v>2.2783509089849066</v>
      </c>
      <c r="P76" s="11">
        <f t="shared" si="49"/>
        <v>0.69150527269547202</v>
      </c>
      <c r="Q76" s="296">
        <f t="shared" si="29"/>
        <v>80.134429595471175</v>
      </c>
      <c r="R76" s="296">
        <f t="shared" si="30"/>
        <v>2.2655769858209345</v>
      </c>
      <c r="S76" s="296">
        <f t="shared" si="54"/>
        <v>0.68767309574628033</v>
      </c>
      <c r="T76" s="296">
        <f t="shared" si="31"/>
        <v>79.771607445186447</v>
      </c>
      <c r="U76" s="296">
        <f t="shared" si="32"/>
        <v>2.2669398407418626</v>
      </c>
      <c r="V76" s="296">
        <f t="shared" si="50"/>
        <v>0.68808195222255875</v>
      </c>
      <c r="W76" s="296">
        <f t="shared" si="34"/>
        <v>79.810238670321368</v>
      </c>
      <c r="X76" s="296">
        <f t="shared" si="35"/>
        <v>2.2667943946041667</v>
      </c>
      <c r="Y76" s="296">
        <f t="shared" si="55"/>
        <v>0.68803831838124996</v>
      </c>
      <c r="Z76" s="296">
        <f t="shared" si="37"/>
        <v>79.806114990318093</v>
      </c>
      <c r="AA76" s="296">
        <f t="shared" si="38"/>
        <v>2.2668099163723854</v>
      </c>
      <c r="AB76" s="296">
        <f t="shared" si="39"/>
        <v>0.68804297491171562</v>
      </c>
      <c r="AC76" s="296">
        <f t="shared" si="40"/>
        <v>79.806555052385747</v>
      </c>
      <c r="AD76" s="296">
        <f t="shared" si="41"/>
        <v>2.2668082599097548</v>
      </c>
      <c r="AE76" s="296">
        <f t="shared" si="56"/>
        <v>0.68804247797292639</v>
      </c>
      <c r="AF76" s="296">
        <f t="shared" si="43"/>
        <v>79.806508089426671</v>
      </c>
      <c r="AG76" s="296">
        <f t="shared" si="44"/>
        <v>2.2668084366851988</v>
      </c>
      <c r="AH76" s="475">
        <f t="shared" si="57"/>
        <v>0.68804253100555968</v>
      </c>
      <c r="AI76" s="475">
        <f t="shared" si="46"/>
        <v>79.806513101248626</v>
      </c>
      <c r="AJ76" s="475">
        <f t="shared" si="47"/>
        <v>2.2668084178199628</v>
      </c>
    </row>
    <row r="77" spans="11:36">
      <c r="K77" s="278">
        <f t="shared" si="25"/>
        <v>96.89473684210526</v>
      </c>
      <c r="L77" s="296">
        <f t="shared" si="26"/>
        <v>2.2275022851547517</v>
      </c>
      <c r="M77" s="296">
        <f t="shared" si="48"/>
        <v>0.67625068554642553</v>
      </c>
      <c r="N77" s="11">
        <f t="shared" si="27"/>
        <v>67.205503727182645</v>
      </c>
      <c r="O77" s="296">
        <f t="shared" si="28"/>
        <v>2.3363476099515874</v>
      </c>
      <c r="P77" s="11">
        <f t="shared" si="49"/>
        <v>0.70890428298547625</v>
      </c>
      <c r="Q77" s="296">
        <f t="shared" si="29"/>
        <v>69.731843031954497</v>
      </c>
      <c r="R77" s="296">
        <f t="shared" si="30"/>
        <v>2.3251080707373033</v>
      </c>
      <c r="S77" s="296">
        <f t="shared" si="54"/>
        <v>0.70553242122119098</v>
      </c>
      <c r="T77" s="296">
        <f t="shared" si="31"/>
        <v>69.466631912659409</v>
      </c>
      <c r="U77" s="296">
        <f t="shared" si="32"/>
        <v>2.3262660855905777</v>
      </c>
      <c r="V77" s="296">
        <f t="shared" si="50"/>
        <v>0.70587982567717333</v>
      </c>
      <c r="W77" s="296">
        <f t="shared" si="34"/>
        <v>69.493910061420436</v>
      </c>
      <c r="X77" s="296">
        <f t="shared" si="35"/>
        <v>2.3261467470273867</v>
      </c>
      <c r="Y77" s="296">
        <f t="shared" si="55"/>
        <v>0.70584402410821601</v>
      </c>
      <c r="Z77" s="296">
        <f t="shared" si="37"/>
        <v>69.491098432301428</v>
      </c>
      <c r="AA77" s="296">
        <f t="shared" si="38"/>
        <v>2.3261590451006011</v>
      </c>
      <c r="AB77" s="296">
        <f t="shared" si="39"/>
        <v>0.70584771353018039</v>
      </c>
      <c r="AC77" s="296">
        <f t="shared" si="40"/>
        <v>69.491388170944376</v>
      </c>
      <c r="AD77" s="296">
        <f t="shared" si="41"/>
        <v>2.326157777756884</v>
      </c>
      <c r="AE77" s="296">
        <f t="shared" si="56"/>
        <v>0.70584733332706517</v>
      </c>
      <c r="AF77" s="296">
        <f t="shared" si="43"/>
        <v>69.491358312678855</v>
      </c>
      <c r="AG77" s="296">
        <f t="shared" si="44"/>
        <v>2.3261579083594315</v>
      </c>
      <c r="AH77" s="475">
        <f t="shared" si="57"/>
        <v>0.70584737250782947</v>
      </c>
      <c r="AI77" s="475">
        <f t="shared" si="46"/>
        <v>69.491361389637959</v>
      </c>
      <c r="AJ77" s="475">
        <f t="shared" si="47"/>
        <v>2.3261578949005526</v>
      </c>
    </row>
    <row r="78" spans="11:36">
      <c r="K78" s="278">
        <f t="shared" si="25"/>
        <v>106.64705882352942</v>
      </c>
      <c r="L78" s="296">
        <f t="shared" si="26"/>
        <v>2.1738697395672641</v>
      </c>
      <c r="M78" s="296">
        <f t="shared" si="48"/>
        <v>0.66016092187017927</v>
      </c>
      <c r="N78" s="11">
        <f t="shared" si="27"/>
        <v>73.914068791242045</v>
      </c>
      <c r="O78" s="296">
        <f t="shared" si="28"/>
        <v>2.2826022624709865</v>
      </c>
      <c r="P78" s="11">
        <f t="shared" si="49"/>
        <v>0.69278067874129601</v>
      </c>
      <c r="Q78" s="296">
        <f t="shared" si="29"/>
        <v>76.561450643524125</v>
      </c>
      <c r="R78" s="296">
        <f t="shared" si="30"/>
        <v>2.2719071311530983</v>
      </c>
      <c r="S78" s="296">
        <f t="shared" si="54"/>
        <v>0.68957213934592954</v>
      </c>
      <c r="T78" s="296">
        <f t="shared" si="31"/>
        <v>76.296898710326985</v>
      </c>
      <c r="U78" s="296">
        <f t="shared" si="32"/>
        <v>2.2729567987724919</v>
      </c>
      <c r="V78" s="296">
        <f t="shared" si="50"/>
        <v>0.68988703963174758</v>
      </c>
      <c r="W78" s="296">
        <f t="shared" si="34"/>
        <v>76.322822502913127</v>
      </c>
      <c r="X78" s="296">
        <f t="shared" si="35"/>
        <v>2.2728537571887979</v>
      </c>
      <c r="Y78" s="296">
        <f t="shared" si="55"/>
        <v>0.68985612715663935</v>
      </c>
      <c r="Z78" s="296">
        <f t="shared" si="37"/>
        <v>76.320277280212864</v>
      </c>
      <c r="AA78" s="296">
        <f t="shared" si="38"/>
        <v>2.2728638721431365</v>
      </c>
      <c r="AB78" s="296">
        <f t="shared" si="39"/>
        <v>0.68985916164294092</v>
      </c>
      <c r="AC78" s="296">
        <f t="shared" si="40"/>
        <v>76.320527125210731</v>
      </c>
      <c r="AD78" s="296">
        <f t="shared" si="41"/>
        <v>2.2728628792185983</v>
      </c>
      <c r="AE78" s="296">
        <f t="shared" si="56"/>
        <v>0.68985886376557948</v>
      </c>
      <c r="AF78" s="296">
        <f t="shared" si="43"/>
        <v>76.320502599386188</v>
      </c>
      <c r="AG78" s="296">
        <f t="shared" si="44"/>
        <v>2.2728629766880384</v>
      </c>
      <c r="AH78" s="475">
        <f t="shared" si="57"/>
        <v>0.68985889300641157</v>
      </c>
      <c r="AI78" s="475">
        <f t="shared" si="46"/>
        <v>76.320505006938774</v>
      </c>
      <c r="AJ78" s="475">
        <f t="shared" si="47"/>
        <v>2.2728629671200484</v>
      </c>
    </row>
    <row r="79" spans="11:36">
      <c r="K79" s="278">
        <f t="shared" si="25"/>
        <v>59.448179271708689</v>
      </c>
      <c r="L79" s="296">
        <f t="shared" si="26"/>
        <v>2.4133763061859508</v>
      </c>
      <c r="M79" s="296">
        <f t="shared" si="48"/>
        <v>0.73201289185578522</v>
      </c>
      <c r="N79" s="11">
        <f t="shared" si="27"/>
        <v>45.108606061559598</v>
      </c>
      <c r="O79" s="296">
        <f t="shared" si="28"/>
        <v>2.4990704404643704</v>
      </c>
      <c r="P79" s="11">
        <f t="shared" si="49"/>
        <v>0.75772113213931114</v>
      </c>
      <c r="Q79" s="296">
        <f t="shared" si="29"/>
        <v>46.319036810377447</v>
      </c>
      <c r="R79" s="296">
        <f t="shared" si="30"/>
        <v>2.4907273787087312</v>
      </c>
      <c r="S79" s="296">
        <f t="shared" si="54"/>
        <v>0.75521821361261932</v>
      </c>
      <c r="T79" s="296">
        <f t="shared" si="31"/>
        <v>46.199777585846718</v>
      </c>
      <c r="U79" s="296">
        <f t="shared" si="32"/>
        <v>2.4915385427976222</v>
      </c>
      <c r="V79" s="296">
        <f t="shared" si="50"/>
        <v>0.75546156283928667</v>
      </c>
      <c r="W79" s="296">
        <f t="shared" si="34"/>
        <v>46.211359217032729</v>
      </c>
      <c r="X79" s="296">
        <f t="shared" si="35"/>
        <v>2.4914596659142889</v>
      </c>
      <c r="Y79" s="296">
        <f t="shared" si="55"/>
        <v>0.75543789977428677</v>
      </c>
      <c r="Z79" s="296">
        <f t="shared" si="37"/>
        <v>46.210232901969825</v>
      </c>
      <c r="AA79" s="296">
        <f t="shared" si="38"/>
        <v>2.4914673357339687</v>
      </c>
      <c r="AB79" s="296">
        <f t="shared" si="39"/>
        <v>0.75544020072019058</v>
      </c>
      <c r="AC79" s="296">
        <f t="shared" si="40"/>
        <v>46.210342421236177</v>
      </c>
      <c r="AD79" s="296">
        <f t="shared" si="41"/>
        <v>2.4914665899361457</v>
      </c>
      <c r="AE79" s="296">
        <f t="shared" si="56"/>
        <v>0.75543997698084375</v>
      </c>
      <c r="AF79" s="296">
        <f t="shared" si="43"/>
        <v>46.21033177179185</v>
      </c>
      <c r="AG79" s="296">
        <f t="shared" si="44"/>
        <v>2.4914666624560158</v>
      </c>
      <c r="AH79" s="475">
        <f t="shared" si="57"/>
        <v>0.75543999873680479</v>
      </c>
      <c r="AI79" s="475">
        <f t="shared" si="46"/>
        <v>46.210332807322139</v>
      </c>
      <c r="AJ79" s="475">
        <f t="shared" si="47"/>
        <v>2.4914666554043303</v>
      </c>
    </row>
    <row r="80" spans="11:36">
      <c r="K80" s="278">
        <f t="shared" si="25"/>
        <v>67.3422459893048</v>
      </c>
      <c r="L80" s="296">
        <f t="shared" si="26"/>
        <v>2.2926678680140098</v>
      </c>
      <c r="M80" s="296">
        <f t="shared" si="48"/>
        <v>0.6958003604042029</v>
      </c>
      <c r="N80" s="11">
        <f t="shared" si="27"/>
        <v>49.929278706604912</v>
      </c>
      <c r="O80" s="296">
        <f t="shared" si="28"/>
        <v>2.3874319485855691</v>
      </c>
      <c r="P80" s="11">
        <f t="shared" si="49"/>
        <v>0.72422958457567077</v>
      </c>
      <c r="Q80" s="296">
        <f t="shared" si="29"/>
        <v>51.345007439864872</v>
      </c>
      <c r="R80" s="296">
        <f t="shared" si="30"/>
        <v>2.3784349577300676</v>
      </c>
      <c r="S80" s="296">
        <f t="shared" si="54"/>
        <v>0.72153048731902025</v>
      </c>
      <c r="T80" s="296">
        <f t="shared" si="31"/>
        <v>51.208889744549694</v>
      </c>
      <c r="U80" s="296">
        <f t="shared" si="32"/>
        <v>2.3792879395959923</v>
      </c>
      <c r="V80" s="296">
        <f t="shared" si="50"/>
        <v>0.72178638187879773</v>
      </c>
      <c r="W80" s="296">
        <f t="shared" si="34"/>
        <v>51.221779218687992</v>
      </c>
      <c r="X80" s="296">
        <f t="shared" si="35"/>
        <v>2.3792070597020385</v>
      </c>
      <c r="Y80" s="296">
        <f t="shared" si="55"/>
        <v>0.72176211791061151</v>
      </c>
      <c r="Z80" s="296">
        <f t="shared" si="37"/>
        <v>51.220556897215225</v>
      </c>
      <c r="AA80" s="296">
        <f t="shared" si="38"/>
        <v>2.3792147286506413</v>
      </c>
      <c r="AB80" s="296">
        <f t="shared" si="39"/>
        <v>0.72176441859519236</v>
      </c>
      <c r="AC80" s="296">
        <f t="shared" si="40"/>
        <v>51.220672795232034</v>
      </c>
      <c r="AD80" s="296">
        <f t="shared" si="41"/>
        <v>2.3792140014879228</v>
      </c>
      <c r="AE80" s="296">
        <f t="shared" si="56"/>
        <v>0.7217642004463769</v>
      </c>
      <c r="AF80" s="296">
        <f t="shared" si="43"/>
        <v>51.220661805876432</v>
      </c>
      <c r="AG80" s="296">
        <f t="shared" si="44"/>
        <v>2.3792140704368214</v>
      </c>
      <c r="AH80" s="475">
        <f t="shared" si="57"/>
        <v>0.72176422113104644</v>
      </c>
      <c r="AI80" s="475">
        <f t="shared" si="46"/>
        <v>51.220662847876895</v>
      </c>
      <c r="AJ80" s="475">
        <f t="shared" si="47"/>
        <v>2.3792140638991506</v>
      </c>
    </row>
    <row r="81" spans="11:36">
      <c r="K81" s="278">
        <f t="shared" si="25"/>
        <v>66.877237851662414</v>
      </c>
      <c r="L81" s="296">
        <f t="shared" si="26"/>
        <v>2.2811641208997706</v>
      </c>
      <c r="M81" s="296">
        <f t="shared" si="48"/>
        <v>0.69234923626993117</v>
      </c>
      <c r="N81" s="11">
        <f t="shared" si="27"/>
        <v>50.096939576640914</v>
      </c>
      <c r="O81" s="296">
        <f t="shared" si="28"/>
        <v>2.3732190733716383</v>
      </c>
      <c r="P81" s="11">
        <f t="shared" si="49"/>
        <v>0.71996572201149145</v>
      </c>
      <c r="Q81" s="296">
        <f t="shared" si="29"/>
        <v>51.4131058647244</v>
      </c>
      <c r="R81" s="296">
        <f t="shared" si="30"/>
        <v>2.3648301423236409</v>
      </c>
      <c r="S81" s="296">
        <f t="shared" si="54"/>
        <v>0.71744904269709231</v>
      </c>
      <c r="T81" s="296">
        <f t="shared" si="31"/>
        <v>51.291745659308198</v>
      </c>
      <c r="U81" s="296">
        <f t="shared" si="32"/>
        <v>2.3655936336330239</v>
      </c>
      <c r="V81" s="296">
        <f t="shared" si="50"/>
        <v>0.71767809008990713</v>
      </c>
      <c r="W81" s="296">
        <f t="shared" si="34"/>
        <v>51.302779004379929</v>
      </c>
      <c r="X81" s="296">
        <f t="shared" si="35"/>
        <v>2.3655241387243144</v>
      </c>
      <c r="Y81" s="296">
        <f t="shared" si="55"/>
        <v>0.71765724161729438</v>
      </c>
      <c r="Z81" s="296">
        <f t="shared" si="37"/>
        <v>51.301774623248733</v>
      </c>
      <c r="AA81" s="296">
        <f t="shared" si="38"/>
        <v>2.3655304642584194</v>
      </c>
      <c r="AB81" s="296">
        <f t="shared" si="39"/>
        <v>0.71765913927752578</v>
      </c>
      <c r="AC81" s="296">
        <f t="shared" si="40"/>
        <v>51.301866042759706</v>
      </c>
      <c r="AD81" s="296">
        <f t="shared" si="41"/>
        <v>2.3655298884979543</v>
      </c>
      <c r="AE81" s="296">
        <f t="shared" si="56"/>
        <v>0.71765896654938632</v>
      </c>
      <c r="AF81" s="296">
        <f t="shared" si="43"/>
        <v>51.301857721599482</v>
      </c>
      <c r="AG81" s="296">
        <f t="shared" si="44"/>
        <v>2.3655299409046093</v>
      </c>
      <c r="AH81" s="475">
        <f t="shared" si="57"/>
        <v>0.71765898227138281</v>
      </c>
      <c r="AI81" s="475">
        <f t="shared" si="46"/>
        <v>51.301858479004984</v>
      </c>
      <c r="AJ81" s="475">
        <f t="shared" si="47"/>
        <v>2.3655299361344704</v>
      </c>
    </row>
    <row r="82" spans="11:36">
      <c r="K82" s="278">
        <f t="shared" si="25"/>
        <v>66.450980392156865</v>
      </c>
      <c r="L82" s="296">
        <f t="shared" si="26"/>
        <v>2.3040742512517616</v>
      </c>
      <c r="M82" s="296">
        <f t="shared" si="48"/>
        <v>0.6992222753755285</v>
      </c>
      <c r="N82" s="11">
        <f t="shared" si="27"/>
        <v>50.745395596067638</v>
      </c>
      <c r="O82" s="296">
        <f t="shared" si="28"/>
        <v>2.3892114815768561</v>
      </c>
      <c r="P82" s="11">
        <f t="shared" si="49"/>
        <v>0.72476344447305685</v>
      </c>
      <c r="Q82" s="296">
        <f t="shared" si="29"/>
        <v>51.920735634352944</v>
      </c>
      <c r="R82" s="296">
        <f t="shared" si="30"/>
        <v>2.3818764183535532</v>
      </c>
      <c r="S82" s="296">
        <f t="shared" si="54"/>
        <v>0.72256292550606593</v>
      </c>
      <c r="T82" s="296">
        <f t="shared" si="31"/>
        <v>51.818410533765807</v>
      </c>
      <c r="U82" s="296">
        <f t="shared" si="32"/>
        <v>2.3825076314120439</v>
      </c>
      <c r="V82" s="296">
        <f t="shared" si="50"/>
        <v>0.72275228942361314</v>
      </c>
      <c r="W82" s="296">
        <f t="shared" si="34"/>
        <v>51.82720810338661</v>
      </c>
      <c r="X82" s="296">
        <f t="shared" si="35"/>
        <v>2.3824533073328253</v>
      </c>
      <c r="Y82" s="296">
        <f t="shared" si="55"/>
        <v>0.72273599219984763</v>
      </c>
      <c r="Z82" s="296">
        <f t="shared" si="37"/>
        <v>51.826450899557237</v>
      </c>
      <c r="AA82" s="296">
        <f t="shared" si="38"/>
        <v>2.3824579825841612</v>
      </c>
      <c r="AB82" s="296">
        <f t="shared" si="39"/>
        <v>0.72273739477524834</v>
      </c>
      <c r="AC82" s="296">
        <f t="shared" si="40"/>
        <v>51.826516065771372</v>
      </c>
      <c r="AD82" s="296">
        <f t="shared" si="41"/>
        <v>2.382457580221307</v>
      </c>
      <c r="AE82" s="296">
        <f t="shared" si="56"/>
        <v>0.7227372740663921</v>
      </c>
      <c r="AF82" s="296">
        <f t="shared" si="43"/>
        <v>51.82651045741428</v>
      </c>
      <c r="AG82" s="296">
        <f t="shared" si="44"/>
        <v>2.3824576148495749</v>
      </c>
      <c r="AH82" s="475">
        <f t="shared" si="57"/>
        <v>0.72273728445487251</v>
      </c>
      <c r="AI82" s="475">
        <f t="shared" si="46"/>
        <v>51.826510940082301</v>
      </c>
      <c r="AJ82" s="475">
        <f t="shared" si="47"/>
        <v>2.3824576118693872</v>
      </c>
    </row>
    <row r="83" spans="11:36">
      <c r="K83" s="278">
        <f t="shared" si="25"/>
        <v>59</v>
      </c>
      <c r="L83" s="296">
        <f t="shared" si="26"/>
        <v>2.5159615812837286</v>
      </c>
      <c r="M83" s="296">
        <f t="shared" si="48"/>
        <v>0.76278847438511854</v>
      </c>
      <c r="N83" s="11">
        <f t="shared" si="27"/>
        <v>48.161675010879023</v>
      </c>
      <c r="O83" s="296">
        <f t="shared" si="28"/>
        <v>2.5763141159933309</v>
      </c>
      <c r="P83" s="11">
        <f t="shared" si="49"/>
        <v>0.78089423479799924</v>
      </c>
      <c r="Q83" s="296">
        <f t="shared" si="29"/>
        <v>48.913628843462384</v>
      </c>
      <c r="R83" s="296">
        <f t="shared" si="30"/>
        <v>2.5716509737614008</v>
      </c>
      <c r="S83" s="296">
        <f t="shared" si="54"/>
        <v>0.77949529212842028</v>
      </c>
      <c r="T83" s="296">
        <f t="shared" si="31"/>
        <v>48.855112897954193</v>
      </c>
      <c r="U83" s="296">
        <f t="shared" si="32"/>
        <v>2.5720109456730538</v>
      </c>
      <c r="V83" s="296">
        <f t="shared" si="50"/>
        <v>0.77960328370191623</v>
      </c>
      <c r="W83" s="296">
        <f t="shared" si="34"/>
        <v>48.859627550036095</v>
      </c>
      <c r="X83" s="296">
        <f t="shared" si="35"/>
        <v>2.5719831556432187</v>
      </c>
      <c r="Y83" s="296">
        <f t="shared" si="55"/>
        <v>0.7795949466929657</v>
      </c>
      <c r="Z83" s="296">
        <f t="shared" si="37"/>
        <v>48.859279001548813</v>
      </c>
      <c r="AA83" s="296">
        <f t="shared" si="38"/>
        <v>2.5719853010372189</v>
      </c>
      <c r="AB83" s="296">
        <f t="shared" si="39"/>
        <v>0.77959559031116576</v>
      </c>
      <c r="AC83" s="296">
        <f t="shared" si="40"/>
        <v>48.85930590944983</v>
      </c>
      <c r="AD83" s="296">
        <f t="shared" si="41"/>
        <v>2.5719851354124477</v>
      </c>
      <c r="AE83" s="296">
        <f t="shared" si="56"/>
        <v>0.77959554062373426</v>
      </c>
      <c r="AF83" s="296">
        <f t="shared" si="43"/>
        <v>48.859303832154893</v>
      </c>
      <c r="AG83" s="296">
        <f t="shared" si="44"/>
        <v>2.5719851481987068</v>
      </c>
      <c r="AH83" s="475">
        <f t="shared" si="57"/>
        <v>0.7795955444596121</v>
      </c>
      <c r="AI83" s="475">
        <f t="shared" si="46"/>
        <v>48.859303992522399</v>
      </c>
      <c r="AJ83" s="475">
        <f t="shared" si="47"/>
        <v>2.5719851472116058</v>
      </c>
    </row>
    <row r="84" spans="11:36">
      <c r="K84" s="278">
        <f t="shared" si="25"/>
        <v>83.796380090497749</v>
      </c>
      <c r="L84" s="296">
        <f t="shared" si="26"/>
        <v>2.1375003510684127</v>
      </c>
      <c r="M84" s="296">
        <f t="shared" si="48"/>
        <v>0.64925010532052385</v>
      </c>
      <c r="N84" s="11">
        <f t="shared" si="27"/>
        <v>62.929916619670216</v>
      </c>
      <c r="O84" s="296">
        <f t="shared" si="28"/>
        <v>2.2291509711807045</v>
      </c>
      <c r="P84" s="11">
        <f t="shared" si="49"/>
        <v>0.67674529135421135</v>
      </c>
      <c r="Q84" s="296">
        <f t="shared" si="29"/>
        <v>64.358562761900529</v>
      </c>
      <c r="R84" s="296">
        <f t="shared" si="30"/>
        <v>2.2218516043675374</v>
      </c>
      <c r="S84" s="296">
        <f t="shared" si="54"/>
        <v>0.67455548131026122</v>
      </c>
      <c r="T84" s="296">
        <f t="shared" si="31"/>
        <v>64.243601438628943</v>
      </c>
      <c r="U84" s="296">
        <f t="shared" si="32"/>
        <v>2.222432261983883</v>
      </c>
      <c r="V84" s="296">
        <f t="shared" si="50"/>
        <v>0.67472967859516486</v>
      </c>
      <c r="W84" s="296">
        <f t="shared" si="34"/>
        <v>64.252738978589164</v>
      </c>
      <c r="X84" s="296">
        <f t="shared" si="35"/>
        <v>2.222386066851032</v>
      </c>
      <c r="Y84" s="296">
        <f t="shared" si="55"/>
        <v>0.67471582005530961</v>
      </c>
      <c r="Z84" s="296">
        <f t="shared" si="37"/>
        <v>64.252011979597327</v>
      </c>
      <c r="AA84" s="296">
        <f t="shared" si="38"/>
        <v>2.222389741950018</v>
      </c>
      <c r="AB84" s="296">
        <f t="shared" si="39"/>
        <v>0.67471692258500537</v>
      </c>
      <c r="AC84" s="296">
        <f t="shared" si="40"/>
        <v>64.25206981641216</v>
      </c>
      <c r="AD84" s="296">
        <f t="shared" si="41"/>
        <v>2.2223894495737477</v>
      </c>
      <c r="AE84" s="296">
        <f t="shared" si="56"/>
        <v>0.6747168348721243</v>
      </c>
      <c r="AF84" s="296">
        <f t="shared" si="43"/>
        <v>64.252065215143119</v>
      </c>
      <c r="AG84" s="296">
        <f t="shared" si="44"/>
        <v>2.222389472834041</v>
      </c>
      <c r="AH84" s="475">
        <f t="shared" si="57"/>
        <v>0.6747168418502123</v>
      </c>
      <c r="AI84" s="475">
        <f t="shared" si="46"/>
        <v>64.252065581201762</v>
      </c>
      <c r="AJ84" s="475">
        <f t="shared" si="47"/>
        <v>2.2223894709835443</v>
      </c>
    </row>
    <row r="85" spans="11:36">
      <c r="K85" s="278">
        <f t="shared" si="25"/>
        <v>102.3986928104575</v>
      </c>
      <c r="L85" s="296">
        <f t="shared" si="26"/>
        <v>2.0581768013432775</v>
      </c>
      <c r="M85" s="296">
        <f t="shared" si="48"/>
        <v>0.62545304040298322</v>
      </c>
      <c r="N85" s="11">
        <f t="shared" si="27"/>
        <v>76.494001884019994</v>
      </c>
      <c r="O85" s="296">
        <f t="shared" si="28"/>
        <v>2.1498673043293577</v>
      </c>
      <c r="P85" s="11">
        <f t="shared" si="49"/>
        <v>0.65296019129880734</v>
      </c>
      <c r="Q85" s="296">
        <f t="shared" si="29"/>
        <v>78.150174429460392</v>
      </c>
      <c r="R85" s="296">
        <f t="shared" si="30"/>
        <v>2.1430121980509953</v>
      </c>
      <c r="S85" s="296">
        <f t="shared" si="54"/>
        <v>0.6509036594152986</v>
      </c>
      <c r="T85" s="296">
        <f t="shared" si="31"/>
        <v>78.025122412654241</v>
      </c>
      <c r="U85" s="296">
        <f t="shared" si="32"/>
        <v>2.1435240719543249</v>
      </c>
      <c r="V85" s="296">
        <f t="shared" si="50"/>
        <v>0.65105722158629753</v>
      </c>
      <c r="W85" s="296">
        <f t="shared" si="34"/>
        <v>78.034453186651731</v>
      </c>
      <c r="X85" s="296">
        <f t="shared" si="35"/>
        <v>2.1434858465240225</v>
      </c>
      <c r="Y85" s="296">
        <f t="shared" si="55"/>
        <v>0.65104575395720676</v>
      </c>
      <c r="Z85" s="296">
        <f t="shared" si="37"/>
        <v>78.033756349829218</v>
      </c>
      <c r="AA85" s="296">
        <f t="shared" si="38"/>
        <v>2.1434887010812016</v>
      </c>
      <c r="AB85" s="296">
        <f t="shared" si="39"/>
        <v>0.65104661032436051</v>
      </c>
      <c r="AC85" s="296">
        <f t="shared" si="40"/>
        <v>78.033808387237841</v>
      </c>
      <c r="AD85" s="296">
        <f t="shared" si="41"/>
        <v>2.1434884879115685</v>
      </c>
      <c r="AE85" s="296">
        <f t="shared" si="56"/>
        <v>0.65104654637347059</v>
      </c>
      <c r="AF85" s="296">
        <f t="shared" si="43"/>
        <v>78.033804501241505</v>
      </c>
      <c r="AG85" s="296">
        <f t="shared" si="44"/>
        <v>2.1434885038304268</v>
      </c>
      <c r="AH85" s="475">
        <f t="shared" si="57"/>
        <v>0.65104655114912802</v>
      </c>
      <c r="AI85" s="475">
        <f t="shared" si="46"/>
        <v>78.033804791435841</v>
      </c>
      <c r="AJ85" s="475">
        <f t="shared" si="47"/>
        <v>2.143488502641655</v>
      </c>
    </row>
    <row r="86" spans="11:36">
      <c r="K86" s="278">
        <f t="shared" si="25"/>
        <v>86.058823529411768</v>
      </c>
      <c r="L86" s="296">
        <f t="shared" si="26"/>
        <v>2.2228862610493074</v>
      </c>
      <c r="M86" s="296">
        <f t="shared" si="48"/>
        <v>0.67486587831479228</v>
      </c>
      <c r="N86" s="11">
        <f t="shared" si="27"/>
        <v>67.60431621693138</v>
      </c>
      <c r="O86" s="296">
        <f t="shared" si="28"/>
        <v>2.2965308769158321</v>
      </c>
      <c r="P86" s="11">
        <f t="shared" si="49"/>
        <v>0.69695926307474965</v>
      </c>
      <c r="Q86" s="296">
        <f t="shared" si="29"/>
        <v>68.722219626167146</v>
      </c>
      <c r="R86" s="296">
        <f t="shared" si="30"/>
        <v>2.2914497170961488</v>
      </c>
      <c r="S86" s="296">
        <f t="shared" si="54"/>
        <v>0.69543491512884459</v>
      </c>
      <c r="T86" s="296">
        <f t="shared" si="31"/>
        <v>68.644498882490282</v>
      </c>
      <c r="U86" s="296">
        <f t="shared" si="32"/>
        <v>2.2917999459678238</v>
      </c>
      <c r="V86" s="296">
        <f t="shared" si="50"/>
        <v>0.69553998379034709</v>
      </c>
      <c r="W86" s="296">
        <f t="shared" si="34"/>
        <v>68.649853115058292</v>
      </c>
      <c r="X86" s="296">
        <f t="shared" si="35"/>
        <v>2.2917758040942284</v>
      </c>
      <c r="Y86" s="296">
        <f t="shared" si="55"/>
        <v>0.69553274122826858</v>
      </c>
      <c r="Z86" s="296">
        <f t="shared" si="37"/>
        <v>68.649484025272059</v>
      </c>
      <c r="AA86" s="296">
        <f t="shared" si="38"/>
        <v>2.2917774682268548</v>
      </c>
      <c r="AB86" s="296">
        <f t="shared" si="39"/>
        <v>0.69553324046805642</v>
      </c>
      <c r="AC86" s="296">
        <f t="shared" si="40"/>
        <v>68.649509467076129</v>
      </c>
      <c r="AD86" s="296">
        <f t="shared" si="41"/>
        <v>2.2917773535158612</v>
      </c>
      <c r="AE86" s="296">
        <f t="shared" si="56"/>
        <v>0.69553320605475832</v>
      </c>
      <c r="AF86" s="296">
        <f t="shared" si="43"/>
        <v>68.649507713336618</v>
      </c>
      <c r="AG86" s="296">
        <f t="shared" si="44"/>
        <v>2.2917773614230508</v>
      </c>
      <c r="AH86" s="475">
        <f t="shared" si="57"/>
        <v>0.69553320842691524</v>
      </c>
      <c r="AI86" s="475">
        <f t="shared" si="46"/>
        <v>68.649507834224352</v>
      </c>
      <c r="AJ86" s="475">
        <f t="shared" si="47"/>
        <v>2.2917773608779965</v>
      </c>
    </row>
    <row r="87" spans="11:36">
      <c r="K87" s="278">
        <f t="shared" si="25"/>
        <v>58.675456389452336</v>
      </c>
      <c r="L87" s="296">
        <f t="shared" si="26"/>
        <v>2.2601532869304823</v>
      </c>
      <c r="M87" s="296">
        <f t="shared" si="48"/>
        <v>0.68604598607914469</v>
      </c>
      <c r="N87" s="11">
        <f t="shared" si="27"/>
        <v>46.992065414589064</v>
      </c>
      <c r="O87" s="296">
        <f t="shared" si="28"/>
        <v>2.3336148556956284</v>
      </c>
      <c r="P87" s="11">
        <f t="shared" si="49"/>
        <v>0.70808445670868858</v>
      </c>
      <c r="Q87" s="296">
        <f t="shared" si="29"/>
        <v>47.730250964320454</v>
      </c>
      <c r="R87" s="296">
        <f t="shared" si="30"/>
        <v>2.3284034149019024</v>
      </c>
      <c r="S87" s="296">
        <f t="shared" si="54"/>
        <v>0.70652102447057075</v>
      </c>
      <c r="T87" s="296">
        <f t="shared" si="31"/>
        <v>47.677503296722371</v>
      </c>
      <c r="U87" s="296">
        <f t="shared" si="32"/>
        <v>2.3287728558874057</v>
      </c>
      <c r="V87" s="296">
        <f t="shared" si="50"/>
        <v>0.70663185676622176</v>
      </c>
      <c r="W87" s="296">
        <f t="shared" si="34"/>
        <v>47.681240678117469</v>
      </c>
      <c r="X87" s="296">
        <f t="shared" si="35"/>
        <v>2.3287466647468866</v>
      </c>
      <c r="Y87" s="296">
        <f t="shared" si="55"/>
        <v>0.70662399942406595</v>
      </c>
      <c r="Z87" s="296">
        <f t="shared" si="37"/>
        <v>47.68097571064056</v>
      </c>
      <c r="AA87" s="296">
        <f t="shared" si="38"/>
        <v>2.3287485215342971</v>
      </c>
      <c r="AB87" s="296">
        <f t="shared" si="39"/>
        <v>0.7066245564602891</v>
      </c>
      <c r="AC87" s="296">
        <f t="shared" si="40"/>
        <v>47.680994495122462</v>
      </c>
      <c r="AD87" s="296">
        <f t="shared" si="41"/>
        <v>2.3287483898996948</v>
      </c>
      <c r="AE87" s="296">
        <f t="shared" si="56"/>
        <v>0.70662451696990847</v>
      </c>
      <c r="AF87" s="296">
        <f t="shared" si="43"/>
        <v>47.680993163420069</v>
      </c>
      <c r="AG87" s="296">
        <f t="shared" si="44"/>
        <v>2.3287483992317637</v>
      </c>
      <c r="AH87" s="475">
        <f t="shared" si="57"/>
        <v>0.70662451976952911</v>
      </c>
      <c r="AI87" s="475">
        <f t="shared" si="46"/>
        <v>47.680993257829421</v>
      </c>
      <c r="AJ87" s="475">
        <f t="shared" si="47"/>
        <v>2.3287483985701782</v>
      </c>
    </row>
    <row r="88" spans="11:36">
      <c r="K88" s="278">
        <f t="shared" si="25"/>
        <v>60.568627450980394</v>
      </c>
      <c r="L88" s="296">
        <f t="shared" si="26"/>
        <v>2.265347337225101</v>
      </c>
      <c r="M88" s="296">
        <f t="shared" si="48"/>
        <v>0.68760420116753029</v>
      </c>
      <c r="N88" s="11">
        <f t="shared" si="27"/>
        <v>49.078794155788742</v>
      </c>
      <c r="O88" s="296">
        <f t="shared" si="28"/>
        <v>2.3342042356340409</v>
      </c>
      <c r="P88" s="11">
        <f t="shared" si="49"/>
        <v>0.70826127069021227</v>
      </c>
      <c r="Q88" s="296">
        <f t="shared" si="29"/>
        <v>49.766216776061917</v>
      </c>
      <c r="R88" s="296">
        <f t="shared" si="30"/>
        <v>2.3296033262924238</v>
      </c>
      <c r="S88" s="296">
        <f t="shared" si="54"/>
        <v>0.70688099788772718</v>
      </c>
      <c r="T88" s="296">
        <f t="shared" si="31"/>
        <v>49.719985582262943</v>
      </c>
      <c r="U88" s="296">
        <f t="shared" si="32"/>
        <v>2.3299105467688181</v>
      </c>
      <c r="V88" s="296">
        <f t="shared" si="50"/>
        <v>0.70697316403064547</v>
      </c>
      <c r="W88" s="296">
        <f t="shared" si="34"/>
        <v>49.723071278952467</v>
      </c>
      <c r="X88" s="296">
        <f t="shared" si="35"/>
        <v>2.3298900315552107</v>
      </c>
      <c r="Y88" s="296">
        <f t="shared" si="55"/>
        <v>0.70696700946656321</v>
      </c>
      <c r="Z88" s="296">
        <f t="shared" si="37"/>
        <v>49.722865219901315</v>
      </c>
      <c r="AA88" s="296">
        <f t="shared" si="38"/>
        <v>2.3298914014923287</v>
      </c>
      <c r="AB88" s="296">
        <f t="shared" si="39"/>
        <v>0.70696742044769856</v>
      </c>
      <c r="AC88" s="296">
        <f t="shared" si="40"/>
        <v>49.72287897980663</v>
      </c>
      <c r="AD88" s="296">
        <f t="shared" si="41"/>
        <v>2.3298913100125067</v>
      </c>
      <c r="AE88" s="296">
        <f t="shared" si="56"/>
        <v>0.706967393003752</v>
      </c>
      <c r="AF88" s="296">
        <f t="shared" si="43"/>
        <v>49.722878060966025</v>
      </c>
      <c r="AG88" s="296">
        <f t="shared" si="44"/>
        <v>2.3298913161212234</v>
      </c>
      <c r="AH88" s="475">
        <f t="shared" si="57"/>
        <v>0.70696739483636706</v>
      </c>
      <c r="AI88" s="475">
        <f t="shared" si="46"/>
        <v>49.722878122323131</v>
      </c>
      <c r="AJ88" s="475">
        <f t="shared" si="47"/>
        <v>2.3298913157133039</v>
      </c>
    </row>
    <row r="89" spans="11:36">
      <c r="K89" s="278">
        <f t="shared" si="25"/>
        <v>68.032258064516128</v>
      </c>
      <c r="L89" s="296">
        <f t="shared" si="26"/>
        <v>2.3354887820889707</v>
      </c>
      <c r="M89" s="296">
        <f t="shared" si="48"/>
        <v>0.7086466346266912</v>
      </c>
      <c r="N89" s="11">
        <f t="shared" si="27"/>
        <v>56.449938411855527</v>
      </c>
      <c r="O89" s="296">
        <f t="shared" si="28"/>
        <v>2.3930076741178379</v>
      </c>
      <c r="P89" s="11">
        <f t="shared" si="49"/>
        <v>0.72590230223535135</v>
      </c>
      <c r="Q89" s="296">
        <f t="shared" si="29"/>
        <v>57.077351919244194</v>
      </c>
      <c r="R89" s="296">
        <f t="shared" si="30"/>
        <v>2.3895630479923198</v>
      </c>
      <c r="S89" s="296">
        <f t="shared" si="54"/>
        <v>0.72486891439769596</v>
      </c>
      <c r="T89" s="296">
        <f t="shared" si="31"/>
        <v>57.039582555070488</v>
      </c>
      <c r="U89" s="296">
        <f t="shared" si="32"/>
        <v>2.3897692041831591</v>
      </c>
      <c r="V89" s="296">
        <f t="shared" si="50"/>
        <v>0.72493076125494771</v>
      </c>
      <c r="W89" s="296">
        <f t="shared" si="34"/>
        <v>57.041842296873348</v>
      </c>
      <c r="X89" s="296">
        <f t="shared" si="35"/>
        <v>2.3897568655428123</v>
      </c>
      <c r="Y89" s="296">
        <f t="shared" si="55"/>
        <v>0.72492705966284365</v>
      </c>
      <c r="Z89" s="296">
        <f t="shared" si="37"/>
        <v>57.041707046699635</v>
      </c>
      <c r="AA89" s="296">
        <f t="shared" si="38"/>
        <v>2.3897576040202555</v>
      </c>
      <c r="AB89" s="296">
        <f t="shared" si="39"/>
        <v>0.72492728120607663</v>
      </c>
      <c r="AC89" s="296">
        <f t="shared" si="40"/>
        <v>57.041715141521138</v>
      </c>
      <c r="AD89" s="296">
        <f t="shared" si="41"/>
        <v>2.3897575598217866</v>
      </c>
      <c r="AE89" s="296">
        <f t="shared" si="56"/>
        <v>0.72492726794653595</v>
      </c>
      <c r="AF89" s="296">
        <f t="shared" si="43"/>
        <v>57.04171465703952</v>
      </c>
      <c r="AG89" s="296">
        <f t="shared" si="44"/>
        <v>2.3897575624671008</v>
      </c>
      <c r="AH89" s="475">
        <f t="shared" si="57"/>
        <v>0.72492726874013025</v>
      </c>
      <c r="AI89" s="475">
        <f t="shared" si="46"/>
        <v>57.041714686036144</v>
      </c>
      <c r="AJ89" s="475">
        <f t="shared" si="47"/>
        <v>2.3897575623087763</v>
      </c>
    </row>
    <row r="90" spans="11:36">
      <c r="K90" s="278">
        <f t="shared" si="25"/>
        <v>73.191176470588232</v>
      </c>
      <c r="L90" s="296">
        <f t="shared" si="26"/>
        <v>2.1866907529655015</v>
      </c>
      <c r="M90" s="296">
        <f t="shared" si="48"/>
        <v>0.66400722588965044</v>
      </c>
      <c r="N90" s="11">
        <f t="shared" si="27"/>
        <v>59.651568667057326</v>
      </c>
      <c r="O90" s="296">
        <f t="shared" si="28"/>
        <v>2.2527252216779372</v>
      </c>
      <c r="P90" s="11">
        <f t="shared" si="49"/>
        <v>0.68381756650338121</v>
      </c>
      <c r="Q90" s="296">
        <f t="shared" si="29"/>
        <v>60.375361583614783</v>
      </c>
      <c r="R90" s="296">
        <f t="shared" si="30"/>
        <v>2.2487882237153185</v>
      </c>
      <c r="S90" s="296">
        <f t="shared" si="54"/>
        <v>0.68263646711459558</v>
      </c>
      <c r="T90" s="296">
        <f t="shared" si="31"/>
        <v>60.331963654742808</v>
      </c>
      <c r="U90" s="296">
        <f t="shared" si="32"/>
        <v>2.2490228001330892</v>
      </c>
      <c r="V90" s="296">
        <f t="shared" si="50"/>
        <v>0.68270684003992677</v>
      </c>
      <c r="W90" s="296">
        <f t="shared" si="34"/>
        <v>60.334548540273573</v>
      </c>
      <c r="X90" s="296">
        <f t="shared" si="35"/>
        <v>2.2490088229402074</v>
      </c>
      <c r="Y90" s="296">
        <f t="shared" si="55"/>
        <v>0.68270264688206228</v>
      </c>
      <c r="Z90" s="296">
        <f t="shared" si="37"/>
        <v>60.334394517239936</v>
      </c>
      <c r="AA90" s="296">
        <f t="shared" si="38"/>
        <v>2.2490096557668058</v>
      </c>
      <c r="AB90" s="296">
        <f t="shared" si="39"/>
        <v>0.6827028967300417</v>
      </c>
      <c r="AC90" s="296">
        <f t="shared" si="40"/>
        <v>60.334403694642454</v>
      </c>
      <c r="AD90" s="296">
        <f t="shared" si="41"/>
        <v>2.2490096061430909</v>
      </c>
      <c r="AE90" s="296">
        <f t="shared" si="56"/>
        <v>0.68270288184292727</v>
      </c>
      <c r="AF90" s="296">
        <f t="shared" si="43"/>
        <v>60.334403147809731</v>
      </c>
      <c r="AG90" s="296">
        <f t="shared" si="44"/>
        <v>2.2490096090999048</v>
      </c>
      <c r="AH90" s="475">
        <f t="shared" si="57"/>
        <v>0.68270288272997148</v>
      </c>
      <c r="AI90" s="475">
        <f t="shared" si="46"/>
        <v>60.334403180392592</v>
      </c>
      <c r="AJ90" s="475">
        <f t="shared" si="47"/>
        <v>2.2490096089237235</v>
      </c>
    </row>
    <row r="91" spans="11:36">
      <c r="K91" s="278">
        <f t="shared" si="25"/>
        <v>56.64705882352942</v>
      </c>
      <c r="L91" s="296">
        <f t="shared" si="26"/>
        <v>2.335354221488056</v>
      </c>
      <c r="M91" s="296">
        <f t="shared" si="48"/>
        <v>0.70860626644641678</v>
      </c>
      <c r="N91" s="11">
        <f t="shared" si="27"/>
        <v>47.865953726276913</v>
      </c>
      <c r="O91" s="296">
        <f t="shared" si="28"/>
        <v>2.3896451070242524</v>
      </c>
      <c r="P91" s="11">
        <f t="shared" si="49"/>
        <v>0.7248935321072757</v>
      </c>
      <c r="Q91" s="296">
        <f t="shared" si="29"/>
        <v>48.318720470113732</v>
      </c>
      <c r="R91" s="296">
        <f t="shared" si="30"/>
        <v>2.3865839806839073</v>
      </c>
      <c r="S91" s="296">
        <f t="shared" si="54"/>
        <v>0.7239751942051722</v>
      </c>
      <c r="T91" s="296">
        <f t="shared" si="31"/>
        <v>48.29307820795681</v>
      </c>
      <c r="U91" s="296">
        <f t="shared" si="32"/>
        <v>2.3867564967253521</v>
      </c>
      <c r="V91" s="296">
        <f t="shared" si="50"/>
        <v>0.72402694901760567</v>
      </c>
      <c r="W91" s="296">
        <f t="shared" si="34"/>
        <v>48.294522968220662</v>
      </c>
      <c r="X91" s="296">
        <f t="shared" si="35"/>
        <v>2.3867467739701378</v>
      </c>
      <c r="Y91" s="296">
        <f t="shared" si="55"/>
        <v>0.72402403219104139</v>
      </c>
      <c r="Z91" s="296">
        <f t="shared" si="37"/>
        <v>48.294441542467176</v>
      </c>
      <c r="AA91" s="296">
        <f t="shared" si="38"/>
        <v>2.3867473219297675</v>
      </c>
      <c r="AB91" s="296">
        <f t="shared" si="39"/>
        <v>0.72402419657893025</v>
      </c>
      <c r="AC91" s="296">
        <f t="shared" si="40"/>
        <v>48.294446131494588</v>
      </c>
      <c r="AD91" s="296">
        <f t="shared" si="41"/>
        <v>2.3867472910475978</v>
      </c>
      <c r="AE91" s="296">
        <f t="shared" si="56"/>
        <v>0.72402418731427931</v>
      </c>
      <c r="AF91" s="296">
        <f t="shared" si="43"/>
        <v>48.294445872863989</v>
      </c>
      <c r="AG91" s="296">
        <f t="shared" si="44"/>
        <v>2.3867472927880695</v>
      </c>
      <c r="AH91" s="475">
        <f t="shared" si="57"/>
        <v>0.72402418783642086</v>
      </c>
      <c r="AI91" s="475">
        <f t="shared" si="46"/>
        <v>48.294445887440013</v>
      </c>
      <c r="AJ91" s="475">
        <f t="shared" si="47"/>
        <v>2.3867472926899791</v>
      </c>
    </row>
    <row r="92" spans="11:36">
      <c r="K92" s="278">
        <f t="shared" si="25"/>
        <v>42.806228373702417</v>
      </c>
      <c r="L92" s="296">
        <f t="shared" si="26"/>
        <v>2.3283098103281765</v>
      </c>
      <c r="M92" s="296">
        <f t="shared" si="48"/>
        <v>0.70649294309845301</v>
      </c>
      <c r="N92" s="11">
        <f t="shared" si="27"/>
        <v>36.44442517679358</v>
      </c>
      <c r="O92" s="296">
        <f t="shared" si="28"/>
        <v>2.38387117324908</v>
      </c>
      <c r="P92" s="11">
        <f t="shared" si="49"/>
        <v>0.72316135197472398</v>
      </c>
      <c r="Q92" s="296">
        <f t="shared" si="29"/>
        <v>36.778955281566738</v>
      </c>
      <c r="R92" s="296">
        <f t="shared" si="30"/>
        <v>2.3806956163942918</v>
      </c>
      <c r="S92" s="296">
        <f t="shared" si="54"/>
        <v>0.7222086849182876</v>
      </c>
      <c r="T92" s="296">
        <f t="shared" si="31"/>
        <v>36.759753061471748</v>
      </c>
      <c r="U92" s="296">
        <f t="shared" si="32"/>
        <v>2.380877048238192</v>
      </c>
      <c r="V92" s="296">
        <f t="shared" si="50"/>
        <v>0.72226311447145763</v>
      </c>
      <c r="W92" s="296">
        <f t="shared" si="34"/>
        <v>36.760849888483357</v>
      </c>
      <c r="X92" s="296">
        <f t="shared" si="35"/>
        <v>2.3808666821257582</v>
      </c>
      <c r="Y92" s="296">
        <f t="shared" si="55"/>
        <v>0.72226000463772744</v>
      </c>
      <c r="Z92" s="296">
        <f t="shared" si="37"/>
        <v>36.760787220366169</v>
      </c>
      <c r="AA92" s="296">
        <f t="shared" si="38"/>
        <v>2.3808672743931383</v>
      </c>
      <c r="AB92" s="296">
        <f t="shared" si="39"/>
        <v>0.72226018231794153</v>
      </c>
      <c r="AC92" s="296">
        <f t="shared" si="40"/>
        <v>36.760790800903422</v>
      </c>
      <c r="AD92" s="296">
        <f t="shared" si="41"/>
        <v>2.380867240553965</v>
      </c>
      <c r="AE92" s="296">
        <f t="shared" si="56"/>
        <v>0.72226017216618954</v>
      </c>
      <c r="AF92" s="296">
        <f t="shared" si="43"/>
        <v>36.760790596329564</v>
      </c>
      <c r="AG92" s="296">
        <f t="shared" si="44"/>
        <v>2.3808672424873651</v>
      </c>
      <c r="AH92" s="475">
        <f t="shared" si="57"/>
        <v>0.72226017274620957</v>
      </c>
      <c r="AI92" s="475">
        <f t="shared" si="46"/>
        <v>36.760790608017885</v>
      </c>
      <c r="AJ92" s="475">
        <f t="shared" si="47"/>
        <v>2.3808672423769002</v>
      </c>
    </row>
    <row r="93" spans="11:36">
      <c r="K93" s="278">
        <f t="shared" si="25"/>
        <v>31.436974789915965</v>
      </c>
      <c r="L93" s="296">
        <f t="shared" si="26"/>
        <v>2.7051211996695392</v>
      </c>
      <c r="M93" s="296">
        <f t="shared" si="48"/>
        <v>0.81953635990086182</v>
      </c>
      <c r="N93" s="11">
        <f t="shared" si="27"/>
        <v>28.625247980728371</v>
      </c>
      <c r="O93" s="296">
        <f t="shared" si="28"/>
        <v>2.7349349624935804</v>
      </c>
      <c r="P93" s="11">
        <f t="shared" si="49"/>
        <v>0.82848048874807412</v>
      </c>
      <c r="Q93" s="296">
        <f t="shared" si="29"/>
        <v>28.758485220982227</v>
      </c>
      <c r="R93" s="296">
        <f t="shared" si="30"/>
        <v>2.7334507261428791</v>
      </c>
      <c r="S93" s="296">
        <f t="shared" si="54"/>
        <v>0.82803521784286382</v>
      </c>
      <c r="T93" s="296">
        <f t="shared" si="31"/>
        <v>28.751837547420457</v>
      </c>
      <c r="U93" s="296">
        <f t="shared" si="32"/>
        <v>2.7335246006355183</v>
      </c>
      <c r="V93" s="296">
        <f t="shared" si="50"/>
        <v>0.82805738019065545</v>
      </c>
      <c r="W93" s="296">
        <f t="shared" si="34"/>
        <v>28.752168383929529</v>
      </c>
      <c r="X93" s="296">
        <f t="shared" si="35"/>
        <v>2.7335209236604734</v>
      </c>
      <c r="Y93" s="296">
        <f t="shared" si="55"/>
        <v>0.82805627709814211</v>
      </c>
      <c r="Z93" s="296">
        <f t="shared" si="37"/>
        <v>28.752151917024719</v>
      </c>
      <c r="AA93" s="296">
        <f t="shared" si="38"/>
        <v>2.733521106675445</v>
      </c>
      <c r="AB93" s="296">
        <f t="shared" si="39"/>
        <v>0.82805633200263351</v>
      </c>
      <c r="AC93" s="296">
        <f t="shared" si="40"/>
        <v>28.752152736635747</v>
      </c>
      <c r="AD93" s="296">
        <f t="shared" si="41"/>
        <v>2.7335210975661957</v>
      </c>
      <c r="AE93" s="296">
        <f t="shared" si="56"/>
        <v>0.82805632926985873</v>
      </c>
      <c r="AF93" s="296">
        <f t="shared" si="43"/>
        <v>28.752152695841048</v>
      </c>
      <c r="AG93" s="296">
        <f t="shared" si="44"/>
        <v>2.733521098019593</v>
      </c>
      <c r="AH93" s="475">
        <f t="shared" si="57"/>
        <v>0.82805632940587792</v>
      </c>
      <c r="AI93" s="475">
        <f t="shared" si="46"/>
        <v>28.752152697871534</v>
      </c>
      <c r="AJ93" s="475">
        <f t="shared" si="47"/>
        <v>2.7335210979970257</v>
      </c>
    </row>
    <row r="94" spans="11:36">
      <c r="K94" s="278">
        <f t="shared" si="25"/>
        <v>14.163398692810455</v>
      </c>
      <c r="L94" s="296">
        <f t="shared" si="26"/>
        <v>2.9878038582767394</v>
      </c>
      <c r="M94" s="296">
        <f t="shared" si="48"/>
        <v>0.9043411574830218</v>
      </c>
      <c r="N94" s="11">
        <f t="shared" si="27"/>
        <v>13.513516255060221</v>
      </c>
      <c r="O94" s="296">
        <f t="shared" si="28"/>
        <v>3.0036631416392137</v>
      </c>
      <c r="P94" s="11">
        <f t="shared" si="49"/>
        <v>0.90909894249176415</v>
      </c>
      <c r="Q94" s="296">
        <f t="shared" si="29"/>
        <v>13.545123191886825</v>
      </c>
      <c r="R94" s="296">
        <f t="shared" si="30"/>
        <v>3.0028730528687455</v>
      </c>
      <c r="S94" s="296">
        <f t="shared" si="54"/>
        <v>0.9088619158606237</v>
      </c>
      <c r="T94" s="296">
        <f t="shared" si="31"/>
        <v>13.543546827325175</v>
      </c>
      <c r="U94" s="296">
        <f t="shared" si="32"/>
        <v>3.0029124108653642</v>
      </c>
      <c r="V94" s="296">
        <f t="shared" si="50"/>
        <v>0.90887372325960936</v>
      </c>
      <c r="W94" s="296">
        <f t="shared" si="34"/>
        <v>13.54362534903424</v>
      </c>
      <c r="X94" s="296">
        <f t="shared" si="35"/>
        <v>3.0029104502525583</v>
      </c>
      <c r="Y94" s="296">
        <f t="shared" si="55"/>
        <v>0.9088731350757675</v>
      </c>
      <c r="Z94" s="296">
        <f t="shared" si="37"/>
        <v>13.543621437476093</v>
      </c>
      <c r="AA94" s="296">
        <f t="shared" si="38"/>
        <v>3.0029105479201772</v>
      </c>
      <c r="AB94" s="296">
        <f t="shared" si="39"/>
        <v>0.90887316437605326</v>
      </c>
      <c r="AC94" s="296">
        <f t="shared" si="40"/>
        <v>13.543621632329721</v>
      </c>
      <c r="AD94" s="296">
        <f t="shared" si="41"/>
        <v>3.0029105430548801</v>
      </c>
      <c r="AE94" s="296">
        <f t="shared" si="56"/>
        <v>0.90887316291646414</v>
      </c>
      <c r="AF94" s="296">
        <f t="shared" si="43"/>
        <v>13.543621622623119</v>
      </c>
      <c r="AG94" s="296">
        <f t="shared" si="44"/>
        <v>3.0029105432972441</v>
      </c>
      <c r="AH94" s="475">
        <f t="shared" si="57"/>
        <v>0.90887316298917331</v>
      </c>
      <c r="AI94" s="475">
        <f t="shared" si="46"/>
        <v>13.543621623106651</v>
      </c>
      <c r="AJ94" s="475">
        <f t="shared" si="47"/>
        <v>3.0029105432851706</v>
      </c>
    </row>
    <row r="95" spans="11:36">
      <c r="K95" s="278">
        <f t="shared" si="25"/>
        <v>61.41653418124006</v>
      </c>
      <c r="L95" s="296">
        <f t="shared" si="26"/>
        <v>2.302281436188796</v>
      </c>
      <c r="M95" s="296">
        <f t="shared" si="48"/>
        <v>0.69868443085663878</v>
      </c>
      <c r="N95" s="11">
        <f t="shared" si="27"/>
        <v>53.409143029935422</v>
      </c>
      <c r="O95" s="296">
        <f t="shared" si="28"/>
        <v>2.3469637534119667</v>
      </c>
      <c r="P95" s="11">
        <f t="shared" si="49"/>
        <v>0.71208912602358998</v>
      </c>
      <c r="Q95" s="296">
        <f t="shared" si="29"/>
        <v>53.742100447587056</v>
      </c>
      <c r="R95" s="296">
        <f t="shared" si="30"/>
        <v>2.3449606948780404</v>
      </c>
      <c r="S95" s="296">
        <f t="shared" si="54"/>
        <v>0.7114882084634121</v>
      </c>
      <c r="T95" s="296">
        <f t="shared" si="31"/>
        <v>53.727129993753948</v>
      </c>
      <c r="U95" s="296">
        <f t="shared" si="32"/>
        <v>2.3450504598850164</v>
      </c>
      <c r="V95" s="296">
        <f t="shared" si="50"/>
        <v>0.71151513796550492</v>
      </c>
      <c r="W95" s="296">
        <f t="shared" si="34"/>
        <v>53.727800789974879</v>
      </c>
      <c r="X95" s="296">
        <f t="shared" si="35"/>
        <v>2.3450464370985284</v>
      </c>
      <c r="Y95" s="296">
        <f t="shared" si="55"/>
        <v>0.71151393112955852</v>
      </c>
      <c r="Z95" s="296">
        <f t="shared" si="37"/>
        <v>53.72777072830435</v>
      </c>
      <c r="AA95" s="296">
        <f t="shared" si="38"/>
        <v>2.3450466173781366</v>
      </c>
      <c r="AB95" s="296">
        <f t="shared" si="39"/>
        <v>0.711513985213441</v>
      </c>
      <c r="AC95" s="296">
        <f t="shared" si="40"/>
        <v>53.727772075506032</v>
      </c>
      <c r="AD95" s="296">
        <f t="shared" si="41"/>
        <v>2.3450466092989761</v>
      </c>
      <c r="AE95" s="296">
        <f t="shared" si="56"/>
        <v>0.7115139827896928</v>
      </c>
      <c r="AF95" s="296">
        <f t="shared" si="43"/>
        <v>53.72777201513172</v>
      </c>
      <c r="AG95" s="296">
        <f t="shared" si="44"/>
        <v>2.3450466096610407</v>
      </c>
      <c r="AH95" s="475">
        <f t="shared" si="57"/>
        <v>0.71151398289831225</v>
      </c>
      <c r="AI95" s="475">
        <f t="shared" si="46"/>
        <v>53.727772017837374</v>
      </c>
      <c r="AJ95" s="475">
        <f t="shared" si="47"/>
        <v>2.3450466096448146</v>
      </c>
    </row>
    <row r="96" spans="11:36">
      <c r="K96" s="278">
        <f t="shared" si="25"/>
        <v>52.003095975232206</v>
      </c>
      <c r="L96" s="296">
        <f t="shared" si="26"/>
        <v>2.3221321853486927</v>
      </c>
      <c r="M96" s="296">
        <f t="shared" si="48"/>
        <v>0.70463965560460784</v>
      </c>
      <c r="N96" s="11">
        <f t="shared" si="27"/>
        <v>45.706652057195583</v>
      </c>
      <c r="O96" s="296">
        <f t="shared" si="28"/>
        <v>2.364753444022754</v>
      </c>
      <c r="P96" s="11">
        <f t="shared" si="49"/>
        <v>0.71742603320682619</v>
      </c>
      <c r="Q96" s="296">
        <f t="shared" si="29"/>
        <v>45.962733556998124</v>
      </c>
      <c r="R96" s="296">
        <f t="shared" si="30"/>
        <v>2.3628967245056027</v>
      </c>
      <c r="S96" s="296">
        <f t="shared" si="54"/>
        <v>0.71686901735168085</v>
      </c>
      <c r="T96" s="296">
        <f t="shared" si="31"/>
        <v>45.951547989056053</v>
      </c>
      <c r="U96" s="296">
        <f t="shared" si="32"/>
        <v>2.3629775876837198</v>
      </c>
      <c r="V96" s="296">
        <f t="shared" si="50"/>
        <v>0.7168932763051159</v>
      </c>
      <c r="W96" s="296">
        <f t="shared" si="34"/>
        <v>45.952035082172969</v>
      </c>
      <c r="X96" s="296">
        <f t="shared" si="35"/>
        <v>2.3629740659189307</v>
      </c>
      <c r="Y96" s="296">
        <f t="shared" si="55"/>
        <v>0.71689221977567918</v>
      </c>
      <c r="Z96" s="296">
        <f t="shared" si="37"/>
        <v>45.952013868115792</v>
      </c>
      <c r="AA96" s="296">
        <f t="shared" si="38"/>
        <v>2.3629742192992609</v>
      </c>
      <c r="AB96" s="296">
        <f t="shared" si="39"/>
        <v>0.71689226578977827</v>
      </c>
      <c r="AC96" s="296">
        <f t="shared" si="40"/>
        <v>45.952014792032799</v>
      </c>
      <c r="AD96" s="296">
        <f t="shared" si="41"/>
        <v>2.3629742126192221</v>
      </c>
      <c r="AE96" s="296">
        <f t="shared" si="56"/>
        <v>0.71689226378576665</v>
      </c>
      <c r="AF96" s="296">
        <f t="shared" si="43"/>
        <v>45.952014751794252</v>
      </c>
      <c r="AG96" s="296">
        <f t="shared" si="44"/>
        <v>2.3629742129101521</v>
      </c>
      <c r="AH96" s="475">
        <f t="shared" si="57"/>
        <v>0.71689226387304561</v>
      </c>
      <c r="AI96" s="475">
        <f t="shared" si="46"/>
        <v>45.952014753546727</v>
      </c>
      <c r="AJ96" s="475">
        <f t="shared" si="47"/>
        <v>2.3629742128974813</v>
      </c>
    </row>
    <row r="97" spans="11:36">
      <c r="K97" s="278">
        <f t="shared" si="25"/>
        <v>64.188536953242831</v>
      </c>
      <c r="L97" s="296">
        <f t="shared" si="26"/>
        <v>2.3709799388906116</v>
      </c>
      <c r="M97" s="296">
        <f t="shared" si="48"/>
        <v>0.7192939816671835</v>
      </c>
      <c r="N97" s="11">
        <f t="shared" si="27"/>
        <v>57.194629387009456</v>
      </c>
      <c r="O97" s="296">
        <f t="shared" si="28"/>
        <v>2.406377000544929</v>
      </c>
      <c r="P97" s="11">
        <f t="shared" si="49"/>
        <v>0.72991310016347866</v>
      </c>
      <c r="Q97" s="296">
        <f t="shared" si="29"/>
        <v>57.444786432707566</v>
      </c>
      <c r="R97" s="296">
        <f t="shared" si="30"/>
        <v>2.4050284143164404</v>
      </c>
      <c r="S97" s="296">
        <f t="shared" si="54"/>
        <v>0.72950852429493218</v>
      </c>
      <c r="T97" s="296">
        <f t="shared" si="31"/>
        <v>57.435235726580302</v>
      </c>
      <c r="U97" s="296">
        <f t="shared" si="32"/>
        <v>2.4050797803447987</v>
      </c>
      <c r="V97" s="296">
        <f t="shared" si="50"/>
        <v>0.72952393410343963</v>
      </c>
      <c r="W97" s="296">
        <f t="shared" si="34"/>
        <v>57.435599472405876</v>
      </c>
      <c r="X97" s="296">
        <f t="shared" si="35"/>
        <v>2.4050778238549029</v>
      </c>
      <c r="Y97" s="296">
        <f t="shared" si="55"/>
        <v>0.72952334715647082</v>
      </c>
      <c r="Z97" s="296">
        <f t="shared" si="37"/>
        <v>57.435585617583484</v>
      </c>
      <c r="AA97" s="296">
        <f t="shared" si="38"/>
        <v>2.40507789837597</v>
      </c>
      <c r="AB97" s="296">
        <f t="shared" si="39"/>
        <v>0.72952336951279095</v>
      </c>
      <c r="AC97" s="296">
        <f t="shared" si="40"/>
        <v>57.43558614530204</v>
      </c>
      <c r="AD97" s="296">
        <f t="shared" si="41"/>
        <v>2.4050778955375245</v>
      </c>
      <c r="AE97" s="296">
        <f t="shared" si="56"/>
        <v>0.72952336866125733</v>
      </c>
      <c r="AF97" s="296">
        <f t="shared" si="43"/>
        <v>57.435586125201681</v>
      </c>
      <c r="AG97" s="296">
        <f t="shared" si="44"/>
        <v>2.4050778956456389</v>
      </c>
      <c r="AH97" s="475">
        <f t="shared" si="57"/>
        <v>0.72952336869369172</v>
      </c>
      <c r="AI97" s="475">
        <f t="shared" si="46"/>
        <v>57.435586125967284</v>
      </c>
      <c r="AJ97" s="475">
        <f t="shared" si="47"/>
        <v>2.4050778956415209</v>
      </c>
    </row>
    <row r="98" spans="11:36">
      <c r="K98" s="278">
        <f t="shared" si="25"/>
        <v>52.235294117647065</v>
      </c>
      <c r="L98" s="296">
        <f t="shared" si="26"/>
        <v>2.271261600344832</v>
      </c>
      <c r="M98" s="296">
        <f t="shared" si="48"/>
        <v>0.6893784801034496</v>
      </c>
      <c r="N98" s="11">
        <f t="shared" si="27"/>
        <v>46.33804514082783</v>
      </c>
      <c r="O98" s="296">
        <f t="shared" si="28"/>
        <v>2.3116314628061181</v>
      </c>
      <c r="P98" s="11">
        <f t="shared" si="49"/>
        <v>0.70148943884183546</v>
      </c>
      <c r="Q98" s="296">
        <f t="shared" si="29"/>
        <v>46.55498445205837</v>
      </c>
      <c r="R98" s="296">
        <f t="shared" si="30"/>
        <v>2.3100487298952674</v>
      </c>
      <c r="S98" s="296">
        <f t="shared" si="54"/>
        <v>0.70101461896858019</v>
      </c>
      <c r="T98" s="296">
        <f t="shared" si="31"/>
        <v>46.546460074033703</v>
      </c>
      <c r="U98" s="296">
        <f t="shared" si="32"/>
        <v>2.310110769087665</v>
      </c>
      <c r="V98" s="296">
        <f t="shared" si="50"/>
        <v>0.70103323072629953</v>
      </c>
      <c r="W98" s="296">
        <f t="shared" si="34"/>
        <v>46.546794179050956</v>
      </c>
      <c r="X98" s="296">
        <f t="shared" si="35"/>
        <v>2.3101083372854898</v>
      </c>
      <c r="Y98" s="296">
        <f t="shared" si="55"/>
        <v>0.70103250118564697</v>
      </c>
      <c r="Z98" s="296">
        <f t="shared" si="37"/>
        <v>46.546781082811655</v>
      </c>
      <c r="AA98" s="296">
        <f t="shared" si="38"/>
        <v>2.3101084326068451</v>
      </c>
      <c r="AB98" s="296">
        <f t="shared" si="39"/>
        <v>0.70103252978205355</v>
      </c>
      <c r="AC98" s="296">
        <f t="shared" si="40"/>
        <v>46.546781596155682</v>
      </c>
      <c r="AD98" s="296">
        <f t="shared" si="41"/>
        <v>2.3101084288704552</v>
      </c>
      <c r="AE98" s="296">
        <f t="shared" si="56"/>
        <v>0.70103252866113652</v>
      </c>
      <c r="AF98" s="296">
        <f t="shared" si="43"/>
        <v>46.546781576033709</v>
      </c>
      <c r="AG98" s="296">
        <f t="shared" si="44"/>
        <v>2.3101084290169136</v>
      </c>
      <c r="AH98" s="475">
        <f t="shared" si="57"/>
        <v>0.70103252870507404</v>
      </c>
      <c r="AI98" s="475">
        <f t="shared" si="46"/>
        <v>46.546781576822447</v>
      </c>
      <c r="AJ98" s="475">
        <f t="shared" si="47"/>
        <v>2.3101084290111729</v>
      </c>
    </row>
    <row r="99" spans="11:36">
      <c r="K99" s="278">
        <f t="shared" si="25"/>
        <v>68.12482065997132</v>
      </c>
      <c r="L99" s="296">
        <f t="shared" si="26"/>
        <v>2.2685890822321735</v>
      </c>
      <c r="M99" s="296">
        <f t="shared" si="48"/>
        <v>0.68857672466965203</v>
      </c>
      <c r="N99" s="11">
        <f t="shared" si="27"/>
        <v>60.881369100370328</v>
      </c>
      <c r="O99" s="296">
        <f t="shared" si="28"/>
        <v>2.3040594440794875</v>
      </c>
      <c r="P99" s="11">
        <f t="shared" si="49"/>
        <v>0.69921783322384623</v>
      </c>
      <c r="Q99" s="296">
        <f t="shared" si="29"/>
        <v>61.115671421141364</v>
      </c>
      <c r="R99" s="296">
        <f t="shared" si="30"/>
        <v>2.302839383869189</v>
      </c>
      <c r="S99" s="296">
        <f t="shared" si="54"/>
        <v>0.69885181516075667</v>
      </c>
      <c r="T99" s="296">
        <f t="shared" si="31"/>
        <v>61.107597260845402</v>
      </c>
      <c r="U99" s="296">
        <f t="shared" si="32"/>
        <v>2.3028813404713322</v>
      </c>
      <c r="V99" s="296">
        <f t="shared" si="50"/>
        <v>0.69886440214139967</v>
      </c>
      <c r="W99" s="296">
        <f t="shared" si="34"/>
        <v>61.10787490511192</v>
      </c>
      <c r="X99" s="296">
        <f t="shared" si="35"/>
        <v>2.3028798976163607</v>
      </c>
      <c r="Y99" s="296">
        <f t="shared" si="55"/>
        <v>0.69886396928490824</v>
      </c>
      <c r="Z99" s="296">
        <f t="shared" si="37"/>
        <v>61.107865357120218</v>
      </c>
      <c r="AA99" s="296">
        <f t="shared" si="38"/>
        <v>2.3028799472350094</v>
      </c>
      <c r="AB99" s="296">
        <f t="shared" si="39"/>
        <v>0.69886398417050288</v>
      </c>
      <c r="AC99" s="296">
        <f t="shared" si="40"/>
        <v>61.107865685468134</v>
      </c>
      <c r="AD99" s="296">
        <f t="shared" si="41"/>
        <v>2.3028799455286633</v>
      </c>
      <c r="AE99" s="296">
        <f t="shared" si="56"/>
        <v>0.69886398365859903</v>
      </c>
      <c r="AF99" s="296">
        <f t="shared" si="43"/>
        <v>61.107865674176509</v>
      </c>
      <c r="AG99" s="296">
        <f t="shared" si="44"/>
        <v>2.3028799455873434</v>
      </c>
      <c r="AH99" s="475">
        <f t="shared" si="57"/>
        <v>0.69886398367620306</v>
      </c>
      <c r="AI99" s="475">
        <f t="shared" si="46"/>
        <v>61.107865674564813</v>
      </c>
      <c r="AJ99" s="475">
        <f t="shared" si="47"/>
        <v>2.302879945585325</v>
      </c>
    </row>
    <row r="100" spans="11:36">
      <c r="K100" s="278">
        <f t="shared" si="25"/>
        <v>76.254901960784309</v>
      </c>
      <c r="L100" s="296">
        <f t="shared" si="26"/>
        <v>2.2755926645934705</v>
      </c>
      <c r="M100" s="296">
        <f t="shared" si="48"/>
        <v>0.69067779937804119</v>
      </c>
      <c r="N100" s="11">
        <f t="shared" si="27"/>
        <v>68.708960155946684</v>
      </c>
      <c r="O100" s="296">
        <f t="shared" si="28"/>
        <v>2.3073954246923818</v>
      </c>
      <c r="P100" s="11">
        <f t="shared" si="49"/>
        <v>0.70021862740771457</v>
      </c>
      <c r="Q100" s="296">
        <f t="shared" si="29"/>
        <v>68.930148824332832</v>
      </c>
      <c r="R100" s="296">
        <f t="shared" si="30"/>
        <v>2.3064077734657595</v>
      </c>
      <c r="S100" s="296">
        <f t="shared" si="54"/>
        <v>0.69992233203972787</v>
      </c>
      <c r="T100" s="296">
        <f t="shared" si="31"/>
        <v>68.923268994009348</v>
      </c>
      <c r="U100" s="296">
        <f t="shared" si="32"/>
        <v>2.3064384391407899</v>
      </c>
      <c r="V100" s="296">
        <f t="shared" si="50"/>
        <v>0.69993153174223699</v>
      </c>
      <c r="W100" s="296">
        <f t="shared" si="34"/>
        <v>68.923482596173031</v>
      </c>
      <c r="X100" s="296">
        <f t="shared" si="35"/>
        <v>2.3064374869932642</v>
      </c>
      <c r="Y100" s="296">
        <f t="shared" si="55"/>
        <v>0.6999312460979793</v>
      </c>
      <c r="Z100" s="296">
        <f t="shared" si="37"/>
        <v>68.923475963966922</v>
      </c>
      <c r="AA100" s="296">
        <f t="shared" si="38"/>
        <v>2.3064375165567657</v>
      </c>
      <c r="AB100" s="296">
        <f t="shared" si="39"/>
        <v>0.69993125496702968</v>
      </c>
      <c r="AC100" s="296">
        <f t="shared" si="40"/>
        <v>68.923476169892183</v>
      </c>
      <c r="AD100" s="296">
        <f t="shared" si="41"/>
        <v>2.3064375156388399</v>
      </c>
      <c r="AE100" s="296">
        <f t="shared" si="56"/>
        <v>0.69993125469165196</v>
      </c>
      <c r="AF100" s="296">
        <f t="shared" si="43"/>
        <v>68.92347616349835</v>
      </c>
      <c r="AG100" s="296">
        <f t="shared" si="44"/>
        <v>2.3064375156673411</v>
      </c>
      <c r="AH100" s="475">
        <f t="shared" si="57"/>
        <v>0.69993125470020234</v>
      </c>
      <c r="AI100" s="475">
        <f t="shared" si="46"/>
        <v>68.923476163696876</v>
      </c>
      <c r="AJ100" s="475">
        <f t="shared" si="47"/>
        <v>2.3064375156664561</v>
      </c>
    </row>
    <row r="101" spans="11:36">
      <c r="K101" s="278">
        <f t="shared" si="25"/>
        <v>73.062927496580031</v>
      </c>
      <c r="L101" s="296">
        <f t="shared" si="26"/>
        <v>2.2461253294570116</v>
      </c>
      <c r="M101" s="296">
        <f t="shared" si="48"/>
        <v>0.68183759883710349</v>
      </c>
      <c r="N101" s="11">
        <f t="shared" si="27"/>
        <v>66.130330852187228</v>
      </c>
      <c r="O101" s="296">
        <f t="shared" si="28"/>
        <v>2.2772895636777069</v>
      </c>
      <c r="P101" s="11">
        <f t="shared" si="49"/>
        <v>0.69118686910331206</v>
      </c>
      <c r="Q101" s="296">
        <f t="shared" si="29"/>
        <v>66.324344848956926</v>
      </c>
      <c r="R101" s="296">
        <f t="shared" si="30"/>
        <v>2.276368136631767</v>
      </c>
      <c r="S101" s="296">
        <f t="shared" si="54"/>
        <v>0.69091044098953014</v>
      </c>
      <c r="T101" s="296">
        <f t="shared" si="31"/>
        <v>66.318600315922495</v>
      </c>
      <c r="U101" s="296">
        <f t="shared" si="32"/>
        <v>2.2763953754412585</v>
      </c>
      <c r="V101" s="296">
        <f t="shared" si="50"/>
        <v>0.69091861263237753</v>
      </c>
      <c r="W101" s="296">
        <f t="shared" si="34"/>
        <v>66.318770126072337</v>
      </c>
      <c r="X101" s="296">
        <f t="shared" si="35"/>
        <v>2.2763945702156536</v>
      </c>
      <c r="Y101" s="296">
        <f t="shared" si="55"/>
        <v>0.69091837106469611</v>
      </c>
      <c r="Z101" s="296">
        <f t="shared" si="37"/>
        <v>66.318765106188835</v>
      </c>
      <c r="AA101" s="296">
        <f t="shared" si="38"/>
        <v>2.2763945940194898</v>
      </c>
      <c r="AB101" s="296">
        <f t="shared" si="39"/>
        <v>0.69091837820584701</v>
      </c>
      <c r="AC101" s="296">
        <f t="shared" si="40"/>
        <v>66.318765254585102</v>
      </c>
      <c r="AD101" s="296">
        <f t="shared" si="41"/>
        <v>2.2763945933158083</v>
      </c>
      <c r="AE101" s="296">
        <f t="shared" si="56"/>
        <v>0.69091837799474254</v>
      </c>
      <c r="AF101" s="296">
        <f t="shared" si="43"/>
        <v>66.318765250198254</v>
      </c>
      <c r="AG101" s="296">
        <f t="shared" si="44"/>
        <v>2.2763945933366103</v>
      </c>
      <c r="AH101" s="475">
        <f t="shared" si="57"/>
        <v>0.6909183780009831</v>
      </c>
      <c r="AI101" s="475">
        <f t="shared" si="46"/>
        <v>66.318765250327942</v>
      </c>
      <c r="AJ101" s="475">
        <f t="shared" si="47"/>
        <v>2.2763945933359953</v>
      </c>
    </row>
    <row r="102" spans="11:36">
      <c r="K102" s="278">
        <f t="shared" si="25"/>
        <v>86.058823529411754</v>
      </c>
      <c r="L102" s="296">
        <f t="shared" si="26"/>
        <v>2.1749616547960184</v>
      </c>
      <c r="M102" s="296">
        <f t="shared" si="48"/>
        <v>0.66048849643880558</v>
      </c>
      <c r="N102" s="11">
        <f t="shared" si="27"/>
        <v>77.98005670176569</v>
      </c>
      <c r="O102" s="296">
        <f t="shared" si="28"/>
        <v>2.2053890762443431</v>
      </c>
      <c r="P102" s="11">
        <f t="shared" si="49"/>
        <v>0.66961672287330298</v>
      </c>
      <c r="Q102" s="296">
        <f t="shared" si="29"/>
        <v>78.187009297461486</v>
      </c>
      <c r="R102" s="296">
        <f t="shared" si="30"/>
        <v>2.2045656115934928</v>
      </c>
      <c r="S102" s="296">
        <f t="shared" si="54"/>
        <v>0.66936968347804782</v>
      </c>
      <c r="T102" s="296">
        <f t="shared" si="31"/>
        <v>78.181401265068871</v>
      </c>
      <c r="U102" s="296">
        <f t="shared" si="32"/>
        <v>2.2045878933533234</v>
      </c>
      <c r="V102" s="296">
        <f t="shared" si="50"/>
        <v>0.66937636800599698</v>
      </c>
      <c r="W102" s="296">
        <f t="shared" si="34"/>
        <v>78.181553005001604</v>
      </c>
      <c r="X102" s="296">
        <f t="shared" si="35"/>
        <v>2.2045872904383703</v>
      </c>
      <c r="Y102" s="296">
        <f t="shared" si="55"/>
        <v>0.66937618713151115</v>
      </c>
      <c r="Z102" s="296">
        <f t="shared" si="37"/>
        <v>78.181548899115825</v>
      </c>
      <c r="AA102" s="296">
        <f t="shared" si="38"/>
        <v>2.2045873067524497</v>
      </c>
      <c r="AB102" s="296">
        <f t="shared" si="39"/>
        <v>0.66937619202573495</v>
      </c>
      <c r="AC102" s="296">
        <f t="shared" si="40"/>
        <v>78.181549010215647</v>
      </c>
      <c r="AD102" s="296">
        <f t="shared" si="41"/>
        <v>2.2045873063110122</v>
      </c>
      <c r="AE102" s="296">
        <f t="shared" si="56"/>
        <v>0.66937619189330366</v>
      </c>
      <c r="AF102" s="296">
        <f t="shared" si="43"/>
        <v>78.181549007209441</v>
      </c>
      <c r="AG102" s="296">
        <f t="shared" si="44"/>
        <v>2.2045873063229569</v>
      </c>
      <c r="AH102" s="475">
        <f t="shared" si="57"/>
        <v>0.66937619189688702</v>
      </c>
      <c r="AI102" s="475">
        <f t="shared" si="46"/>
        <v>78.181549007290783</v>
      </c>
      <c r="AJ102" s="475">
        <f t="shared" si="47"/>
        <v>2.2045873063226336</v>
      </c>
    </row>
    <row r="103" spans="11:36">
      <c r="K103" s="278">
        <f t="shared" si="25"/>
        <v>63.183006535947712</v>
      </c>
      <c r="L103" s="296">
        <f t="shared" si="26"/>
        <v>2.3849288599056075</v>
      </c>
      <c r="M103" s="296">
        <f t="shared" si="48"/>
        <v>0.72347865797168232</v>
      </c>
      <c r="N103" s="11">
        <f t="shared" si="27"/>
        <v>58.671905307397779</v>
      </c>
      <c r="O103" s="296">
        <f t="shared" si="28"/>
        <v>2.4075568695613705</v>
      </c>
      <c r="P103" s="11">
        <f t="shared" si="49"/>
        <v>0.7302670608684112</v>
      </c>
      <c r="Q103" s="296">
        <f t="shared" si="29"/>
        <v>58.778695686661656</v>
      </c>
      <c r="R103" s="296">
        <f t="shared" si="30"/>
        <v>2.4069987669270159</v>
      </c>
      <c r="S103" s="296">
        <f t="shared" si="54"/>
        <v>0.73009963007810474</v>
      </c>
      <c r="T103" s="296">
        <f t="shared" si="31"/>
        <v>58.776059446794989</v>
      </c>
      <c r="U103" s="296">
        <f t="shared" si="32"/>
        <v>2.4070125305434455</v>
      </c>
      <c r="V103" s="296">
        <f t="shared" si="50"/>
        <v>0.73010375916303372</v>
      </c>
      <c r="W103" s="296">
        <f t="shared" si="34"/>
        <v>58.776124458852784</v>
      </c>
      <c r="X103" s="296">
        <f t="shared" si="35"/>
        <v>2.4070121911118512</v>
      </c>
      <c r="Y103" s="296">
        <f t="shared" si="55"/>
        <v>0.73010365733355531</v>
      </c>
      <c r="Z103" s="296">
        <f t="shared" si="37"/>
        <v>58.776122855556267</v>
      </c>
      <c r="AA103" s="296">
        <f t="shared" si="38"/>
        <v>2.4070121994827467</v>
      </c>
      <c r="AB103" s="296">
        <f t="shared" si="39"/>
        <v>0.73010365984482406</v>
      </c>
      <c r="AC103" s="296">
        <f t="shared" si="40"/>
        <v>58.776122895095973</v>
      </c>
      <c r="AD103" s="296">
        <f t="shared" si="41"/>
        <v>2.4070121992763078</v>
      </c>
      <c r="AE103" s="296">
        <f t="shared" si="56"/>
        <v>0.73010365978289238</v>
      </c>
      <c r="AF103" s="296">
        <f t="shared" si="43"/>
        <v>58.776122894120874</v>
      </c>
      <c r="AG103" s="296">
        <f t="shared" si="44"/>
        <v>2.4070121992813993</v>
      </c>
      <c r="AH103" s="475">
        <f t="shared" si="57"/>
        <v>0.73010365978441982</v>
      </c>
      <c r="AI103" s="475">
        <f t="shared" si="46"/>
        <v>58.776122894144912</v>
      </c>
      <c r="AJ103" s="475">
        <f t="shared" si="47"/>
        <v>2.4070121992812736</v>
      </c>
    </row>
    <row r="104" spans="11:36">
      <c r="K104" s="278">
        <f t="shared" si="25"/>
        <v>79.664961636828664</v>
      </c>
      <c r="L104" s="296">
        <f t="shared" si="26"/>
        <v>2.2323687706946145</v>
      </c>
      <c r="M104" s="296">
        <f t="shared" si="48"/>
        <v>0.67771063120838437</v>
      </c>
      <c r="N104" s="11">
        <f t="shared" si="27"/>
        <v>73.595120918400937</v>
      </c>
      <c r="O104" s="296">
        <f t="shared" si="28"/>
        <v>2.2566881175386042</v>
      </c>
      <c r="P104" s="11">
        <f t="shared" si="49"/>
        <v>0.68500643526158123</v>
      </c>
      <c r="Q104" s="296">
        <f t="shared" si="29"/>
        <v>73.727272174011716</v>
      </c>
      <c r="R104" s="296">
        <f t="shared" si="30"/>
        <v>2.2561346813632732</v>
      </c>
      <c r="S104" s="296">
        <f t="shared" si="54"/>
        <v>0.68484040440898197</v>
      </c>
      <c r="T104" s="296">
        <f t="shared" si="31"/>
        <v>73.724262166508936</v>
      </c>
      <c r="U104" s="296">
        <f t="shared" si="32"/>
        <v>2.2561472744461293</v>
      </c>
      <c r="V104" s="296">
        <f t="shared" si="50"/>
        <v>0.68484418233383881</v>
      </c>
      <c r="W104" s="296">
        <f t="shared" si="34"/>
        <v>73.724330655920014</v>
      </c>
      <c r="X104" s="296">
        <f t="shared" si="35"/>
        <v>2.2561469878978913</v>
      </c>
      <c r="Y104" s="296">
        <f t="shared" si="55"/>
        <v>0.68484409636936738</v>
      </c>
      <c r="Z104" s="296">
        <f t="shared" si="37"/>
        <v>73.724329097482794</v>
      </c>
      <c r="AA104" s="296">
        <f t="shared" si="38"/>
        <v>2.2561469944181289</v>
      </c>
      <c r="AB104" s="296">
        <f t="shared" si="39"/>
        <v>0.68484409832543869</v>
      </c>
      <c r="AC104" s="296">
        <f t="shared" si="40"/>
        <v>73.724329132944121</v>
      </c>
      <c r="AD104" s="296">
        <f t="shared" si="41"/>
        <v>2.2561469942697645</v>
      </c>
      <c r="AE104" s="296">
        <f t="shared" si="56"/>
        <v>0.6848440982809294</v>
      </c>
      <c r="AF104" s="296">
        <f t="shared" si="43"/>
        <v>73.724329132137214</v>
      </c>
      <c r="AG104" s="296">
        <f t="shared" si="44"/>
        <v>2.2561469942731405</v>
      </c>
      <c r="AH104" s="475">
        <f t="shared" si="57"/>
        <v>0.68484409828194215</v>
      </c>
      <c r="AI104" s="475">
        <f t="shared" si="46"/>
        <v>73.72432913215556</v>
      </c>
      <c r="AJ104" s="475">
        <f t="shared" si="47"/>
        <v>2.2561469942730636</v>
      </c>
    </row>
    <row r="105" spans="11:36">
      <c r="K105" s="278">
        <f t="shared" si="25"/>
        <v>82.929912390488127</v>
      </c>
      <c r="L105" s="296">
        <f t="shared" si="26"/>
        <v>2.2343155961707541</v>
      </c>
      <c r="M105" s="296">
        <f t="shared" si="48"/>
        <v>0.6782946788512263</v>
      </c>
      <c r="N105" s="11">
        <f t="shared" si="27"/>
        <v>77.154273626202851</v>
      </c>
      <c r="O105" s="296">
        <f t="shared" si="28"/>
        <v>2.2561956195543229</v>
      </c>
      <c r="P105" s="11">
        <f t="shared" si="49"/>
        <v>0.68485868586629683</v>
      </c>
      <c r="Q105" s="296">
        <f t="shared" si="29"/>
        <v>77.267999894718812</v>
      </c>
      <c r="R105" s="296">
        <f t="shared" si="30"/>
        <v>2.2557469505891925</v>
      </c>
      <c r="S105" s="296">
        <f t="shared" si="54"/>
        <v>0.68472408517675776</v>
      </c>
      <c r="T105" s="296">
        <f t="shared" si="31"/>
        <v>77.265666155730074</v>
      </c>
      <c r="U105" s="296">
        <f t="shared" si="32"/>
        <v>2.2557561500121524</v>
      </c>
      <c r="V105" s="296">
        <f t="shared" si="50"/>
        <v>0.68472684500364567</v>
      </c>
      <c r="W105" s="296">
        <f t="shared" si="34"/>
        <v>77.265714005561762</v>
      </c>
      <c r="X105" s="296">
        <f t="shared" si="35"/>
        <v>2.2557559613885481</v>
      </c>
      <c r="Y105" s="296">
        <f t="shared" si="55"/>
        <v>0.68472678841656442</v>
      </c>
      <c r="Z105" s="296">
        <f t="shared" si="37"/>
        <v>77.265713024455607</v>
      </c>
      <c r="AA105" s="296">
        <f t="shared" si="38"/>
        <v>2.2557559652560584</v>
      </c>
      <c r="AB105" s="296">
        <f t="shared" si="39"/>
        <v>0.68472678957681754</v>
      </c>
      <c r="AC105" s="296">
        <f t="shared" si="40"/>
        <v>77.265713044572053</v>
      </c>
      <c r="AD105" s="296">
        <f t="shared" si="41"/>
        <v>2.2557559651767596</v>
      </c>
      <c r="AE105" s="296">
        <f t="shared" si="56"/>
        <v>0.6847267895530279</v>
      </c>
      <c r="AF105" s="296">
        <f t="shared" si="43"/>
        <v>77.265713044159597</v>
      </c>
      <c r="AG105" s="296">
        <f t="shared" si="44"/>
        <v>2.2557559651783854</v>
      </c>
      <c r="AH105" s="475">
        <f t="shared" si="57"/>
        <v>0.68472678955351562</v>
      </c>
      <c r="AI105" s="475">
        <f t="shared" si="46"/>
        <v>77.265713044168052</v>
      </c>
      <c r="AJ105" s="475">
        <f t="shared" si="47"/>
        <v>2.2557559651783521</v>
      </c>
    </row>
    <row r="106" spans="11:36">
      <c r="K106" s="278">
        <f t="shared" si="25"/>
        <v>86.058823529411754</v>
      </c>
      <c r="L106" s="11" t="e">
        <f t="shared" si="26"/>
        <v>#NUM!</v>
      </c>
      <c r="M106" s="11" t="e">
        <f t="shared" si="48"/>
        <v>#NUM!</v>
      </c>
      <c r="N106" s="11" t="e">
        <f t="shared" si="27"/>
        <v>#NUM!</v>
      </c>
      <c r="O106" s="296" t="e">
        <f t="shared" si="28"/>
        <v>#NUM!</v>
      </c>
      <c r="P106" s="11" t="e">
        <f t="shared" si="49"/>
        <v>#NUM!</v>
      </c>
      <c r="Q106" s="296" t="e">
        <f t="shared" si="29"/>
        <v>#NUM!</v>
      </c>
      <c r="R106" s="296" t="e">
        <f t="shared" si="30"/>
        <v>#NUM!</v>
      </c>
      <c r="S106" s="296" t="e">
        <f t="shared" si="54"/>
        <v>#NUM!</v>
      </c>
      <c r="T106" s="296" t="e">
        <f t="shared" si="31"/>
        <v>#NUM!</v>
      </c>
      <c r="U106" s="296" t="e">
        <f t="shared" si="32"/>
        <v>#NUM!</v>
      </c>
      <c r="V106" s="296" t="e">
        <f t="shared" si="50"/>
        <v>#NUM!</v>
      </c>
      <c r="W106" s="296" t="e">
        <f t="shared" si="34"/>
        <v>#NUM!</v>
      </c>
      <c r="X106" s="296" t="e">
        <f t="shared" si="35"/>
        <v>#NUM!</v>
      </c>
      <c r="Y106" s="296" t="e">
        <f t="shared" si="55"/>
        <v>#NUM!</v>
      </c>
      <c r="Z106" s="296" t="e">
        <f t="shared" si="37"/>
        <v>#NUM!</v>
      </c>
      <c r="AA106" s="296" t="e">
        <f t="shared" si="38"/>
        <v>#NUM!</v>
      </c>
      <c r="AB106" s="296" t="e">
        <f t="shared" si="39"/>
        <v>#NUM!</v>
      </c>
      <c r="AC106" s="296" t="e">
        <f t="shared" si="40"/>
        <v>#NUM!</v>
      </c>
      <c r="AD106" s="296" t="e">
        <f t="shared" si="41"/>
        <v>#NUM!</v>
      </c>
      <c r="AE106" s="296" t="e">
        <f t="shared" si="56"/>
        <v>#NUM!</v>
      </c>
      <c r="AF106" s="296" t="e">
        <f t="shared" si="43"/>
        <v>#NUM!</v>
      </c>
      <c r="AG106" s="296" t="e">
        <f t="shared" si="44"/>
        <v>#NUM!</v>
      </c>
      <c r="AH106" s="475" t="e">
        <f t="shared" si="57"/>
        <v>#NUM!</v>
      </c>
      <c r="AI106" s="475" t="e">
        <f t="shared" si="46"/>
        <v>#NUM!</v>
      </c>
      <c r="AJ106" s="475" t="e">
        <f t="shared" si="47"/>
        <v>#NUM!</v>
      </c>
    </row>
  </sheetData>
  <mergeCells count="9">
    <mergeCell ref="Y56:AA56"/>
    <mergeCell ref="AB56:AD56"/>
    <mergeCell ref="AE56:AG56"/>
    <mergeCell ref="AH56:AJ56"/>
    <mergeCell ref="A1:G1"/>
    <mergeCell ref="M56:O56"/>
    <mergeCell ref="P56:R56"/>
    <mergeCell ref="S56:U56"/>
    <mergeCell ref="V56:X56"/>
  </mergeCells>
  <pageMargins left="0.25" right="0.25" top="0.75" bottom="0.75" header="0.3" footer="0.3"/>
  <pageSetup paperSize="9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37F5-C10F-4A38-9E5E-F023D1587985}">
  <sheetPr>
    <pageSetUpPr fitToPage="1"/>
  </sheetPr>
  <dimension ref="A1:M39"/>
  <sheetViews>
    <sheetView tabSelected="1" topLeftCell="B1" workbookViewId="0">
      <selection activeCell="B1" sqref="A1:XFD1048576"/>
    </sheetView>
  </sheetViews>
  <sheetFormatPr defaultRowHeight="15"/>
  <cols>
    <col min="3" max="3" width="11.140625" customWidth="1"/>
    <col min="6" max="6" width="19.28515625" customWidth="1"/>
    <col min="7" max="7" width="17.7109375" customWidth="1"/>
    <col min="8" max="8" width="16.7109375" customWidth="1"/>
    <col min="9" max="9" width="16.42578125" customWidth="1"/>
    <col min="10" max="10" width="21.5703125" customWidth="1"/>
    <col min="11" max="11" width="36.7109375" customWidth="1"/>
  </cols>
  <sheetData>
    <row r="1" spans="1:11">
      <c r="A1" s="324"/>
      <c r="B1" s="324"/>
      <c r="C1" s="324"/>
      <c r="D1" s="324"/>
      <c r="E1" s="324"/>
    </row>
    <row r="2" spans="1:11">
      <c r="A2" s="324"/>
      <c r="B2" s="324" t="s">
        <v>482</v>
      </c>
      <c r="C2" s="324">
        <f>1.2</f>
        <v>1.2</v>
      </c>
      <c r="D2" s="324" t="s">
        <v>2</v>
      </c>
      <c r="E2" s="324"/>
      <c r="F2" s="703" t="s">
        <v>514</v>
      </c>
      <c r="G2" s="703"/>
      <c r="H2" s="703"/>
      <c r="I2" s="703"/>
      <c r="J2" s="703"/>
    </row>
    <row r="3" spans="1:11" ht="17.25">
      <c r="A3" s="324"/>
      <c r="B3" s="324" t="s">
        <v>10</v>
      </c>
      <c r="C3" s="324">
        <v>0.3</v>
      </c>
      <c r="D3" s="324" t="s">
        <v>2</v>
      </c>
      <c r="E3" s="324"/>
      <c r="F3" s="11" t="s">
        <v>492</v>
      </c>
      <c r="G3" s="11" t="s">
        <v>493</v>
      </c>
      <c r="H3" s="318" t="s">
        <v>496</v>
      </c>
      <c r="I3" s="11" t="s">
        <v>495</v>
      </c>
      <c r="J3" s="11" t="s">
        <v>494</v>
      </c>
    </row>
    <row r="4" spans="1:11">
      <c r="A4" s="324"/>
      <c r="B4" s="324" t="s">
        <v>483</v>
      </c>
      <c r="C4" s="324">
        <v>0.3</v>
      </c>
      <c r="D4" s="324" t="s">
        <v>2</v>
      </c>
      <c r="E4" s="324"/>
      <c r="F4" s="11">
        <f>C8*1000^2</f>
        <v>629999.99999999988</v>
      </c>
      <c r="G4" s="11">
        <f>F4*0.002</f>
        <v>1259.9999999999998</v>
      </c>
      <c r="H4" s="11">
        <v>22</v>
      </c>
      <c r="I4" s="11">
        <v>4</v>
      </c>
      <c r="J4" s="296">
        <f>I4*PI()*(H4^2)/4</f>
        <v>1520.5308443374599</v>
      </c>
    </row>
    <row r="5" spans="1:11">
      <c r="A5" s="324"/>
      <c r="B5" s="324" t="s">
        <v>484</v>
      </c>
      <c r="C5" s="324">
        <f>C2-C4</f>
        <v>0.89999999999999991</v>
      </c>
      <c r="D5" s="324" t="s">
        <v>2</v>
      </c>
      <c r="E5" s="324"/>
      <c r="F5" s="324"/>
      <c r="G5" s="324"/>
      <c r="H5" s="324"/>
      <c r="I5" s="324"/>
    </row>
    <row r="6" spans="1:11">
      <c r="A6" s="324"/>
      <c r="B6" s="324" t="s">
        <v>485</v>
      </c>
      <c r="C6" s="324">
        <f>C4*C2</f>
        <v>0.36</v>
      </c>
      <c r="D6" s="324" t="s">
        <v>491</v>
      </c>
      <c r="E6" s="324"/>
      <c r="F6" s="703" t="s">
        <v>508</v>
      </c>
      <c r="G6" s="703"/>
      <c r="I6" s="207"/>
      <c r="J6" s="207"/>
    </row>
    <row r="7" spans="1:11">
      <c r="A7" s="324"/>
      <c r="B7" s="324" t="s">
        <v>486</v>
      </c>
      <c r="C7" s="324">
        <f>C5*C3</f>
        <v>0.26999999999999996</v>
      </c>
      <c r="D7" s="324" t="s">
        <v>491</v>
      </c>
      <c r="F7" s="486" t="s">
        <v>498</v>
      </c>
      <c r="G7" s="486">
        <v>300</v>
      </c>
      <c r="I7" s="324"/>
      <c r="J7" s="324"/>
      <c r="K7" s="324"/>
    </row>
    <row r="8" spans="1:11">
      <c r="A8" s="324"/>
      <c r="B8" s="324" t="s">
        <v>487</v>
      </c>
      <c r="C8" s="324">
        <f>C6+C7</f>
        <v>0.62999999999999989</v>
      </c>
      <c r="D8" s="324" t="s">
        <v>491</v>
      </c>
      <c r="F8" s="486" t="s">
        <v>500</v>
      </c>
      <c r="G8" s="487">
        <f>391.3</f>
        <v>391.3</v>
      </c>
      <c r="I8" s="108" t="s">
        <v>499</v>
      </c>
      <c r="J8" s="108">
        <f>1200</f>
        <v>1200</v>
      </c>
      <c r="K8" s="324"/>
    </row>
    <row r="9" spans="1:11">
      <c r="A9" s="324"/>
      <c r="B9" s="324" t="s">
        <v>488</v>
      </c>
      <c r="C9" s="324">
        <f>C4/2</f>
        <v>0.15</v>
      </c>
      <c r="D9" s="324" t="s">
        <v>2</v>
      </c>
      <c r="F9" s="486" t="s">
        <v>501</v>
      </c>
      <c r="G9" s="487">
        <f>0.5*14.17</f>
        <v>7.085</v>
      </c>
      <c r="I9" s="324"/>
      <c r="J9" s="324"/>
      <c r="K9" s="324"/>
    </row>
    <row r="10" spans="1:11" ht="17.25">
      <c r="A10" s="324"/>
      <c r="B10" s="324" t="s">
        <v>489</v>
      </c>
      <c r="C10" s="324">
        <f>C4+C5/2</f>
        <v>0.75</v>
      </c>
      <c r="D10" s="324" t="s">
        <v>2</v>
      </c>
      <c r="F10" s="486" t="s">
        <v>494</v>
      </c>
      <c r="G10" s="487">
        <f>J22</f>
        <v>157.07963267948966</v>
      </c>
      <c r="I10" s="324"/>
      <c r="J10" s="324"/>
      <c r="K10" s="324"/>
    </row>
    <row r="11" spans="1:11">
      <c r="A11" s="324"/>
      <c r="B11" s="324" t="s">
        <v>490</v>
      </c>
      <c r="C11" s="125">
        <f>(C6*C9+C7*C10)/C8</f>
        <v>0.40714285714285714</v>
      </c>
      <c r="D11" s="324" t="s">
        <v>2</v>
      </c>
      <c r="F11" s="486" t="s">
        <v>502</v>
      </c>
      <c r="G11" s="486">
        <v>250</v>
      </c>
      <c r="I11" s="324"/>
      <c r="J11" s="324"/>
      <c r="K11" s="324"/>
    </row>
    <row r="12" spans="1:11">
      <c r="A12" s="324"/>
      <c r="B12" s="324"/>
      <c r="C12" s="324"/>
      <c r="D12" s="324"/>
      <c r="F12" s="488" t="s">
        <v>503</v>
      </c>
      <c r="G12" s="487">
        <f>_xlfn.ACOT(SQRT(((G11*G7*G9)/(J22*G8))-1))</f>
        <v>0.3470296229670915</v>
      </c>
      <c r="I12" s="324"/>
      <c r="J12" s="324"/>
      <c r="K12" s="324"/>
    </row>
    <row r="13" spans="1:11">
      <c r="A13" s="324"/>
      <c r="B13" s="324"/>
      <c r="C13" s="324"/>
      <c r="D13" s="324"/>
      <c r="F13" s="488" t="s">
        <v>293</v>
      </c>
      <c r="G13" s="489">
        <f>DEGREES(G12)</f>
        <v>19.883332762030562</v>
      </c>
      <c r="K13" s="324"/>
    </row>
    <row r="14" spans="1:11">
      <c r="A14" s="324"/>
      <c r="B14" s="324"/>
      <c r="C14" s="324">
        <f>1000*C11</f>
        <v>407.14285714285717</v>
      </c>
      <c r="F14" s="488" t="s">
        <v>504</v>
      </c>
      <c r="G14" s="487">
        <f>_xlfn.COT(G12)</f>
        <v>2.7649823340273536</v>
      </c>
      <c r="J14" s="324"/>
      <c r="K14" s="324"/>
    </row>
    <row r="15" spans="1:11">
      <c r="A15" s="324"/>
      <c r="B15" s="324"/>
      <c r="C15" s="324"/>
      <c r="D15" s="324"/>
      <c r="F15" s="488" t="s">
        <v>513</v>
      </c>
      <c r="G15" s="486">
        <v>2.5</v>
      </c>
      <c r="K15" s="324"/>
    </row>
    <row r="16" spans="1:11">
      <c r="A16" s="324"/>
      <c r="B16" s="324"/>
      <c r="C16" s="324"/>
      <c r="D16" s="324"/>
      <c r="E16" s="324"/>
      <c r="F16" s="488" t="s">
        <v>505</v>
      </c>
      <c r="G16" s="486">
        <f>J8-61</f>
        <v>1139</v>
      </c>
      <c r="H16" s="324"/>
    </row>
    <row r="17" spans="1:13" ht="18">
      <c r="A17" s="324"/>
      <c r="B17" s="324"/>
      <c r="C17" s="324"/>
      <c r="D17" s="324"/>
      <c r="E17" s="324"/>
      <c r="F17" s="486" t="s">
        <v>506</v>
      </c>
      <c r="G17" s="487">
        <f>(0.9*G16*G7*G9*(G15/(1+G15^2)))/1000</f>
        <v>751.32760344827602</v>
      </c>
      <c r="H17" s="324"/>
    </row>
    <row r="18" spans="1:13" ht="18">
      <c r="A18" s="324"/>
      <c r="B18" s="324"/>
      <c r="C18" s="324"/>
      <c r="D18" s="324"/>
      <c r="E18" s="324"/>
      <c r="F18" s="486" t="s">
        <v>507</v>
      </c>
      <c r="G18" s="487">
        <f>(0.9*G16*(J22/G11)*G8*G15)/1000</f>
        <v>630.08038300198166</v>
      </c>
      <c r="H18" s="324"/>
    </row>
    <row r="20" spans="1:13">
      <c r="F20" s="703" t="s">
        <v>497</v>
      </c>
      <c r="G20" s="703"/>
      <c r="H20" s="703"/>
      <c r="I20" s="703"/>
      <c r="J20" s="703"/>
      <c r="K20" s="703"/>
    </row>
    <row r="21" spans="1:13" ht="17.25">
      <c r="F21" s="11" t="s">
        <v>512</v>
      </c>
      <c r="G21" s="318" t="s">
        <v>496</v>
      </c>
      <c r="H21" s="11" t="s">
        <v>509</v>
      </c>
      <c r="I21" s="11" t="s">
        <v>510</v>
      </c>
      <c r="J21" s="11" t="s">
        <v>494</v>
      </c>
      <c r="K21" s="11" t="s">
        <v>511</v>
      </c>
    </row>
    <row r="22" spans="1:13">
      <c r="F22" s="11">
        <f>1.5*G7</f>
        <v>450</v>
      </c>
      <c r="G22" s="11">
        <v>10</v>
      </c>
      <c r="H22" s="11">
        <v>2</v>
      </c>
      <c r="I22" s="11">
        <v>250</v>
      </c>
      <c r="J22" s="296">
        <f>H22*PI()*(G22^2)/4</f>
        <v>157.07963267948966</v>
      </c>
      <c r="K22" s="296">
        <f>1000/I22*J22</f>
        <v>628.31853071795865</v>
      </c>
    </row>
    <row r="28" spans="1:13">
      <c r="F28" s="703" t="s">
        <v>515</v>
      </c>
      <c r="G28" s="703"/>
      <c r="H28" s="703"/>
      <c r="I28" s="703"/>
      <c r="J28" s="703"/>
      <c r="K28" s="703"/>
    </row>
    <row r="29" spans="1:13" ht="17.25">
      <c r="F29" s="11" t="s">
        <v>492</v>
      </c>
      <c r="G29" s="318" t="s">
        <v>519</v>
      </c>
      <c r="H29" s="11" t="s">
        <v>493</v>
      </c>
      <c r="I29" s="318" t="s">
        <v>496</v>
      </c>
      <c r="J29" s="11" t="s">
        <v>495</v>
      </c>
      <c r="K29" s="11" t="s">
        <v>494</v>
      </c>
    </row>
    <row r="30" spans="1:13">
      <c r="F30" s="11">
        <f>600*300</f>
        <v>180000</v>
      </c>
      <c r="G30" s="11">
        <f>3.5/100</f>
        <v>3.5000000000000003E-2</v>
      </c>
      <c r="H30" s="11">
        <f>G30*F30</f>
        <v>6300.0000000000009</v>
      </c>
      <c r="I30" s="11">
        <v>28</v>
      </c>
      <c r="J30" s="11">
        <v>6</v>
      </c>
      <c r="K30" s="296">
        <f>J30*PI()*(I30^2)/4</f>
        <v>3694.5129606215969</v>
      </c>
    </row>
    <row r="31" spans="1:13">
      <c r="I31" s="11">
        <v>24</v>
      </c>
      <c r="J31" s="11">
        <v>6</v>
      </c>
      <c r="K31" s="296">
        <f>J31*PI()*(I31^2)/4</f>
        <v>2714.3360527015811</v>
      </c>
    </row>
    <row r="32" spans="1:13">
      <c r="K32" s="319">
        <f>K30+K31</f>
        <v>6408.849013323178</v>
      </c>
      <c r="M32" s="490" t="s">
        <v>487</v>
      </c>
    </row>
    <row r="35" spans="6:12">
      <c r="F35" s="700" t="s">
        <v>520</v>
      </c>
      <c r="G35" s="701"/>
      <c r="H35" s="701"/>
      <c r="I35" s="701"/>
      <c r="J35" s="701"/>
      <c r="K35" s="702"/>
    </row>
    <row r="36" spans="6:12" ht="17.25">
      <c r="F36" s="318" t="s">
        <v>496</v>
      </c>
      <c r="G36" s="11" t="s">
        <v>509</v>
      </c>
      <c r="H36" s="11" t="s">
        <v>510</v>
      </c>
      <c r="I36" s="11" t="s">
        <v>494</v>
      </c>
      <c r="J36" s="11" t="s">
        <v>523</v>
      </c>
      <c r="K36" s="21" t="s">
        <v>521</v>
      </c>
    </row>
    <row r="37" spans="6:12">
      <c r="F37" s="11">
        <v>8</v>
      </c>
      <c r="G37" s="11">
        <v>2</v>
      </c>
      <c r="H37" s="11">
        <v>150</v>
      </c>
      <c r="I37" s="296">
        <f>PI()*(F37^2)/4</f>
        <v>50.26548245743669</v>
      </c>
      <c r="J37" s="296">
        <f>1000*I37/H37</f>
        <v>335.10321638291123</v>
      </c>
      <c r="K37" s="11">
        <f>(J37*I39*G8)/(F30*1000*G9*2)</f>
        <v>0.11927078392686778</v>
      </c>
      <c r="L37" t="s">
        <v>524</v>
      </c>
    </row>
    <row r="39" spans="6:12">
      <c r="H39" t="s">
        <v>522</v>
      </c>
      <c r="I39" s="324">
        <f>(300-120)*2*4+(600-160)*2</f>
        <v>2320</v>
      </c>
    </row>
  </sheetData>
  <mergeCells count="5">
    <mergeCell ref="F35:K35"/>
    <mergeCell ref="F28:K28"/>
    <mergeCell ref="F2:J2"/>
    <mergeCell ref="F6:G6"/>
    <mergeCell ref="F20:K20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F07A-32E0-4B00-A579-4046DDEC04B8}">
  <sheetPr>
    <pageSetUpPr fitToPage="1"/>
  </sheetPr>
  <dimension ref="A1:X160"/>
  <sheetViews>
    <sheetView topLeftCell="A22" zoomScale="70" zoomScaleNormal="70" workbookViewId="0">
      <selection activeCell="H50" sqref="H50"/>
    </sheetView>
  </sheetViews>
  <sheetFormatPr defaultRowHeight="15"/>
  <cols>
    <col min="1" max="1" width="7.42578125" customWidth="1"/>
    <col min="2" max="2" width="10.7109375" customWidth="1"/>
    <col min="3" max="3" width="23.42578125" customWidth="1"/>
    <col min="4" max="4" width="12.5703125" customWidth="1"/>
    <col min="5" max="5" width="9.7109375" customWidth="1"/>
    <col min="6" max="6" width="9" customWidth="1"/>
    <col min="7" max="7" width="11" customWidth="1"/>
    <col min="8" max="8" width="10" customWidth="1"/>
    <col min="10" max="10" width="14.140625" customWidth="1"/>
    <col min="11" max="11" width="13.42578125" customWidth="1"/>
    <col min="13" max="13" width="16.85546875" customWidth="1"/>
    <col min="14" max="14" width="13" customWidth="1"/>
    <col min="15" max="15" width="9.85546875" bestFit="1" customWidth="1"/>
    <col min="23" max="23" width="13.5703125" customWidth="1"/>
  </cols>
  <sheetData>
    <row r="1" spans="1:24" ht="15.75">
      <c r="A1" s="704" t="s">
        <v>573</v>
      </c>
      <c r="B1" s="704"/>
      <c r="C1" s="704"/>
      <c r="D1" s="704"/>
      <c r="E1" s="704"/>
      <c r="F1" s="704"/>
      <c r="G1" s="704"/>
      <c r="H1" s="704"/>
      <c r="I1" s="704"/>
      <c r="N1" s="521"/>
    </row>
    <row r="2" spans="1:24" ht="18">
      <c r="A2" s="501" t="s">
        <v>533</v>
      </c>
      <c r="B2" s="502" t="s">
        <v>534</v>
      </c>
      <c r="C2" s="501" t="s">
        <v>535</v>
      </c>
      <c r="D2" s="502" t="s">
        <v>536</v>
      </c>
      <c r="E2" s="506" t="s">
        <v>560</v>
      </c>
      <c r="F2" s="501" t="s">
        <v>535</v>
      </c>
      <c r="G2" s="502" t="s">
        <v>536</v>
      </c>
      <c r="H2" s="506" t="s">
        <v>560</v>
      </c>
      <c r="I2" s="506" t="s">
        <v>562</v>
      </c>
    </row>
    <row r="3" spans="1:24" ht="17.25">
      <c r="A3" s="503" t="s">
        <v>537</v>
      </c>
      <c r="B3" s="504" t="s">
        <v>2</v>
      </c>
      <c r="C3" s="503" t="s">
        <v>537</v>
      </c>
      <c r="D3" s="504" t="s">
        <v>570</v>
      </c>
      <c r="E3" s="504" t="s">
        <v>561</v>
      </c>
      <c r="F3" s="503" t="s">
        <v>537</v>
      </c>
      <c r="G3" s="504" t="s">
        <v>570</v>
      </c>
      <c r="H3" s="504" t="s">
        <v>561</v>
      </c>
      <c r="I3" s="504" t="s">
        <v>561</v>
      </c>
    </row>
    <row r="4" spans="1:24">
      <c r="A4" s="505" t="s">
        <v>539</v>
      </c>
      <c r="B4" s="11">
        <v>0</v>
      </c>
      <c r="C4" s="505" t="s">
        <v>557</v>
      </c>
      <c r="D4" s="11">
        <v>-55.640799999999999</v>
      </c>
      <c r="E4" s="496">
        <f t="shared" ref="E4:E37" si="0">(ABS(D4*1000^2)*$V$21)/$V$22</f>
        <v>0.82597455569854927</v>
      </c>
      <c r="F4" s="11" t="s">
        <v>540</v>
      </c>
      <c r="G4" s="11">
        <v>-61.120899999999999</v>
      </c>
      <c r="H4" s="496">
        <f>(ABS(G4*1000^2)*$V$21)/$V$22</f>
        <v>0.90732534797119124</v>
      </c>
      <c r="I4" s="522">
        <f>$S$25*ABS(G4*1000^2)*($S$17-$V$21)/$V$22</f>
        <v>38.060814395181374</v>
      </c>
    </row>
    <row r="5" spans="1:24">
      <c r="A5" s="505" t="s">
        <v>539</v>
      </c>
      <c r="B5" s="11">
        <v>4.75</v>
      </c>
      <c r="C5" s="505" t="s">
        <v>557</v>
      </c>
      <c r="D5" s="11">
        <v>-102.8818</v>
      </c>
      <c r="E5" s="496">
        <f t="shared" si="0"/>
        <v>1.5272560611002539</v>
      </c>
      <c r="F5" s="11" t="s">
        <v>540</v>
      </c>
      <c r="G5" s="11">
        <v>-126.092</v>
      </c>
      <c r="H5" s="496">
        <f t="shared" ref="H5:H31" si="1">(ABS(G5*1000^2)*$V$21)/$V$22</f>
        <v>1.8718060070513272</v>
      </c>
      <c r="I5" s="522">
        <f t="shared" ref="I5:I30" si="2">$S$25*ABS(G5*1000^2)*($S$17-$V$21)/$V$22</f>
        <v>78.519200612510772</v>
      </c>
      <c r="X5" s="509">
        <f t="shared" ref="X5:X36" si="3">$S$25*D4*($S$17-$V$21)/$V$22</f>
        <v>-3.4648281710501773E-5</v>
      </c>
    </row>
    <row r="6" spans="1:24">
      <c r="A6" s="505" t="s">
        <v>541</v>
      </c>
      <c r="B6" s="11">
        <v>0</v>
      </c>
      <c r="C6" s="505" t="s">
        <v>557</v>
      </c>
      <c r="D6" s="11">
        <v>-102.8818</v>
      </c>
      <c r="E6" s="496">
        <f t="shared" si="0"/>
        <v>1.5272560611002539</v>
      </c>
      <c r="F6" s="11" t="s">
        <v>540</v>
      </c>
      <c r="G6" s="11">
        <v>-126.092</v>
      </c>
      <c r="H6" s="496">
        <f t="shared" si="1"/>
        <v>1.8718060070513272</v>
      </c>
      <c r="I6" s="522">
        <f t="shared" si="2"/>
        <v>78.519200612510772</v>
      </c>
      <c r="X6" s="509">
        <f t="shared" si="3"/>
        <v>-6.4065893899503616E-5</v>
      </c>
    </row>
    <row r="7" spans="1:24">
      <c r="A7" s="505" t="s">
        <v>541</v>
      </c>
      <c r="B7" s="11">
        <v>4.75</v>
      </c>
      <c r="C7" s="505" t="s">
        <v>557</v>
      </c>
      <c r="D7" s="11">
        <v>-55.640799999999999</v>
      </c>
      <c r="E7" s="496">
        <f t="shared" si="0"/>
        <v>0.82597455569854927</v>
      </c>
      <c r="F7" s="11" t="s">
        <v>540</v>
      </c>
      <c r="G7" s="11">
        <v>-61.120899999999999</v>
      </c>
      <c r="H7" s="496">
        <f t="shared" si="1"/>
        <v>0.90732534797119124</v>
      </c>
      <c r="I7" s="522">
        <f t="shared" si="2"/>
        <v>38.060814395181374</v>
      </c>
      <c r="X7" s="509">
        <f t="shared" si="3"/>
        <v>-6.4065893899503616E-5</v>
      </c>
    </row>
    <row r="8" spans="1:24">
      <c r="A8" s="505" t="s">
        <v>542</v>
      </c>
      <c r="B8" s="11">
        <v>0</v>
      </c>
      <c r="C8" s="505" t="s">
        <v>557</v>
      </c>
      <c r="D8" s="11">
        <v>-30.976099999999999</v>
      </c>
      <c r="E8" s="496">
        <f t="shared" si="0"/>
        <v>0.4598329002238255</v>
      </c>
      <c r="F8" s="11" t="s">
        <v>540</v>
      </c>
      <c r="G8" s="11">
        <v>-20.470600000000001</v>
      </c>
      <c r="H8" s="496">
        <f t="shared" si="1"/>
        <v>0.30388122995864048</v>
      </c>
      <c r="I8" s="522">
        <f t="shared" si="2"/>
        <v>12.747320591777932</v>
      </c>
      <c r="X8" s="509">
        <f t="shared" si="3"/>
        <v>-3.4648281710501773E-5</v>
      </c>
    </row>
    <row r="9" spans="1:24">
      <c r="A9" s="505" t="s">
        <v>542</v>
      </c>
      <c r="B9" s="11">
        <v>4.75</v>
      </c>
      <c r="C9" s="505" t="s">
        <v>557</v>
      </c>
      <c r="D9" s="11">
        <v>-137.23660000000001</v>
      </c>
      <c r="E9" s="496">
        <f t="shared" si="0"/>
        <v>2.0372449661144252</v>
      </c>
      <c r="F9" s="11" t="s">
        <v>540</v>
      </c>
      <c r="G9" s="11">
        <v>-183.14699999999999</v>
      </c>
      <c r="H9" s="496">
        <f t="shared" si="1"/>
        <v>2.7187740282764126</v>
      </c>
      <c r="I9" s="522">
        <f t="shared" si="2"/>
        <v>114.04812386653799</v>
      </c>
      <c r="X9" s="509">
        <f t="shared" si="3"/>
        <v>-1.9289238096732506E-5</v>
      </c>
    </row>
    <row r="10" spans="1:24">
      <c r="A10" s="505" t="s">
        <v>543</v>
      </c>
      <c r="B10" s="11">
        <v>0</v>
      </c>
      <c r="C10" s="505" t="s">
        <v>557</v>
      </c>
      <c r="D10" s="11">
        <v>-137.23660000000001</v>
      </c>
      <c r="E10" s="496">
        <f t="shared" si="0"/>
        <v>2.0372449661144252</v>
      </c>
      <c r="F10" s="11" t="s">
        <v>540</v>
      </c>
      <c r="G10" s="11">
        <v>-183.14699999999999</v>
      </c>
      <c r="H10" s="496">
        <f t="shared" si="1"/>
        <v>2.7187740282764126</v>
      </c>
      <c r="I10" s="522">
        <f t="shared" si="2"/>
        <v>114.04812386653799</v>
      </c>
      <c r="X10" s="509">
        <f t="shared" si="3"/>
        <v>-8.5459094365851094E-5</v>
      </c>
    </row>
    <row r="11" spans="1:24">
      <c r="A11" s="505" t="s">
        <v>543</v>
      </c>
      <c r="B11" s="11">
        <v>4.75</v>
      </c>
      <c r="C11" s="505" t="s">
        <v>557</v>
      </c>
      <c r="D11" s="11">
        <v>-30.976099999999999</v>
      </c>
      <c r="E11" s="496">
        <f t="shared" si="0"/>
        <v>0.4598329002238255</v>
      </c>
      <c r="F11" s="11" t="s">
        <v>540</v>
      </c>
      <c r="G11" s="11">
        <v>-20.470600000000001</v>
      </c>
      <c r="H11" s="496">
        <f t="shared" si="1"/>
        <v>0.30388122995864048</v>
      </c>
      <c r="I11" s="522">
        <f t="shared" si="2"/>
        <v>12.747320591777932</v>
      </c>
      <c r="X11" s="509">
        <f t="shared" si="3"/>
        <v>-8.5459094365851094E-5</v>
      </c>
    </row>
    <row r="12" spans="1:24">
      <c r="A12" s="505" t="s">
        <v>544</v>
      </c>
      <c r="B12" s="11">
        <v>0</v>
      </c>
      <c r="C12" s="505" t="s">
        <v>557</v>
      </c>
      <c r="D12" s="11">
        <v>-30.976099999999999</v>
      </c>
      <c r="E12" s="496">
        <f t="shared" si="0"/>
        <v>0.4598329002238255</v>
      </c>
      <c r="F12" s="11" t="s">
        <v>540</v>
      </c>
      <c r="G12" s="11">
        <v>-20.470600000000001</v>
      </c>
      <c r="H12" s="496">
        <f t="shared" si="1"/>
        <v>0.30388122995864048</v>
      </c>
      <c r="I12" s="522">
        <f t="shared" si="2"/>
        <v>12.747320591777932</v>
      </c>
      <c r="R12" s="707" t="s">
        <v>531</v>
      </c>
      <c r="S12" s="707"/>
      <c r="X12" s="509">
        <f t="shared" si="3"/>
        <v>-1.9289238096732506E-5</v>
      </c>
    </row>
    <row r="13" spans="1:24">
      <c r="A13" s="505" t="s">
        <v>544</v>
      </c>
      <c r="B13" s="11">
        <v>4.75</v>
      </c>
      <c r="C13" s="505" t="s">
        <v>557</v>
      </c>
      <c r="D13" s="11">
        <v>-137.23660000000001</v>
      </c>
      <c r="E13" s="496">
        <f t="shared" si="0"/>
        <v>2.0372449661144252</v>
      </c>
      <c r="F13" s="11" t="s">
        <v>540</v>
      </c>
      <c r="G13" s="11">
        <v>-183.14699999999999</v>
      </c>
      <c r="H13" s="496">
        <f t="shared" si="1"/>
        <v>2.7187740282764126</v>
      </c>
      <c r="I13" s="522">
        <f t="shared" si="2"/>
        <v>114.04812386653799</v>
      </c>
      <c r="R13" s="11" t="s">
        <v>498</v>
      </c>
      <c r="S13" s="11">
        <f>300</f>
        <v>300</v>
      </c>
      <c r="X13" s="509">
        <f t="shared" si="3"/>
        <v>-1.9289238096732506E-5</v>
      </c>
    </row>
    <row r="14" spans="1:24">
      <c r="A14" s="505" t="s">
        <v>545</v>
      </c>
      <c r="B14" s="11">
        <v>0</v>
      </c>
      <c r="C14" s="505" t="s">
        <v>557</v>
      </c>
      <c r="D14" s="11">
        <v>-137.23660000000001</v>
      </c>
      <c r="E14" s="496">
        <f t="shared" si="0"/>
        <v>2.0372449661144252</v>
      </c>
      <c r="F14" s="11" t="s">
        <v>540</v>
      </c>
      <c r="G14" s="11">
        <v>-183.14699999999999</v>
      </c>
      <c r="H14" s="496">
        <f t="shared" si="1"/>
        <v>2.7187740282764126</v>
      </c>
      <c r="I14" s="522">
        <f t="shared" si="2"/>
        <v>114.04812386653799</v>
      </c>
      <c r="R14" s="11" t="s">
        <v>571</v>
      </c>
      <c r="S14" s="11">
        <f>1200</f>
        <v>1200</v>
      </c>
      <c r="X14" s="509">
        <f t="shared" si="3"/>
        <v>-8.5459094365851094E-5</v>
      </c>
    </row>
    <row r="15" spans="1:24">
      <c r="A15" s="505" t="s">
        <v>545</v>
      </c>
      <c r="B15" s="11">
        <v>4.75</v>
      </c>
      <c r="C15" s="505" t="s">
        <v>557</v>
      </c>
      <c r="D15" s="11">
        <v>-30.976099999999999</v>
      </c>
      <c r="E15" s="496">
        <f t="shared" si="0"/>
        <v>0.4598329002238255</v>
      </c>
      <c r="F15" s="11" t="s">
        <v>540</v>
      </c>
      <c r="G15" s="11">
        <v>-20.470600000000001</v>
      </c>
      <c r="H15" s="496">
        <f t="shared" si="1"/>
        <v>0.30388122995864048</v>
      </c>
      <c r="I15" s="522">
        <f t="shared" si="2"/>
        <v>12.747320591777932</v>
      </c>
      <c r="R15" s="11" t="s">
        <v>499</v>
      </c>
      <c r="S15" s="11">
        <v>1200</v>
      </c>
      <c r="X15" s="509">
        <f t="shared" si="3"/>
        <v>-8.5459094365851094E-5</v>
      </c>
    </row>
    <row r="16" spans="1:24">
      <c r="A16" s="505" t="s">
        <v>546</v>
      </c>
      <c r="B16" s="11">
        <v>0</v>
      </c>
      <c r="C16" s="505" t="s">
        <v>557</v>
      </c>
      <c r="D16" s="11">
        <v>-55.640799999999999</v>
      </c>
      <c r="E16" s="496">
        <f t="shared" si="0"/>
        <v>0.82597455569854927</v>
      </c>
      <c r="F16" s="11" t="s">
        <v>540</v>
      </c>
      <c r="G16" s="11">
        <v>-61.120899999999999</v>
      </c>
      <c r="H16" s="496">
        <f t="shared" si="1"/>
        <v>0.90732534797119124</v>
      </c>
      <c r="I16" s="522">
        <f t="shared" si="2"/>
        <v>38.060814395181374</v>
      </c>
      <c r="O16" s="515" t="s">
        <v>567</v>
      </c>
      <c r="P16" s="516"/>
      <c r="R16" s="11" t="s">
        <v>525</v>
      </c>
      <c r="S16" s="11">
        <f>35+10+11</f>
        <v>56</v>
      </c>
      <c r="X16" s="509">
        <f t="shared" si="3"/>
        <v>-1.9289238096732506E-5</v>
      </c>
    </row>
    <row r="17" spans="1:24" ht="19.5" customHeight="1">
      <c r="A17" s="505" t="s">
        <v>546</v>
      </c>
      <c r="B17" s="11">
        <v>4.75</v>
      </c>
      <c r="C17" s="505" t="s">
        <v>557</v>
      </c>
      <c r="D17" s="11">
        <v>-102.8818</v>
      </c>
      <c r="E17" s="496">
        <f t="shared" si="0"/>
        <v>1.5272560611002539</v>
      </c>
      <c r="F17" s="11" t="s">
        <v>540</v>
      </c>
      <c r="G17" s="11">
        <v>-126.092</v>
      </c>
      <c r="H17" s="496">
        <f t="shared" si="1"/>
        <v>1.8718060070513272</v>
      </c>
      <c r="I17" s="522">
        <f t="shared" si="2"/>
        <v>78.519200612510772</v>
      </c>
      <c r="N17" s="324" t="s">
        <v>540</v>
      </c>
      <c r="O17" s="508" t="s">
        <v>564</v>
      </c>
      <c r="P17" s="11">
        <f>0.6*S23</f>
        <v>15</v>
      </c>
      <c r="R17" s="11" t="s">
        <v>505</v>
      </c>
      <c r="S17" s="11">
        <f>1200-S16</f>
        <v>1144</v>
      </c>
      <c r="X17" s="509">
        <f t="shared" si="3"/>
        <v>-3.4648281710501773E-5</v>
      </c>
    </row>
    <row r="18" spans="1:24" ht="18.75" customHeight="1">
      <c r="A18" s="505" t="s">
        <v>547</v>
      </c>
      <c r="B18" s="11">
        <v>0</v>
      </c>
      <c r="C18" s="505" t="s">
        <v>557</v>
      </c>
      <c r="D18" s="11">
        <v>-102.8818</v>
      </c>
      <c r="E18" s="496">
        <f t="shared" si="0"/>
        <v>1.5272560611002539</v>
      </c>
      <c r="F18" s="11" t="s">
        <v>540</v>
      </c>
      <c r="G18" s="11">
        <v>-126.092</v>
      </c>
      <c r="H18" s="496">
        <f t="shared" si="1"/>
        <v>1.8718060070513272</v>
      </c>
      <c r="I18" s="522">
        <f t="shared" si="2"/>
        <v>78.519200612510772</v>
      </c>
      <c r="N18" s="108" t="s">
        <v>565</v>
      </c>
      <c r="O18" s="508" t="s">
        <v>564</v>
      </c>
      <c r="P18" s="11">
        <f>0.45*S23</f>
        <v>11.25</v>
      </c>
      <c r="R18" s="11" t="s">
        <v>532</v>
      </c>
      <c r="S18" s="11">
        <f>1520</f>
        <v>1520</v>
      </c>
      <c r="X18" s="509">
        <f t="shared" si="3"/>
        <v>-6.4065893899503616E-5</v>
      </c>
    </row>
    <row r="19" spans="1:24" ht="18">
      <c r="A19" s="505" t="s">
        <v>547</v>
      </c>
      <c r="B19" s="11">
        <v>4.75</v>
      </c>
      <c r="C19" s="505" t="s">
        <v>557</v>
      </c>
      <c r="D19" s="11">
        <v>-55.640799999999999</v>
      </c>
      <c r="E19" s="496">
        <f t="shared" si="0"/>
        <v>0.82597455569854927</v>
      </c>
      <c r="F19" s="11" t="s">
        <v>540</v>
      </c>
      <c r="G19" s="11">
        <v>-61.120899999999999</v>
      </c>
      <c r="H19" s="496">
        <f t="shared" si="1"/>
        <v>0.90732534797119124</v>
      </c>
      <c r="I19" s="522">
        <f t="shared" si="2"/>
        <v>38.060814395181374</v>
      </c>
      <c r="N19" s="324" t="s">
        <v>540</v>
      </c>
      <c r="O19" s="508" t="s">
        <v>563</v>
      </c>
      <c r="P19" s="21">
        <f>0.8*$S$20</f>
        <v>360</v>
      </c>
      <c r="R19" s="706" t="s">
        <v>530</v>
      </c>
      <c r="S19" s="641"/>
      <c r="X19" s="509">
        <f t="shared" si="3"/>
        <v>-6.4065893899503616E-5</v>
      </c>
    </row>
    <row r="20" spans="1:24" ht="18" customHeight="1">
      <c r="A20" s="505" t="s">
        <v>548</v>
      </c>
      <c r="B20" s="11">
        <v>0</v>
      </c>
      <c r="C20" s="505" t="s">
        <v>557</v>
      </c>
      <c r="D20" s="11">
        <v>-59.336500000000001</v>
      </c>
      <c r="E20" s="496">
        <f t="shared" si="0"/>
        <v>0.88083635073915123</v>
      </c>
      <c r="F20" s="11" t="s">
        <v>540</v>
      </c>
      <c r="G20" s="11">
        <v>-58.648499999999999</v>
      </c>
      <c r="H20" s="496">
        <f t="shared" si="1"/>
        <v>0.8706231529720343</v>
      </c>
      <c r="I20" s="522">
        <f t="shared" si="2"/>
        <v>36.521217342280544</v>
      </c>
      <c r="R20" s="507" t="s">
        <v>566</v>
      </c>
      <c r="S20" s="11">
        <v>450</v>
      </c>
      <c r="U20" s="517" t="s">
        <v>568</v>
      </c>
      <c r="V20" s="518"/>
      <c r="X20" s="509">
        <f t="shared" si="3"/>
        <v>-3.4648281710501773E-5</v>
      </c>
    </row>
    <row r="21" spans="1:24" ht="17.25">
      <c r="A21" s="505" t="s">
        <v>548</v>
      </c>
      <c r="B21" s="11">
        <v>5.5</v>
      </c>
      <c r="C21" s="505" t="s">
        <v>557</v>
      </c>
      <c r="D21" s="11">
        <v>-157.6996</v>
      </c>
      <c r="E21" s="496">
        <f t="shared" si="0"/>
        <v>2.3410133758651734</v>
      </c>
      <c r="F21" s="11" t="s">
        <v>540</v>
      </c>
      <c r="G21" s="11">
        <v>-199.38</v>
      </c>
      <c r="H21" s="496">
        <f t="shared" si="1"/>
        <v>2.9597490854764263</v>
      </c>
      <c r="I21" s="522">
        <f t="shared" si="2"/>
        <v>124.15663339563491</v>
      </c>
      <c r="R21" s="11" t="s">
        <v>526</v>
      </c>
      <c r="S21" s="11">
        <f>200000</f>
        <v>200000</v>
      </c>
      <c r="U21" s="11" t="s">
        <v>558</v>
      </c>
      <c r="V21" s="296">
        <v>301.32559833521799</v>
      </c>
      <c r="X21" s="509">
        <f t="shared" si="3"/>
        <v>-3.6949644284682979E-5</v>
      </c>
    </row>
    <row r="22" spans="1:24" ht="17.25">
      <c r="A22" s="505" t="s">
        <v>549</v>
      </c>
      <c r="B22" s="11">
        <v>0</v>
      </c>
      <c r="C22" s="505" t="s">
        <v>557</v>
      </c>
      <c r="D22" s="11">
        <v>-126.203</v>
      </c>
      <c r="E22" s="496">
        <f t="shared" si="0"/>
        <v>1.8734537758771264</v>
      </c>
      <c r="F22" s="11" t="s">
        <v>540</v>
      </c>
      <c r="G22" s="11">
        <v>-151.89490000000001</v>
      </c>
      <c r="H22" s="496">
        <f t="shared" si="1"/>
        <v>2.2548439731343826</v>
      </c>
      <c r="I22" s="522">
        <f t="shared" si="2"/>
        <v>94.587016821981265</v>
      </c>
      <c r="R22" s="706" t="s">
        <v>289</v>
      </c>
      <c r="S22" s="641"/>
      <c r="U22" s="11" t="s">
        <v>559</v>
      </c>
      <c r="V22" s="500">
        <f>($S$13*$V$21^3)/3+$S$25*$S$18*($V$21-$S$16)^2+$S$25*$S$18*($S$17-$V$21)^2</f>
        <v>20298442895.339233</v>
      </c>
      <c r="W22" s="520">
        <f>V22/1000^4</f>
        <v>2.0298442895339233E-2</v>
      </c>
      <c r="X22" s="509">
        <f t="shared" si="3"/>
        <v>-9.8201682334428072E-5</v>
      </c>
    </row>
    <row r="23" spans="1:24" ht="18.75">
      <c r="A23" s="505" t="s">
        <v>549</v>
      </c>
      <c r="B23" s="11">
        <v>5.75</v>
      </c>
      <c r="C23" s="505" t="s">
        <v>557</v>
      </c>
      <c r="D23" s="11">
        <v>-126.203</v>
      </c>
      <c r="E23" s="496">
        <f t="shared" si="0"/>
        <v>1.8734537758771264</v>
      </c>
      <c r="F23" s="11" t="s">
        <v>540</v>
      </c>
      <c r="G23" s="11">
        <v>-151.89490000000001</v>
      </c>
      <c r="H23" s="496">
        <f t="shared" si="1"/>
        <v>2.2548439731343826</v>
      </c>
      <c r="I23" s="522">
        <f t="shared" si="2"/>
        <v>94.587016821981265</v>
      </c>
      <c r="R23" s="11" t="s">
        <v>528</v>
      </c>
      <c r="S23" s="11">
        <f>25</f>
        <v>25</v>
      </c>
      <c r="U23" s="517" t="s">
        <v>569</v>
      </c>
      <c r="V23" s="518"/>
      <c r="W23" s="519"/>
      <c r="X23" s="509">
        <f t="shared" si="3"/>
        <v>-7.8588321819787914E-5</v>
      </c>
    </row>
    <row r="24" spans="1:24" ht="18.75">
      <c r="A24" s="505" t="s">
        <v>550</v>
      </c>
      <c r="B24" s="11">
        <v>0</v>
      </c>
      <c r="C24" s="505" t="s">
        <v>557</v>
      </c>
      <c r="D24" s="11">
        <v>-157.6996</v>
      </c>
      <c r="E24" s="496">
        <f t="shared" si="0"/>
        <v>2.3410133758651734</v>
      </c>
      <c r="F24" s="11" t="s">
        <v>540</v>
      </c>
      <c r="G24" s="11">
        <v>-199.38</v>
      </c>
      <c r="H24" s="496">
        <f t="shared" si="1"/>
        <v>2.9597490854764263</v>
      </c>
      <c r="I24" s="522">
        <f t="shared" si="2"/>
        <v>124.15663339563491</v>
      </c>
      <c r="R24" s="11" t="s">
        <v>527</v>
      </c>
      <c r="S24" s="11">
        <f>S23+8</f>
        <v>33</v>
      </c>
      <c r="U24" s="11" t="s">
        <v>558</v>
      </c>
      <c r="V24" s="296">
        <v>178.9</v>
      </c>
      <c r="W24" s="519"/>
      <c r="X24" s="509">
        <f t="shared" si="3"/>
        <v>-7.8588321819787914E-5</v>
      </c>
    </row>
    <row r="25" spans="1:24" ht="17.25">
      <c r="A25" s="505" t="s">
        <v>550</v>
      </c>
      <c r="B25" s="11">
        <v>5.5</v>
      </c>
      <c r="C25" s="505" t="s">
        <v>557</v>
      </c>
      <c r="D25" s="11">
        <v>-59.336500000000001</v>
      </c>
      <c r="E25" s="496">
        <f t="shared" si="0"/>
        <v>0.88083635073915123</v>
      </c>
      <c r="F25" s="11" t="s">
        <v>540</v>
      </c>
      <c r="G25" s="11">
        <v>-58.648499999999999</v>
      </c>
      <c r="H25" s="496">
        <f t="shared" si="1"/>
        <v>0.8706231529720343</v>
      </c>
      <c r="I25" s="522">
        <f t="shared" si="2"/>
        <v>36.521217342280544</v>
      </c>
      <c r="R25" s="11" t="s">
        <v>529</v>
      </c>
      <c r="S25" s="11">
        <f>15</f>
        <v>15</v>
      </c>
      <c r="U25" s="11" t="s">
        <v>559</v>
      </c>
      <c r="V25" s="500">
        <f>($S$14*$V$21^3)/3+$S$25*$S$18*($V$21-$S$16)^2+$S$25*$S$18*($S$17-$V$21)^2</f>
        <v>28506291506.254173</v>
      </c>
      <c r="W25" s="520">
        <f t="shared" ref="W25" si="4">V25/1000^4</f>
        <v>2.8506291506254174E-2</v>
      </c>
      <c r="X25" s="509">
        <f t="shared" si="3"/>
        <v>-9.8201682334428072E-5</v>
      </c>
    </row>
    <row r="26" spans="1:24">
      <c r="A26" s="505" t="s">
        <v>551</v>
      </c>
      <c r="B26" s="11">
        <v>0</v>
      </c>
      <c r="C26" s="505" t="s">
        <v>557</v>
      </c>
      <c r="D26" s="11">
        <v>-59.336500000000001</v>
      </c>
      <c r="E26" s="496">
        <f t="shared" si="0"/>
        <v>0.88083635073915123</v>
      </c>
      <c r="F26" s="11" t="s">
        <v>540</v>
      </c>
      <c r="G26" s="11">
        <v>-58.648499999999999</v>
      </c>
      <c r="H26" s="496">
        <f t="shared" si="1"/>
        <v>0.8706231529720343</v>
      </c>
      <c r="I26" s="522">
        <f t="shared" si="2"/>
        <v>36.521217342280544</v>
      </c>
      <c r="X26" s="509">
        <f t="shared" si="3"/>
        <v>-3.6949644284682979E-5</v>
      </c>
    </row>
    <row r="27" spans="1:24">
      <c r="A27" s="505" t="s">
        <v>551</v>
      </c>
      <c r="B27" s="11">
        <v>5.5</v>
      </c>
      <c r="C27" s="505" t="s">
        <v>557</v>
      </c>
      <c r="D27" s="11">
        <v>-157.6996</v>
      </c>
      <c r="E27" s="496">
        <f t="shared" si="0"/>
        <v>2.3410133758651734</v>
      </c>
      <c r="F27" s="11" t="s">
        <v>540</v>
      </c>
      <c r="G27" s="11">
        <v>-199.38</v>
      </c>
      <c r="H27" s="496">
        <f t="shared" si="1"/>
        <v>2.9597490854764263</v>
      </c>
      <c r="I27" s="522">
        <f t="shared" si="2"/>
        <v>124.15663339563491</v>
      </c>
      <c r="X27" s="509">
        <f t="shared" si="3"/>
        <v>-3.6949644284682979E-5</v>
      </c>
    </row>
    <row r="28" spans="1:24">
      <c r="A28" s="505" t="s">
        <v>552</v>
      </c>
      <c r="B28" s="11">
        <v>0</v>
      </c>
      <c r="C28" s="505" t="s">
        <v>557</v>
      </c>
      <c r="D28" s="11">
        <v>-126.203</v>
      </c>
      <c r="E28" s="496">
        <f t="shared" si="0"/>
        <v>1.8734537758771264</v>
      </c>
      <c r="F28" s="11" t="s">
        <v>540</v>
      </c>
      <c r="G28" s="11">
        <v>-151.89490000000001</v>
      </c>
      <c r="H28" s="496">
        <f t="shared" si="1"/>
        <v>2.2548439731343826</v>
      </c>
      <c r="I28" s="522">
        <f t="shared" si="2"/>
        <v>94.587016821981265</v>
      </c>
      <c r="X28" s="509">
        <f t="shared" si="3"/>
        <v>-9.8201682334428072E-5</v>
      </c>
    </row>
    <row r="29" spans="1:24">
      <c r="A29" s="505" t="s">
        <v>552</v>
      </c>
      <c r="B29" s="11">
        <v>5.75</v>
      </c>
      <c r="C29" s="505" t="s">
        <v>557</v>
      </c>
      <c r="D29" s="11">
        <v>-126.203</v>
      </c>
      <c r="E29" s="496">
        <f t="shared" si="0"/>
        <v>1.8734537758771264</v>
      </c>
      <c r="F29" s="11" t="s">
        <v>540</v>
      </c>
      <c r="G29" s="11">
        <v>-151.89490000000001</v>
      </c>
      <c r="H29" s="496">
        <f t="shared" si="1"/>
        <v>2.2548439731343826</v>
      </c>
      <c r="I29" s="522">
        <f t="shared" si="2"/>
        <v>94.587016821981265</v>
      </c>
      <c r="X29" s="509">
        <f t="shared" si="3"/>
        <v>-7.8588321819787914E-5</v>
      </c>
    </row>
    <row r="30" spans="1:24">
      <c r="A30" s="505" t="s">
        <v>553</v>
      </c>
      <c r="B30" s="11">
        <v>0</v>
      </c>
      <c r="C30" s="505" t="s">
        <v>557</v>
      </c>
      <c r="D30" s="11">
        <v>-157.6996</v>
      </c>
      <c r="E30" s="496">
        <f t="shared" si="0"/>
        <v>2.3410133758651734</v>
      </c>
      <c r="F30" s="11" t="s">
        <v>540</v>
      </c>
      <c r="G30" s="11">
        <v>-199.38</v>
      </c>
      <c r="H30" s="496">
        <f t="shared" si="1"/>
        <v>2.9597490854764263</v>
      </c>
      <c r="I30" s="522">
        <f t="shared" si="2"/>
        <v>124.15663339563491</v>
      </c>
      <c r="X30" s="509">
        <f t="shared" si="3"/>
        <v>-7.8588321819787914E-5</v>
      </c>
    </row>
    <row r="31" spans="1:24">
      <c r="A31" s="505" t="s">
        <v>553</v>
      </c>
      <c r="B31" s="11">
        <v>5.5</v>
      </c>
      <c r="C31" s="505" t="s">
        <v>557</v>
      </c>
      <c r="D31" s="11">
        <v>-59.336500000000001</v>
      </c>
      <c r="E31" s="496">
        <f t="shared" si="0"/>
        <v>0.88083635073915123</v>
      </c>
      <c r="F31" s="11" t="s">
        <v>540</v>
      </c>
      <c r="G31" s="11">
        <v>-199.38</v>
      </c>
      <c r="H31" s="496">
        <f t="shared" si="1"/>
        <v>2.9597490854764263</v>
      </c>
      <c r="I31" s="522">
        <f t="shared" ref="I31" si="5">$S$25*ABS(G31*1000^2)*($S$17-$V$21)/$V$22</f>
        <v>124.15663339563491</v>
      </c>
      <c r="X31" s="509">
        <f t="shared" si="3"/>
        <v>-9.8201682334428072E-5</v>
      </c>
    </row>
    <row r="32" spans="1:24">
      <c r="A32" s="505" t="s">
        <v>554</v>
      </c>
      <c r="B32" s="11">
        <v>0</v>
      </c>
      <c r="C32" s="505" t="s">
        <v>557</v>
      </c>
      <c r="D32" s="11">
        <v>-43.812199999999997</v>
      </c>
      <c r="E32" s="496">
        <f t="shared" si="0"/>
        <v>0.65038177792511942</v>
      </c>
      <c r="F32" s="11" t="s">
        <v>540</v>
      </c>
      <c r="G32" s="11">
        <v>-32.977899999999998</v>
      </c>
      <c r="H32" s="496">
        <f t="shared" ref="H32:H37" si="6">(ABS(G32*1000^2)*$V$21)/$V$22</f>
        <v>0.48954914919216092</v>
      </c>
      <c r="I32" s="522">
        <f t="shared" ref="I32:I37" si="7">$S$25*ABS(G32*1000^2)*($S$17-$V$21)/$V$22</f>
        <v>20.535786139321441</v>
      </c>
      <c r="X32" s="509">
        <f t="shared" si="3"/>
        <v>-3.6949644284682979E-5</v>
      </c>
    </row>
    <row r="33" spans="1:24">
      <c r="A33" s="505" t="s">
        <v>554</v>
      </c>
      <c r="B33" s="11">
        <v>5.5</v>
      </c>
      <c r="C33" s="505" t="s">
        <v>557</v>
      </c>
      <c r="D33" s="11">
        <v>-177.08539999999999</v>
      </c>
      <c r="E33" s="496">
        <f t="shared" si="0"/>
        <v>2.6287910056235688</v>
      </c>
      <c r="F33" s="11" t="s">
        <v>540</v>
      </c>
      <c r="G33" s="11">
        <v>-231.5179</v>
      </c>
      <c r="H33" s="496">
        <f t="shared" si="6"/>
        <v>3.4368286327436195</v>
      </c>
      <c r="I33" s="522">
        <f t="shared" si="7"/>
        <v>144.16934012853477</v>
      </c>
      <c r="X33" s="509">
        <f t="shared" si="3"/>
        <v>-2.728245186907531E-5</v>
      </c>
    </row>
    <row r="34" spans="1:24">
      <c r="A34" s="505" t="s">
        <v>555</v>
      </c>
      <c r="B34" s="11">
        <v>0</v>
      </c>
      <c r="C34" s="505" t="s">
        <v>557</v>
      </c>
      <c r="D34" s="11">
        <v>-130.7148</v>
      </c>
      <c r="E34" s="496">
        <f t="shared" si="0"/>
        <v>1.9404303829784029</v>
      </c>
      <c r="F34" s="11" t="s">
        <v>540</v>
      </c>
      <c r="G34" s="11">
        <v>-159.4349</v>
      </c>
      <c r="H34" s="496">
        <f t="shared" si="6"/>
        <v>2.3667734951751704</v>
      </c>
      <c r="I34" s="522">
        <f t="shared" si="7"/>
        <v>99.28227720819396</v>
      </c>
      <c r="X34" s="509">
        <f t="shared" si="3"/>
        <v>-1.1027348323562727E-4</v>
      </c>
    </row>
    <row r="35" spans="1:24">
      <c r="A35" s="505" t="s">
        <v>555</v>
      </c>
      <c r="B35" s="11">
        <v>5.75</v>
      </c>
      <c r="C35" s="505" t="s">
        <v>557</v>
      </c>
      <c r="D35" s="11">
        <v>-130.7148</v>
      </c>
      <c r="E35" s="496">
        <f t="shared" si="0"/>
        <v>1.9404303829784029</v>
      </c>
      <c r="F35" s="11" t="s">
        <v>540</v>
      </c>
      <c r="G35" s="11">
        <v>-159.4349</v>
      </c>
      <c r="H35" s="496">
        <f t="shared" si="6"/>
        <v>2.3667734951751704</v>
      </c>
      <c r="I35" s="522">
        <f t="shared" si="7"/>
        <v>99.28227720819396</v>
      </c>
      <c r="X35" s="509">
        <f t="shared" si="3"/>
        <v>-8.1397880945850834E-5</v>
      </c>
    </row>
    <row r="36" spans="1:24">
      <c r="A36" s="505" t="s">
        <v>556</v>
      </c>
      <c r="B36" s="11">
        <v>0</v>
      </c>
      <c r="C36" s="505" t="s">
        <v>557</v>
      </c>
      <c r="D36" s="11">
        <v>-177.08539999999999</v>
      </c>
      <c r="E36" s="496">
        <f t="shared" si="0"/>
        <v>2.6287910056235688</v>
      </c>
      <c r="F36" s="11" t="s">
        <v>540</v>
      </c>
      <c r="G36" s="11">
        <v>-231.5179</v>
      </c>
      <c r="H36" s="496">
        <f t="shared" si="6"/>
        <v>3.4368286327436195</v>
      </c>
      <c r="I36" s="522">
        <f t="shared" si="7"/>
        <v>144.16934012853477</v>
      </c>
      <c r="X36" s="509">
        <f t="shared" si="3"/>
        <v>-8.1397880945850834E-5</v>
      </c>
    </row>
    <row r="37" spans="1:24">
      <c r="A37" s="11" t="s">
        <v>556</v>
      </c>
      <c r="B37" s="11">
        <v>5.5</v>
      </c>
      <c r="C37" s="11" t="s">
        <v>557</v>
      </c>
      <c r="D37" s="11">
        <v>-43.812199999999997</v>
      </c>
      <c r="E37" s="496">
        <f t="shared" si="0"/>
        <v>0.65038177792511942</v>
      </c>
      <c r="F37" s="11" t="s">
        <v>540</v>
      </c>
      <c r="G37" s="11">
        <v>-32.977899999999998</v>
      </c>
      <c r="H37" s="496">
        <f t="shared" si="6"/>
        <v>0.48954914919216092</v>
      </c>
      <c r="I37" s="522">
        <f t="shared" si="7"/>
        <v>20.535786139321441</v>
      </c>
    </row>
    <row r="39" spans="1:24">
      <c r="A39" s="705" t="s">
        <v>572</v>
      </c>
      <c r="B39" s="705"/>
      <c r="C39" s="705"/>
      <c r="D39" s="705"/>
      <c r="E39" s="705"/>
      <c r="F39" s="705"/>
    </row>
    <row r="40" spans="1:24" ht="18">
      <c r="A40" s="501" t="s">
        <v>533</v>
      </c>
      <c r="B40" s="502" t="s">
        <v>534</v>
      </c>
      <c r="C40" s="501" t="s">
        <v>535</v>
      </c>
      <c r="D40" s="502" t="s">
        <v>536</v>
      </c>
      <c r="E40" s="506" t="s">
        <v>560</v>
      </c>
      <c r="F40" s="506" t="s">
        <v>562</v>
      </c>
    </row>
    <row r="41" spans="1:24" ht="17.25">
      <c r="A41" s="503" t="s">
        <v>537</v>
      </c>
      <c r="B41" s="504" t="s">
        <v>2</v>
      </c>
      <c r="C41" s="503" t="s">
        <v>537</v>
      </c>
      <c r="D41" s="504" t="s">
        <v>538</v>
      </c>
      <c r="E41" s="504" t="s">
        <v>561</v>
      </c>
      <c r="F41" s="504" t="s">
        <v>561</v>
      </c>
    </row>
    <row r="42" spans="1:24">
      <c r="A42" s="510">
        <v>59</v>
      </c>
      <c r="B42" s="510">
        <v>2.375</v>
      </c>
      <c r="C42" s="510" t="s">
        <v>557</v>
      </c>
      <c r="D42" s="490">
        <f>-O127</f>
        <v>-55.9788</v>
      </c>
      <c r="E42" s="496">
        <f>(ABS(D42*1000^2)*$V$24)/$V$25</f>
        <v>0.3513121767453628</v>
      </c>
      <c r="F42" s="522">
        <f>$S$25*ABS(D42*1000^2)*($S$17-$V$21)/$V$22</f>
        <v>34.858758900228551</v>
      </c>
    </row>
    <row r="43" spans="1:24">
      <c r="A43" s="510">
        <v>60</v>
      </c>
      <c r="B43" s="510">
        <v>2.375</v>
      </c>
      <c r="C43" s="510" t="s">
        <v>557</v>
      </c>
      <c r="D43" s="490">
        <f t="shared" ref="D43:D57" si="8">-O128</f>
        <v>-55.9788</v>
      </c>
      <c r="E43" s="496">
        <f t="shared" ref="E43:E57" si="9">(ABS(D43*1000^2)*$V$24)/$V$25</f>
        <v>0.3513121767453628</v>
      </c>
      <c r="F43" s="522">
        <f t="shared" ref="F43:F75" si="10">$S$25*ABS(D43*1000^2)*($S$17-$V$21)/$V$22</f>
        <v>34.858758900228551</v>
      </c>
    </row>
    <row r="44" spans="1:24">
      <c r="A44" s="510">
        <v>61</v>
      </c>
      <c r="B44" s="510">
        <v>2.375</v>
      </c>
      <c r="C44" s="510" t="s">
        <v>557</v>
      </c>
      <c r="D44" s="490">
        <f t="shared" si="8"/>
        <v>-51.5486</v>
      </c>
      <c r="E44" s="496">
        <f t="shared" si="9"/>
        <v>0.32350909405303452</v>
      </c>
      <c r="F44" s="522">
        <f t="shared" si="10"/>
        <v>32.100013202218008</v>
      </c>
    </row>
    <row r="45" spans="1:24">
      <c r="A45" s="510">
        <v>62</v>
      </c>
      <c r="B45" s="510">
        <v>2.375</v>
      </c>
      <c r="C45" s="510" t="s">
        <v>557</v>
      </c>
      <c r="D45" s="490">
        <f t="shared" si="8"/>
        <v>-51.5486</v>
      </c>
      <c r="E45" s="496">
        <f t="shared" si="9"/>
        <v>0.32350909405303452</v>
      </c>
      <c r="F45" s="522">
        <f t="shared" si="10"/>
        <v>32.100013202218008</v>
      </c>
    </row>
    <row r="46" spans="1:24">
      <c r="A46" s="510">
        <v>63</v>
      </c>
      <c r="B46" s="510">
        <v>2.375</v>
      </c>
      <c r="C46" s="510" t="s">
        <v>557</v>
      </c>
      <c r="D46" s="490">
        <f t="shared" si="8"/>
        <v>-51.5486</v>
      </c>
      <c r="E46" s="496">
        <f t="shared" si="9"/>
        <v>0.32350909405303452</v>
      </c>
      <c r="F46" s="522">
        <f t="shared" si="10"/>
        <v>32.100013202218008</v>
      </c>
    </row>
    <row r="47" spans="1:24">
      <c r="A47" s="510">
        <v>64</v>
      </c>
      <c r="B47" s="510">
        <v>2.375</v>
      </c>
      <c r="C47" s="510" t="s">
        <v>557</v>
      </c>
      <c r="D47" s="490">
        <f t="shared" si="8"/>
        <v>-51.5486</v>
      </c>
      <c r="E47" s="496">
        <f t="shared" si="9"/>
        <v>0.32350909405303452</v>
      </c>
      <c r="F47" s="522">
        <f t="shared" si="10"/>
        <v>32.100013202218008</v>
      </c>
    </row>
    <row r="48" spans="1:24">
      <c r="A48" s="510">
        <v>65</v>
      </c>
      <c r="B48" s="510">
        <v>2.375</v>
      </c>
      <c r="C48" s="510" t="s">
        <v>557</v>
      </c>
      <c r="D48" s="490">
        <f t="shared" si="8"/>
        <v>-55.9788</v>
      </c>
      <c r="E48" s="496">
        <f t="shared" si="9"/>
        <v>0.3513121767453628</v>
      </c>
      <c r="F48" s="522">
        <f t="shared" si="10"/>
        <v>34.858758900228551</v>
      </c>
    </row>
    <row r="49" spans="1:6">
      <c r="A49" s="510">
        <v>66</v>
      </c>
      <c r="B49" s="510">
        <v>2.375</v>
      </c>
      <c r="C49" s="510" t="s">
        <v>557</v>
      </c>
      <c r="D49" s="490">
        <f t="shared" si="8"/>
        <v>-55.9788</v>
      </c>
      <c r="E49" s="496">
        <f t="shared" si="9"/>
        <v>0.3513121767453628</v>
      </c>
      <c r="F49" s="522">
        <f t="shared" si="10"/>
        <v>34.858758900228551</v>
      </c>
    </row>
    <row r="50" spans="1:6">
      <c r="A50" s="510">
        <v>84</v>
      </c>
      <c r="B50" s="510">
        <v>2.7</v>
      </c>
      <c r="C50" s="510" t="s">
        <v>557</v>
      </c>
      <c r="D50" s="490">
        <f t="shared" si="8"/>
        <v>-73.405299999999997</v>
      </c>
      <c r="E50" s="496">
        <f t="shared" si="9"/>
        <v>0.46067753734710959</v>
      </c>
      <c r="F50" s="522">
        <f t="shared" si="10"/>
        <v>45.710477085949442</v>
      </c>
    </row>
    <row r="51" spans="1:6">
      <c r="A51" s="510">
        <v>85</v>
      </c>
      <c r="B51" s="510">
        <v>2.875</v>
      </c>
      <c r="C51" s="510" t="s">
        <v>557</v>
      </c>
      <c r="D51" s="490">
        <f t="shared" si="8"/>
        <v>-71.754800000000003</v>
      </c>
      <c r="E51" s="496">
        <f t="shared" si="9"/>
        <v>0.45031931695442129</v>
      </c>
      <c r="F51" s="522">
        <f t="shared" si="10"/>
        <v>44.682688323688957</v>
      </c>
    </row>
    <row r="52" spans="1:6">
      <c r="A52" s="510">
        <v>86</v>
      </c>
      <c r="B52" s="510">
        <v>2.7</v>
      </c>
      <c r="C52" s="510" t="s">
        <v>557</v>
      </c>
      <c r="D52" s="490">
        <f t="shared" si="8"/>
        <v>-71.619699999999995</v>
      </c>
      <c r="E52" s="496">
        <f t="shared" si="9"/>
        <v>0.44947145535184496</v>
      </c>
      <c r="F52" s="522">
        <f t="shared" si="10"/>
        <v>44.59855971915615</v>
      </c>
    </row>
    <row r="53" spans="1:6">
      <c r="A53" s="510">
        <v>89</v>
      </c>
      <c r="B53" s="510">
        <v>2.7</v>
      </c>
      <c r="C53" s="510" t="s">
        <v>557</v>
      </c>
      <c r="D53" s="490">
        <f t="shared" si="8"/>
        <v>-73.405299999999997</v>
      </c>
      <c r="E53" s="496">
        <f t="shared" si="9"/>
        <v>0.46067753734710959</v>
      </c>
      <c r="F53" s="522">
        <f t="shared" si="10"/>
        <v>45.710477085949442</v>
      </c>
    </row>
    <row r="54" spans="1:6">
      <c r="A54" s="510">
        <v>90</v>
      </c>
      <c r="B54" s="510">
        <v>2.875</v>
      </c>
      <c r="C54" s="510" t="s">
        <v>557</v>
      </c>
      <c r="D54" s="490">
        <f t="shared" si="8"/>
        <v>-71.754800000000003</v>
      </c>
      <c r="E54" s="496">
        <f t="shared" si="9"/>
        <v>0.45031931695442129</v>
      </c>
      <c r="F54" s="522">
        <f t="shared" si="10"/>
        <v>44.682688323688957</v>
      </c>
    </row>
    <row r="55" spans="1:6">
      <c r="A55" s="510">
        <v>91</v>
      </c>
      <c r="B55" s="510">
        <v>2.7</v>
      </c>
      <c r="C55" s="510" t="s">
        <v>557</v>
      </c>
      <c r="D55" s="490">
        <f t="shared" si="8"/>
        <v>-71.619699999999995</v>
      </c>
      <c r="E55" s="496">
        <f t="shared" si="9"/>
        <v>0.44947145535184496</v>
      </c>
      <c r="F55" s="522">
        <f t="shared" si="10"/>
        <v>44.59855971915615</v>
      </c>
    </row>
    <row r="56" spans="1:6">
      <c r="A56" s="510">
        <v>94</v>
      </c>
      <c r="B56" s="510">
        <v>2.7</v>
      </c>
      <c r="C56" s="510" t="s">
        <v>557</v>
      </c>
      <c r="D56" s="490">
        <f t="shared" si="8"/>
        <v>-72.182199999999995</v>
      </c>
      <c r="E56" s="496">
        <f t="shared" si="9"/>
        <v>0.45300159710942584</v>
      </c>
      <c r="F56" s="522">
        <f t="shared" si="10"/>
        <v>44.948836107384885</v>
      </c>
    </row>
    <row r="57" spans="1:6">
      <c r="A57" s="510">
        <v>95</v>
      </c>
      <c r="B57" s="510">
        <v>2.875</v>
      </c>
      <c r="C57" s="510" t="s">
        <v>557</v>
      </c>
      <c r="D57" s="490">
        <f t="shared" si="8"/>
        <v>-68.160899999999998</v>
      </c>
      <c r="E57" s="496">
        <f t="shared" si="9"/>
        <v>0.42776469213207496</v>
      </c>
      <c r="F57" s="522">
        <f t="shared" si="10"/>
        <v>42.444717991857416</v>
      </c>
    </row>
    <row r="58" spans="1:6" ht="15.75" thickBot="1">
      <c r="A58" s="511">
        <v>96</v>
      </c>
      <c r="B58" s="511">
        <v>2.7</v>
      </c>
      <c r="C58" s="511" t="s">
        <v>557</v>
      </c>
      <c r="D58" s="514">
        <f>-O143</f>
        <v>-69.767700000000005</v>
      </c>
      <c r="E58" s="523">
        <f>(ABS(D58*1000^2)*$V$24)/$V$25</f>
        <v>0.43784865973399656</v>
      </c>
      <c r="F58" s="526">
        <f t="shared" si="10"/>
        <v>43.445294170712401</v>
      </c>
    </row>
    <row r="59" spans="1:6">
      <c r="A59" s="512">
        <v>59</v>
      </c>
      <c r="B59" s="512">
        <v>2.375</v>
      </c>
      <c r="C59" s="512" t="s">
        <v>540</v>
      </c>
      <c r="D59" s="513">
        <f>-O144</f>
        <v>-64.606099999999998</v>
      </c>
      <c r="E59" s="524">
        <f>(ABS(D59*1000^2)*$V$24)/$V$25</f>
        <v>0.40545545138567785</v>
      </c>
      <c r="F59" s="525">
        <f t="shared" si="10"/>
        <v>40.231095760967641</v>
      </c>
    </row>
    <row r="60" spans="1:6">
      <c r="A60" s="510">
        <v>60</v>
      </c>
      <c r="B60" s="510">
        <v>2.375</v>
      </c>
      <c r="C60" s="510" t="s">
        <v>540</v>
      </c>
      <c r="D60" s="490">
        <f>-O145</f>
        <v>-64.606099999999998</v>
      </c>
      <c r="E60" s="496">
        <f>(ABS(D60*1000^2)*$V$24)/$V$25</f>
        <v>0.40545545138567785</v>
      </c>
      <c r="F60" s="522">
        <f t="shared" si="10"/>
        <v>40.231095760967641</v>
      </c>
    </row>
    <row r="61" spans="1:6">
      <c r="A61" s="510">
        <v>61</v>
      </c>
      <c r="B61" s="510">
        <v>2.375</v>
      </c>
      <c r="C61" s="510" t="s">
        <v>540</v>
      </c>
      <c r="D61" s="490">
        <f t="shared" ref="D61:D75" si="11">-O146</f>
        <v>-57.579300000000003</v>
      </c>
      <c r="E61" s="496">
        <f t="shared" ref="E61:E75" si="12">(ABS(D61*1000^2)*$V$24)/$V$25</f>
        <v>0.36135660675959946</v>
      </c>
      <c r="F61" s="522">
        <f t="shared" si="10"/>
        <v>35.855411983535369</v>
      </c>
    </row>
    <row r="62" spans="1:6">
      <c r="A62" s="510">
        <v>62</v>
      </c>
      <c r="B62" s="510">
        <v>2.375</v>
      </c>
      <c r="C62" s="510" t="s">
        <v>540</v>
      </c>
      <c r="D62" s="490">
        <f t="shared" si="11"/>
        <v>-57.579300000000003</v>
      </c>
      <c r="E62" s="496">
        <f t="shared" si="12"/>
        <v>0.36135660675959946</v>
      </c>
      <c r="F62" s="522">
        <f t="shared" si="10"/>
        <v>35.855411983535369</v>
      </c>
    </row>
    <row r="63" spans="1:6">
      <c r="A63" s="510">
        <v>63</v>
      </c>
      <c r="B63" s="510">
        <v>2.375</v>
      </c>
      <c r="C63" s="510" t="s">
        <v>540</v>
      </c>
      <c r="D63" s="490">
        <f t="shared" si="11"/>
        <v>-57.579300000000003</v>
      </c>
      <c r="E63" s="496">
        <f t="shared" si="12"/>
        <v>0.36135660675959946</v>
      </c>
      <c r="F63" s="522">
        <f>$S$25*ABS(D63*1000^2)*($S$17-$V$21)/$V$22</f>
        <v>35.855411983535369</v>
      </c>
    </row>
    <row r="64" spans="1:6">
      <c r="A64" s="510">
        <v>64</v>
      </c>
      <c r="B64" s="510">
        <v>2.375</v>
      </c>
      <c r="C64" s="510" t="s">
        <v>540</v>
      </c>
      <c r="D64" s="490">
        <f t="shared" si="11"/>
        <v>-57.579300000000003</v>
      </c>
      <c r="E64" s="496">
        <f t="shared" si="12"/>
        <v>0.36135660675959946</v>
      </c>
      <c r="F64" s="522">
        <f t="shared" si="10"/>
        <v>35.855411983535369</v>
      </c>
    </row>
    <row r="65" spans="1:6">
      <c r="A65" s="510">
        <v>65</v>
      </c>
      <c r="B65" s="510">
        <v>2.375</v>
      </c>
      <c r="C65" s="510" t="s">
        <v>540</v>
      </c>
      <c r="D65" s="490">
        <f t="shared" si="11"/>
        <v>-64.606099999999998</v>
      </c>
      <c r="E65" s="496">
        <f t="shared" si="12"/>
        <v>0.40545545138567785</v>
      </c>
      <c r="F65" s="522">
        <f t="shared" si="10"/>
        <v>40.231095760967641</v>
      </c>
    </row>
    <row r="66" spans="1:6">
      <c r="A66" s="510">
        <v>66</v>
      </c>
      <c r="B66" s="510">
        <v>2.375</v>
      </c>
      <c r="C66" s="510" t="s">
        <v>540</v>
      </c>
      <c r="D66" s="490">
        <f t="shared" si="11"/>
        <v>-64.606099999999998</v>
      </c>
      <c r="E66" s="496">
        <f t="shared" si="12"/>
        <v>0.40545545138567785</v>
      </c>
      <c r="F66" s="522">
        <f t="shared" si="10"/>
        <v>40.231095760967641</v>
      </c>
    </row>
    <row r="67" spans="1:6">
      <c r="A67" s="510">
        <v>84</v>
      </c>
      <c r="B67" s="510">
        <v>2.7</v>
      </c>
      <c r="C67" s="510" t="s">
        <v>540</v>
      </c>
      <c r="D67" s="490">
        <f t="shared" si="11"/>
        <v>-84.340900000000005</v>
      </c>
      <c r="E67" s="496">
        <f t="shared" si="12"/>
        <v>0.52930725859902261</v>
      </c>
      <c r="F67" s="522">
        <f t="shared" si="10"/>
        <v>52.52022370126344</v>
      </c>
    </row>
    <row r="68" spans="1:6">
      <c r="A68" s="510">
        <v>85</v>
      </c>
      <c r="B68" s="510">
        <v>2.875</v>
      </c>
      <c r="C68" s="510" t="s">
        <v>540</v>
      </c>
      <c r="D68" s="490">
        <f t="shared" si="11"/>
        <v>-80.434399999999997</v>
      </c>
      <c r="E68" s="496">
        <f t="shared" si="12"/>
        <v>0.50479081633059675</v>
      </c>
      <c r="F68" s="522">
        <f t="shared" si="10"/>
        <v>50.087593104613589</v>
      </c>
    </row>
    <row r="69" spans="1:6">
      <c r="A69" s="510">
        <v>86</v>
      </c>
      <c r="B69" s="510">
        <v>2.7</v>
      </c>
      <c r="C69" s="510" t="s">
        <v>540</v>
      </c>
      <c r="D69" s="490">
        <f t="shared" si="11"/>
        <v>-81.790400000000005</v>
      </c>
      <c r="E69" s="496">
        <f t="shared" si="12"/>
        <v>0.51330081139420491</v>
      </c>
      <c r="F69" s="522">
        <f t="shared" si="10"/>
        <v>50.931992717836991</v>
      </c>
    </row>
    <row r="70" spans="1:6">
      <c r="A70" s="510">
        <v>89</v>
      </c>
      <c r="B70" s="510">
        <v>2.7</v>
      </c>
      <c r="C70" s="510" t="s">
        <v>540</v>
      </c>
      <c r="D70" s="490">
        <f t="shared" si="11"/>
        <v>-84.340900000000005</v>
      </c>
      <c r="E70" s="496">
        <f t="shared" si="12"/>
        <v>0.52930725859902261</v>
      </c>
      <c r="F70" s="522">
        <f t="shared" si="10"/>
        <v>52.52022370126344</v>
      </c>
    </row>
    <row r="71" spans="1:6">
      <c r="A71" s="510">
        <v>90</v>
      </c>
      <c r="B71" s="510">
        <v>2.875</v>
      </c>
      <c r="C71" s="510" t="s">
        <v>540</v>
      </c>
      <c r="D71" s="490">
        <f t="shared" si="11"/>
        <v>-80.434399999999997</v>
      </c>
      <c r="E71" s="496">
        <f t="shared" si="12"/>
        <v>0.50479081633059675</v>
      </c>
      <c r="F71" s="522">
        <f t="shared" si="10"/>
        <v>50.087593104613589</v>
      </c>
    </row>
    <row r="72" spans="1:6">
      <c r="A72" s="510">
        <v>91</v>
      </c>
      <c r="B72" s="510">
        <v>2.7</v>
      </c>
      <c r="C72" s="510" t="s">
        <v>540</v>
      </c>
      <c r="D72" s="490">
        <f t="shared" si="11"/>
        <v>-81.790400000000005</v>
      </c>
      <c r="E72" s="496">
        <f t="shared" si="12"/>
        <v>0.51330081139420491</v>
      </c>
      <c r="F72" s="522">
        <f t="shared" si="10"/>
        <v>50.931992717836991</v>
      </c>
    </row>
    <row r="73" spans="1:6">
      <c r="A73" s="510">
        <v>94</v>
      </c>
      <c r="B73" s="510">
        <v>2.7</v>
      </c>
      <c r="C73" s="510" t="s">
        <v>540</v>
      </c>
      <c r="D73" s="490">
        <f t="shared" si="11"/>
        <v>-82.436099999999996</v>
      </c>
      <c r="E73" s="496">
        <f t="shared" si="12"/>
        <v>0.51735310034152926</v>
      </c>
      <c r="F73" s="522">
        <f t="shared" si="10"/>
        <v>51.334078875844618</v>
      </c>
    </row>
    <row r="74" spans="1:6">
      <c r="A74" s="510">
        <v>95</v>
      </c>
      <c r="B74" s="510">
        <v>2.875</v>
      </c>
      <c r="C74" s="510" t="s">
        <v>540</v>
      </c>
      <c r="D74" s="490">
        <f t="shared" si="11"/>
        <v>-74.582300000000004</v>
      </c>
      <c r="E74" s="496">
        <f t="shared" si="12"/>
        <v>0.468064162855861</v>
      </c>
      <c r="F74" s="522">
        <f t="shared" si="10"/>
        <v>46.44341096851872</v>
      </c>
    </row>
    <row r="75" spans="1:6">
      <c r="A75" s="510">
        <v>96</v>
      </c>
      <c r="B75" s="510">
        <v>2.7</v>
      </c>
      <c r="C75" s="510" t="s">
        <v>540</v>
      </c>
      <c r="D75" s="490">
        <f t="shared" si="11"/>
        <v>-78.844099999999997</v>
      </c>
      <c r="E75" s="496">
        <f t="shared" si="12"/>
        <v>0.49481039955356415</v>
      </c>
      <c r="F75" s="522">
        <f t="shared" si="10"/>
        <v>49.097291699813319</v>
      </c>
    </row>
    <row r="127" spans="13:15">
      <c r="M127" s="512">
        <v>-70.686000000000007</v>
      </c>
      <c r="O127" s="512">
        <v>55.9788</v>
      </c>
    </row>
    <row r="128" spans="13:15">
      <c r="M128" s="510">
        <v>-70.686000000000007</v>
      </c>
      <c r="O128" s="510">
        <v>55.9788</v>
      </c>
    </row>
    <row r="129" spans="13:15">
      <c r="M129" s="510">
        <v>-40.945</v>
      </c>
      <c r="O129" s="510">
        <v>51.5486</v>
      </c>
    </row>
    <row r="130" spans="13:15">
      <c r="M130" s="510">
        <v>-40.945</v>
      </c>
      <c r="O130" s="510">
        <v>51.5486</v>
      </c>
    </row>
    <row r="131" spans="13:15">
      <c r="M131" s="510">
        <v>-40.945</v>
      </c>
      <c r="O131" s="510">
        <v>51.5486</v>
      </c>
    </row>
    <row r="132" spans="13:15">
      <c r="M132" s="510">
        <v>-40.945</v>
      </c>
      <c r="O132" s="510">
        <v>51.5486</v>
      </c>
    </row>
    <row r="133" spans="13:15">
      <c r="M133" s="510">
        <v>-70.686000000000007</v>
      </c>
      <c r="O133" s="510">
        <v>55.9788</v>
      </c>
    </row>
    <row r="134" spans="13:15">
      <c r="M134" s="510">
        <v>-70.686000000000007</v>
      </c>
      <c r="O134" s="510">
        <v>55.9788</v>
      </c>
    </row>
    <row r="135" spans="13:15">
      <c r="M135" s="510">
        <v>-79.304000000000002</v>
      </c>
      <c r="O135" s="510">
        <v>73.405299999999997</v>
      </c>
    </row>
    <row r="136" spans="13:15">
      <c r="M136" s="510">
        <v>-37.424999999999997</v>
      </c>
      <c r="O136" s="510">
        <v>71.754800000000003</v>
      </c>
    </row>
    <row r="137" spans="13:15">
      <c r="M137" s="510">
        <v>-79.304000000000002</v>
      </c>
      <c r="O137" s="510">
        <v>71.619699999999995</v>
      </c>
    </row>
    <row r="138" spans="13:15">
      <c r="M138" s="510">
        <v>-79.304000000000002</v>
      </c>
      <c r="O138" s="510">
        <v>73.405299999999997</v>
      </c>
    </row>
    <row r="139" spans="13:15">
      <c r="M139" s="510">
        <v>-37.424999999999997</v>
      </c>
      <c r="O139" s="510">
        <v>71.754800000000003</v>
      </c>
    </row>
    <row r="140" spans="13:15">
      <c r="M140" s="510">
        <v>-79.304000000000002</v>
      </c>
      <c r="O140" s="510">
        <v>71.619699999999995</v>
      </c>
    </row>
    <row r="141" spans="13:15">
      <c r="M141" s="510">
        <v>-68.441000000000003</v>
      </c>
      <c r="O141" s="510">
        <v>72.182199999999995</v>
      </c>
    </row>
    <row r="142" spans="13:15">
      <c r="M142" s="510">
        <v>-12.031000000000001</v>
      </c>
      <c r="O142" s="510">
        <v>68.160899999999998</v>
      </c>
    </row>
    <row r="143" spans="13:15" ht="15.75" thickBot="1">
      <c r="M143" s="511">
        <v>-68.441000000000003</v>
      </c>
      <c r="O143" s="511">
        <v>69.767700000000005</v>
      </c>
    </row>
    <row r="144" spans="13:15">
      <c r="M144" s="512">
        <v>-76.968000000000004</v>
      </c>
      <c r="O144" s="512">
        <v>64.606099999999998</v>
      </c>
    </row>
    <row r="145" spans="13:15">
      <c r="M145" s="510">
        <v>-76.968000000000004</v>
      </c>
      <c r="O145" s="510">
        <v>64.606099999999998</v>
      </c>
    </row>
    <row r="146" spans="13:15">
      <c r="M146" s="510">
        <v>-28.672000000000001</v>
      </c>
      <c r="O146" s="510">
        <v>57.579300000000003</v>
      </c>
    </row>
    <row r="147" spans="13:15">
      <c r="M147" s="510">
        <v>-28.672000000000001</v>
      </c>
      <c r="O147" s="510">
        <v>57.579300000000003</v>
      </c>
    </row>
    <row r="148" spans="13:15">
      <c r="M148" s="510">
        <v>-28.672000000000001</v>
      </c>
      <c r="O148" s="510">
        <v>57.579300000000003</v>
      </c>
    </row>
    <row r="149" spans="13:15">
      <c r="M149" s="510">
        <v>-28.672000000000001</v>
      </c>
      <c r="O149" s="510">
        <v>57.579300000000003</v>
      </c>
    </row>
    <row r="150" spans="13:15">
      <c r="M150" s="510">
        <v>-76.968000000000004</v>
      </c>
      <c r="O150" s="510">
        <v>64.606099999999998</v>
      </c>
    </row>
    <row r="151" spans="13:15">
      <c r="M151" s="510">
        <v>-76.968000000000004</v>
      </c>
      <c r="O151" s="510">
        <v>64.606099999999998</v>
      </c>
    </row>
    <row r="152" spans="13:15">
      <c r="M152" s="510">
        <v>-80.656000000000006</v>
      </c>
      <c r="O152" s="510">
        <v>84.340900000000005</v>
      </c>
    </row>
    <row r="153" spans="13:15">
      <c r="M153" s="510">
        <v>-19.329999999999998</v>
      </c>
      <c r="O153" s="510">
        <v>80.434399999999997</v>
      </c>
    </row>
    <row r="154" spans="13:15">
      <c r="M154" s="510">
        <v>-80.656000000000006</v>
      </c>
      <c r="O154" s="510">
        <v>81.790400000000005</v>
      </c>
    </row>
    <row r="155" spans="13:15">
      <c r="M155" s="510">
        <v>-80.656000000000006</v>
      </c>
      <c r="O155" s="510">
        <v>84.340900000000005</v>
      </c>
    </row>
    <row r="156" spans="13:15">
      <c r="M156" s="510">
        <v>-19.329999999999998</v>
      </c>
      <c r="O156" s="510">
        <v>80.434399999999997</v>
      </c>
    </row>
    <row r="157" spans="13:15">
      <c r="M157" s="510">
        <v>-80.656000000000006</v>
      </c>
      <c r="O157" s="510">
        <v>81.790400000000005</v>
      </c>
    </row>
    <row r="158" spans="13:15">
      <c r="M158" s="510">
        <v>-63.11</v>
      </c>
      <c r="O158" s="510">
        <v>82.436099999999996</v>
      </c>
    </row>
    <row r="159" spans="13:15">
      <c r="M159" s="510">
        <v>22.44</v>
      </c>
      <c r="O159" s="510">
        <v>74.582300000000004</v>
      </c>
    </row>
    <row r="160" spans="13:15">
      <c r="M160" s="510">
        <v>-63.11</v>
      </c>
      <c r="O160" s="510">
        <v>78.844099999999997</v>
      </c>
    </row>
  </sheetData>
  <mergeCells count="5">
    <mergeCell ref="A1:I1"/>
    <mergeCell ref="A39:F39"/>
    <mergeCell ref="R19:S19"/>
    <mergeCell ref="R22:S22"/>
    <mergeCell ref="R12:S12"/>
  </mergeCells>
  <pageMargins left="0.70866141732283472" right="0.70866141732283472" top="0.74803149606299213" bottom="0.74803149606299213" header="0.31496062992125984" footer="0.31496062992125984"/>
  <pageSetup paperSize="9" scale="3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BF7C-83D7-4AF8-BBDA-302130942954}">
  <sheetPr>
    <pageSetUpPr fitToPage="1"/>
  </sheetPr>
  <dimension ref="J1:AB59"/>
  <sheetViews>
    <sheetView topLeftCell="E1" zoomScale="55" zoomScaleNormal="55" workbookViewId="0">
      <selection activeCell="AA2" sqref="U2:AB18"/>
    </sheetView>
  </sheetViews>
  <sheetFormatPr defaultRowHeight="15"/>
  <cols>
    <col min="8" max="8" width="18.7109375" customWidth="1"/>
    <col min="9" max="9" width="16.5703125" customWidth="1"/>
    <col min="10" max="10" width="14.85546875" customWidth="1"/>
    <col min="11" max="11" width="14.42578125" customWidth="1"/>
    <col min="12" max="13" width="16.28515625" customWidth="1"/>
    <col min="14" max="14" width="17.5703125" customWidth="1"/>
    <col min="15" max="15" width="15" customWidth="1"/>
    <col min="21" max="21" width="19.5703125" customWidth="1"/>
    <col min="22" max="22" width="22.140625" customWidth="1"/>
    <col min="24" max="24" width="17.5703125" customWidth="1"/>
    <col min="25" max="25" width="17.42578125" customWidth="1"/>
    <col min="27" max="27" width="19.7109375" customWidth="1"/>
    <col min="28" max="28" width="18.28515625" customWidth="1"/>
  </cols>
  <sheetData>
    <row r="1" spans="10:28" ht="15.75" thickBot="1">
      <c r="J1" s="466" t="s">
        <v>227</v>
      </c>
      <c r="K1" s="467"/>
      <c r="L1" s="466" t="s">
        <v>227</v>
      </c>
      <c r="M1" s="467"/>
      <c r="N1" s="466" t="s">
        <v>227</v>
      </c>
      <c r="O1" s="467"/>
    </row>
    <row r="2" spans="10:28" ht="15.75" thickBot="1">
      <c r="J2" s="406" t="s">
        <v>215</v>
      </c>
      <c r="K2" s="407"/>
      <c r="L2" s="406" t="s">
        <v>215</v>
      </c>
      <c r="M2" s="407"/>
      <c r="N2" s="406" t="s">
        <v>215</v>
      </c>
      <c r="O2" s="407"/>
      <c r="U2" s="710" t="s">
        <v>469</v>
      </c>
      <c r="V2" s="711"/>
      <c r="X2" s="710" t="s">
        <v>466</v>
      </c>
      <c r="Y2" s="711"/>
      <c r="AA2" s="708" t="s">
        <v>463</v>
      </c>
      <c r="AB2" s="709"/>
    </row>
    <row r="3" spans="10:28" ht="15.75" thickBot="1">
      <c r="J3" s="386" t="s">
        <v>218</v>
      </c>
      <c r="K3" s="387">
        <f>10*1.85</f>
        <v>18.5</v>
      </c>
      <c r="L3" s="386" t="s">
        <v>218</v>
      </c>
      <c r="M3" s="387">
        <f>10*1.85</f>
        <v>18.5</v>
      </c>
      <c r="N3" s="386" t="s">
        <v>218</v>
      </c>
      <c r="O3" s="387">
        <f>10*1.85</f>
        <v>18.5</v>
      </c>
      <c r="U3" s="427" t="s">
        <v>215</v>
      </c>
      <c r="V3" s="407">
        <v>1.2</v>
      </c>
      <c r="X3" s="386" t="s">
        <v>233</v>
      </c>
      <c r="Y3" s="387">
        <v>10.8</v>
      </c>
      <c r="AA3" s="423" t="s">
        <v>467</v>
      </c>
      <c r="AB3" s="425">
        <f>(2*632.5+1000)</f>
        <v>2265</v>
      </c>
    </row>
    <row r="4" spans="10:28" ht="15.75" thickBot="1">
      <c r="J4" s="386" t="s">
        <v>216</v>
      </c>
      <c r="K4" s="387">
        <f>K3-10</f>
        <v>8.5</v>
      </c>
      <c r="L4" s="386" t="s">
        <v>216</v>
      </c>
      <c r="M4" s="387">
        <f>M3-10</f>
        <v>8.5</v>
      </c>
      <c r="N4" s="386" t="s">
        <v>216</v>
      </c>
      <c r="O4" s="387">
        <f>O3-10</f>
        <v>8.5</v>
      </c>
      <c r="U4" s="428" t="s">
        <v>218</v>
      </c>
      <c r="V4" s="387">
        <v>18.5</v>
      </c>
      <c r="X4" s="710" t="s">
        <v>229</v>
      </c>
      <c r="Y4" s="711"/>
      <c r="AA4" s="708" t="s">
        <v>462</v>
      </c>
      <c r="AB4" s="709"/>
    </row>
    <row r="5" spans="10:28">
      <c r="J5" s="386" t="s">
        <v>240</v>
      </c>
      <c r="K5" s="387"/>
      <c r="L5" s="386" t="s">
        <v>240</v>
      </c>
      <c r="M5" s="387"/>
      <c r="N5" s="386" t="s">
        <v>240</v>
      </c>
      <c r="O5" s="387"/>
      <c r="U5" s="428" t="s">
        <v>216</v>
      </c>
      <c r="V5" s="387">
        <f>V4</f>
        <v>18.5</v>
      </c>
      <c r="X5" s="413" t="s">
        <v>220</v>
      </c>
      <c r="Y5" s="414">
        <f>(V13/V14)*V15</f>
        <v>14.719880826321862</v>
      </c>
      <c r="AA5" s="406" t="s">
        <v>288</v>
      </c>
      <c r="AB5" s="407">
        <v>0.3</v>
      </c>
    </row>
    <row r="6" spans="10:28">
      <c r="J6" s="386" t="s">
        <v>241</v>
      </c>
      <c r="K6" s="387">
        <f>K5*K3</f>
        <v>0</v>
      </c>
      <c r="L6" s="386" t="s">
        <v>241</v>
      </c>
      <c r="M6" s="387">
        <f>M5*M3</f>
        <v>0</v>
      </c>
      <c r="N6" s="386" t="s">
        <v>241</v>
      </c>
      <c r="O6" s="387">
        <f>O5*O3</f>
        <v>0</v>
      </c>
      <c r="U6" s="428" t="s">
        <v>240</v>
      </c>
      <c r="V6" s="387">
        <v>1.2</v>
      </c>
      <c r="X6" s="413" t="s">
        <v>217</v>
      </c>
      <c r="Y6" s="414">
        <f>2*(Y5+1)*V16</f>
        <v>16.716817799899548</v>
      </c>
      <c r="AA6" s="386" t="s">
        <v>245</v>
      </c>
      <c r="AB6" s="387">
        <f>$V$3</f>
        <v>1.2</v>
      </c>
    </row>
    <row r="7" spans="10:28" ht="15.75" thickBot="1">
      <c r="J7" s="386" t="s">
        <v>219</v>
      </c>
      <c r="K7" s="387">
        <v>0</v>
      </c>
      <c r="L7" s="386" t="s">
        <v>219</v>
      </c>
      <c r="M7" s="387">
        <v>0</v>
      </c>
      <c r="N7" s="386" t="s">
        <v>219</v>
      </c>
      <c r="O7" s="387">
        <v>0</v>
      </c>
      <c r="U7" s="428" t="s">
        <v>241</v>
      </c>
      <c r="V7" s="387">
        <f>V6*V4</f>
        <v>22.2</v>
      </c>
      <c r="X7" s="415" t="s">
        <v>232</v>
      </c>
      <c r="Y7" s="416">
        <f>(Y5-1)*V17</f>
        <v>25.80334297146123</v>
      </c>
      <c r="AA7" s="386" t="s">
        <v>325</v>
      </c>
      <c r="AB7" s="387">
        <f>0.3</f>
        <v>0.3</v>
      </c>
    </row>
    <row r="8" spans="10:28" ht="15.75" thickBot="1">
      <c r="J8" s="408" t="s">
        <v>221</v>
      </c>
      <c r="K8" s="387">
        <v>28</v>
      </c>
      <c r="L8" s="408" t="s">
        <v>221</v>
      </c>
      <c r="M8" s="387">
        <v>28</v>
      </c>
      <c r="N8" s="408" t="s">
        <v>221</v>
      </c>
      <c r="O8" s="387">
        <v>28</v>
      </c>
      <c r="U8" s="428" t="s">
        <v>219</v>
      </c>
      <c r="V8" s="387">
        <v>0</v>
      </c>
      <c r="X8" s="710" t="s">
        <v>230</v>
      </c>
      <c r="Y8" s="711"/>
      <c r="AA8" s="386" t="s">
        <v>326</v>
      </c>
      <c r="AB8" s="387">
        <f>$V$6-AB7</f>
        <v>0.89999999999999991</v>
      </c>
    </row>
    <row r="9" spans="10:28" ht="15.75" thickBot="1">
      <c r="J9" s="409" t="s">
        <v>222</v>
      </c>
      <c r="K9" s="388">
        <f>RADIANS(K8)</f>
        <v>0.48869219055841229</v>
      </c>
      <c r="L9" s="409" t="s">
        <v>222</v>
      </c>
      <c r="M9" s="388">
        <f>RADIANS(M8)</f>
        <v>0.48869219055841229</v>
      </c>
      <c r="N9" s="409" t="s">
        <v>222</v>
      </c>
      <c r="O9" s="388">
        <f>RADIANS(O8)</f>
        <v>0.48869219055841229</v>
      </c>
      <c r="U9" s="429" t="s">
        <v>221</v>
      </c>
      <c r="V9" s="387">
        <v>28</v>
      </c>
      <c r="X9" s="714" t="s">
        <v>231</v>
      </c>
      <c r="Y9" s="715"/>
      <c r="AA9" s="386" t="s">
        <v>327</v>
      </c>
      <c r="AB9" s="387">
        <f>AB8+AB7</f>
        <v>1.2</v>
      </c>
    </row>
    <row r="10" spans="10:28" ht="15.75" thickBot="1">
      <c r="U10" s="430" t="s">
        <v>222</v>
      </c>
      <c r="V10" s="388">
        <f>RADIANS(V9)</f>
        <v>0.48869219055841229</v>
      </c>
      <c r="X10" s="413" t="s">
        <v>234</v>
      </c>
      <c r="Y10" s="414">
        <f>1+0.2*(V13/V14)*($V$3/Y3)</f>
        <v>1.0615516932305091</v>
      </c>
      <c r="AA10" s="420" t="s">
        <v>328</v>
      </c>
      <c r="AB10" s="387">
        <f>AB7*AB6</f>
        <v>0.36</v>
      </c>
    </row>
    <row r="11" spans="10:28">
      <c r="X11" s="413" t="s">
        <v>235</v>
      </c>
      <c r="Y11" s="414">
        <f>1+0.1*(V13/V14)*($V$3/Y3)</f>
        <v>1.0307758466152546</v>
      </c>
      <c r="AA11" s="420" t="s">
        <v>329</v>
      </c>
      <c r="AB11" s="387">
        <f>AB5*AB8</f>
        <v>0.26999999999999996</v>
      </c>
    </row>
    <row r="12" spans="10:28" ht="15.75" thickBot="1">
      <c r="X12" s="413" t="s">
        <v>236</v>
      </c>
      <c r="Y12" s="414">
        <f>Y11</f>
        <v>1.0307758466152546</v>
      </c>
      <c r="AA12" s="420" t="s">
        <v>330</v>
      </c>
      <c r="AB12" s="387">
        <f>AB10+AB11</f>
        <v>0.62999999999999989</v>
      </c>
    </row>
    <row r="13" spans="10:28">
      <c r="U13" s="410" t="s">
        <v>223</v>
      </c>
      <c r="V13" s="411">
        <f>1+SIN(V10)</f>
        <v>1.4694715627858908</v>
      </c>
      <c r="X13" s="712" t="s">
        <v>237</v>
      </c>
      <c r="Y13" s="713"/>
      <c r="AA13" s="420" t="s">
        <v>337</v>
      </c>
      <c r="AB13" s="412">
        <f>(AB12*25*1.3*Y3)/($V$3*Y3)</f>
        <v>17.062499999999996</v>
      </c>
    </row>
    <row r="14" spans="10:28" ht="15.75" thickBot="1">
      <c r="U14" s="408" t="s">
        <v>224</v>
      </c>
      <c r="V14" s="412">
        <f>1-SIN(V10)</f>
        <v>0.53052843721410925</v>
      </c>
      <c r="X14" s="413" t="s">
        <v>242</v>
      </c>
      <c r="Y14" s="414">
        <f>1+2*V16*V14^2*ATAN(RADIANS($V$6/$V$3))</f>
        <v>1.0052234202790249</v>
      </c>
      <c r="AA14" s="421" t="s">
        <v>279</v>
      </c>
      <c r="AB14" s="388">
        <f>AB3/($V$3*Y3)</f>
        <v>174.7685185185185</v>
      </c>
    </row>
    <row r="15" spans="10:28" ht="18" thickBot="1">
      <c r="U15" s="408" t="s">
        <v>225</v>
      </c>
      <c r="V15" s="412">
        <f>EXP(PI()*TAN(V10))</f>
        <v>5.3143698514050959</v>
      </c>
      <c r="X15" s="413" t="s">
        <v>238</v>
      </c>
      <c r="Y15" s="414">
        <f>Y14-((1-Y14)/(Y7*V16))</f>
        <v>1.0056041393497768</v>
      </c>
      <c r="AA15" s="708" t="s">
        <v>468</v>
      </c>
      <c r="AB15" s="709"/>
    </row>
    <row r="16" spans="10:28" ht="15.75" thickBot="1">
      <c r="J16" s="710" t="s">
        <v>464</v>
      </c>
      <c r="K16" s="711"/>
      <c r="L16" s="710" t="s">
        <v>465</v>
      </c>
      <c r="M16" s="711"/>
      <c r="N16" s="710" t="s">
        <v>466</v>
      </c>
      <c r="O16" s="711"/>
      <c r="U16" s="408" t="s">
        <v>226</v>
      </c>
      <c r="V16" s="412">
        <f>TAN(V10)</f>
        <v>0.53170943166147877</v>
      </c>
      <c r="X16" s="413" t="s">
        <v>239</v>
      </c>
      <c r="Y16" s="418">
        <f>1</f>
        <v>1</v>
      </c>
      <c r="AA16" s="406" t="s">
        <v>272</v>
      </c>
      <c r="AB16" s="411">
        <f>AB13+AB14</f>
        <v>191.8310185185185</v>
      </c>
    </row>
    <row r="17" spans="10:28" ht="15.75" thickBot="1">
      <c r="J17" s="386" t="s">
        <v>233</v>
      </c>
      <c r="K17" s="387">
        <v>17.899999999999999</v>
      </c>
      <c r="L17" s="386" t="s">
        <v>233</v>
      </c>
      <c r="M17" s="387">
        <v>10.8</v>
      </c>
      <c r="N17" s="386" t="s">
        <v>233</v>
      </c>
      <c r="O17" s="387">
        <v>10.8</v>
      </c>
      <c r="U17" s="409" t="s">
        <v>228</v>
      </c>
      <c r="V17" s="388">
        <f>_xlfn.COT(V10)</f>
        <v>1.880726465346332</v>
      </c>
      <c r="X17" s="579" t="s">
        <v>244</v>
      </c>
      <c r="Y17" s="580"/>
      <c r="AA17" s="417" t="s">
        <v>273</v>
      </c>
      <c r="AB17" s="414">
        <f>Y18/2.3</f>
        <v>230.37613772079055</v>
      </c>
    </row>
    <row r="18" spans="10:28" ht="15.75" thickBot="1">
      <c r="J18" s="710" t="s">
        <v>229</v>
      </c>
      <c r="K18" s="711"/>
      <c r="L18" s="710" t="s">
        <v>229</v>
      </c>
      <c r="M18" s="711"/>
      <c r="N18" s="710" t="s">
        <v>229</v>
      </c>
      <c r="O18" s="711"/>
      <c r="X18" s="426" t="s">
        <v>243</v>
      </c>
      <c r="Y18" s="256">
        <f>0.5*$V$3*Y6*($V$5+($V$4-$V$5)*(1.8-$V$6)/$V$3)*Y12*Y16+$V$7*Y5*Y11*Y14</f>
        <v>529.86511675781821</v>
      </c>
      <c r="AA18" s="421" t="s">
        <v>301</v>
      </c>
      <c r="AB18" s="581" t="str">
        <f>IF(AB16&lt;AB17,"verifica","non_verica")</f>
        <v>verifica</v>
      </c>
    </row>
    <row r="19" spans="10:28">
      <c r="J19" s="413" t="s">
        <v>220</v>
      </c>
      <c r="K19" s="414">
        <f>(K35/K36)*K37</f>
        <v>14.719880826321862</v>
      </c>
      <c r="L19" s="413" t="s">
        <v>220</v>
      </c>
      <c r="M19" s="414">
        <f>(M35/M36)*M37</f>
        <v>14.719880826321862</v>
      </c>
      <c r="N19" s="413" t="s">
        <v>220</v>
      </c>
      <c r="O19" s="414">
        <f>(O35/O36)*O37</f>
        <v>14.719880826321862</v>
      </c>
    </row>
    <row r="20" spans="10:28">
      <c r="J20" s="413" t="s">
        <v>217</v>
      </c>
      <c r="K20" s="414">
        <f>2*(K19+1)*K38</f>
        <v>16.716817799899548</v>
      </c>
      <c r="L20" s="413" t="s">
        <v>217</v>
      </c>
      <c r="M20" s="414">
        <f>2*(M19+1)*M38</f>
        <v>16.716817799899548</v>
      </c>
      <c r="N20" s="413" t="s">
        <v>217</v>
      </c>
      <c r="O20" s="414">
        <f>2*(O19+1)*O38</f>
        <v>16.716817799899548</v>
      </c>
    </row>
    <row r="21" spans="10:28" ht="15.75" thickBot="1">
      <c r="J21" s="415" t="s">
        <v>232</v>
      </c>
      <c r="K21" s="416">
        <f>(K19-1)*K39</f>
        <v>25.80334297146123</v>
      </c>
      <c r="L21" s="415" t="s">
        <v>232</v>
      </c>
      <c r="M21" s="416">
        <f>(M19-1)*M39</f>
        <v>25.80334297146123</v>
      </c>
      <c r="N21" s="415" t="s">
        <v>232</v>
      </c>
      <c r="O21" s="416">
        <f>(O19-1)*O39</f>
        <v>25.80334297146123</v>
      </c>
    </row>
    <row r="22" spans="10:28" ht="15.75" thickBot="1">
      <c r="J22" s="710" t="s">
        <v>230</v>
      </c>
      <c r="K22" s="711"/>
      <c r="L22" s="710" t="s">
        <v>230</v>
      </c>
      <c r="M22" s="711"/>
      <c r="N22" s="710" t="s">
        <v>230</v>
      </c>
      <c r="O22" s="711"/>
    </row>
    <row r="23" spans="10:28">
      <c r="J23" s="714" t="s">
        <v>231</v>
      </c>
      <c r="K23" s="715"/>
      <c r="L23" s="714" t="s">
        <v>231</v>
      </c>
      <c r="M23" s="715"/>
      <c r="N23" s="714" t="s">
        <v>231</v>
      </c>
      <c r="O23" s="715"/>
    </row>
    <row r="24" spans="10:28">
      <c r="J24" s="413" t="s">
        <v>234</v>
      </c>
      <c r="K24" s="414">
        <f>1+0.2*(K35/K36)*($V$3/K17)</f>
        <v>1.0371373344631005</v>
      </c>
      <c r="L24" s="413" t="s">
        <v>234</v>
      </c>
      <c r="M24" s="414">
        <f>1+0.2*(M35/M36)*($V$3/M17)</f>
        <v>1.0615516932305091</v>
      </c>
      <c r="N24" s="413" t="s">
        <v>234</v>
      </c>
      <c r="O24" s="414">
        <f>1+0.2*(O35/O36)*($V$3/O17)</f>
        <v>1.0615516932305091</v>
      </c>
    </row>
    <row r="25" spans="10:28">
      <c r="J25" s="413" t="s">
        <v>235</v>
      </c>
      <c r="K25" s="414">
        <f>1+0.1*(K35/K36)*($V$3/K17)</f>
        <v>1.0185686672315502</v>
      </c>
      <c r="L25" s="413" t="s">
        <v>235</v>
      </c>
      <c r="M25" s="414">
        <f>1+0.1*(M35/M36)*($V$3/M17)</f>
        <v>1.0307758466152546</v>
      </c>
      <c r="N25" s="413" t="s">
        <v>235</v>
      </c>
      <c r="O25" s="414">
        <f>1+0.1*(O35/O36)*($V$3/O17)</f>
        <v>1.0307758466152546</v>
      </c>
    </row>
    <row r="26" spans="10:28">
      <c r="J26" s="413" t="s">
        <v>236</v>
      </c>
      <c r="K26" s="414">
        <f>K25</f>
        <v>1.0185686672315502</v>
      </c>
      <c r="L26" s="413" t="s">
        <v>236</v>
      </c>
      <c r="M26" s="414">
        <f t="shared" ref="M26" si="0">M25</f>
        <v>1.0307758466152546</v>
      </c>
      <c r="N26" s="413" t="s">
        <v>236</v>
      </c>
      <c r="O26" s="414">
        <f t="shared" ref="O26" si="1">O25</f>
        <v>1.0307758466152546</v>
      </c>
    </row>
    <row r="27" spans="10:28">
      <c r="J27" s="712" t="s">
        <v>237</v>
      </c>
      <c r="K27" s="713"/>
      <c r="L27" s="712" t="s">
        <v>237</v>
      </c>
      <c r="M27" s="713"/>
      <c r="N27" s="712" t="s">
        <v>237</v>
      </c>
      <c r="O27" s="713"/>
    </row>
    <row r="28" spans="10:28">
      <c r="J28" s="413" t="s">
        <v>242</v>
      </c>
      <c r="K28" s="414">
        <f>1+2*K38*K36^2*ATAN(RADIANS($V$6/$V$3))</f>
        <v>1.0052234202790249</v>
      </c>
      <c r="L28" s="413" t="s">
        <v>242</v>
      </c>
      <c r="M28" s="414">
        <f>1+2*M38*M36^2*ATAN(RADIANS($V$6/$V$3))</f>
        <v>1.0052234202790249</v>
      </c>
      <c r="N28" s="413" t="s">
        <v>242</v>
      </c>
      <c r="O28" s="414">
        <f>1+2*O38*O36^2*ATAN(RADIANS($V$6/$V$3))</f>
        <v>1.0052234202790249</v>
      </c>
    </row>
    <row r="29" spans="10:28">
      <c r="J29" s="413" t="s">
        <v>238</v>
      </c>
      <c r="K29" s="414">
        <f>K28-((1-K28)/(K21*K38))</f>
        <v>1.0056041393497768</v>
      </c>
      <c r="L29" s="413" t="s">
        <v>238</v>
      </c>
      <c r="M29" s="414">
        <f>M28-((1-M28)/(M21*M38))</f>
        <v>1.0056041393497768</v>
      </c>
      <c r="N29" s="413" t="s">
        <v>238</v>
      </c>
      <c r="O29" s="414">
        <f>O28-((1-O28)/(O21*O38))</f>
        <v>1.0056041393497768</v>
      </c>
    </row>
    <row r="30" spans="10:28" ht="15.75" thickBot="1">
      <c r="J30" s="413" t="s">
        <v>239</v>
      </c>
      <c r="K30" s="418">
        <f>1</f>
        <v>1</v>
      </c>
      <c r="L30" s="413" t="s">
        <v>239</v>
      </c>
      <c r="M30" s="418">
        <f>1</f>
        <v>1</v>
      </c>
      <c r="N30" s="413" t="s">
        <v>239</v>
      </c>
      <c r="O30" s="418">
        <f>1</f>
        <v>1</v>
      </c>
    </row>
    <row r="31" spans="10:28" ht="15.75" thickBot="1">
      <c r="J31" s="708" t="s">
        <v>244</v>
      </c>
      <c r="K31" s="709"/>
      <c r="L31" s="708" t="s">
        <v>244</v>
      </c>
      <c r="M31" s="709"/>
      <c r="N31" s="708" t="s">
        <v>244</v>
      </c>
      <c r="O31" s="709"/>
    </row>
    <row r="32" spans="10:28" ht="15.75" thickBot="1">
      <c r="J32" s="426" t="s">
        <v>243</v>
      </c>
      <c r="K32" s="256">
        <f>0.5*$V$3*K20*($V$5+($V$4-$V$5)*(1.8-$V$6)/$V$3)*K26*K30+$V$7*K19*K25*K28</f>
        <v>523.59007786292227</v>
      </c>
      <c r="L32" s="426" t="s">
        <v>243</v>
      </c>
      <c r="M32" s="256">
        <f>0.5*$V$3*M20*($V$5+($V$4-$V$5)*(1.8-$V$6)/$V$3)*M26*M30+$V$7*M19*M25*M28</f>
        <v>529.86511675781821</v>
      </c>
      <c r="N32" s="426" t="s">
        <v>243</v>
      </c>
      <c r="O32" s="256">
        <f>0.5*$V$3*O20*($V$5+($V$4-$V$5)*(1.8-$V$6)/$V$3)*O26*O30+$V$7*O19*O25*O28</f>
        <v>529.86511675781821</v>
      </c>
    </row>
    <row r="34" spans="10:25" ht="15.75" thickBot="1"/>
    <row r="35" spans="10:25">
      <c r="J35" s="410" t="s">
        <v>223</v>
      </c>
      <c r="K35" s="411">
        <f>1+SIN(K9)</f>
        <v>1.4694715627858908</v>
      </c>
      <c r="L35" s="410" t="s">
        <v>223</v>
      </c>
      <c r="M35" s="411">
        <f>1+SIN(M9)</f>
        <v>1.4694715627858908</v>
      </c>
      <c r="N35" s="410" t="s">
        <v>223</v>
      </c>
      <c r="O35" s="411">
        <f>1+SIN(O9)</f>
        <v>1.4694715627858908</v>
      </c>
    </row>
    <row r="36" spans="10:25">
      <c r="J36" s="408" t="s">
        <v>224</v>
      </c>
      <c r="K36" s="412">
        <f>1-SIN(K9)</f>
        <v>0.53052843721410925</v>
      </c>
      <c r="L36" s="408" t="s">
        <v>224</v>
      </c>
      <c r="M36" s="412">
        <f>1-SIN(M9)</f>
        <v>0.53052843721410925</v>
      </c>
      <c r="N36" s="408" t="s">
        <v>224</v>
      </c>
      <c r="O36" s="412">
        <f>1-SIN(O9)</f>
        <v>0.53052843721410925</v>
      </c>
    </row>
    <row r="37" spans="10:25" ht="17.25">
      <c r="J37" s="408" t="s">
        <v>225</v>
      </c>
      <c r="K37" s="412">
        <f>EXP(PI()*TAN(K9))</f>
        <v>5.3143698514050959</v>
      </c>
      <c r="L37" s="408" t="s">
        <v>225</v>
      </c>
      <c r="M37" s="412">
        <f>EXP(PI()*TAN(M9))</f>
        <v>5.3143698514050959</v>
      </c>
      <c r="N37" s="408" t="s">
        <v>225</v>
      </c>
      <c r="O37" s="412">
        <f>EXP(PI()*TAN(O9))</f>
        <v>5.3143698514050959</v>
      </c>
      <c r="P37" s="184"/>
    </row>
    <row r="38" spans="10:25">
      <c r="J38" s="408" t="s">
        <v>226</v>
      </c>
      <c r="K38" s="412">
        <f>TAN(K9)</f>
        <v>0.53170943166147877</v>
      </c>
      <c r="L38" s="408" t="s">
        <v>226</v>
      </c>
      <c r="M38" s="412">
        <f>TAN(M9)</f>
        <v>0.53170943166147877</v>
      </c>
      <c r="N38" s="408" t="s">
        <v>226</v>
      </c>
      <c r="O38" s="412">
        <f>TAN(O9)</f>
        <v>0.53170943166147877</v>
      </c>
      <c r="P38" s="184"/>
      <c r="Q38" s="9"/>
      <c r="R38" s="9"/>
      <c r="S38" s="9"/>
      <c r="T38" s="9"/>
      <c r="W38" s="9"/>
      <c r="X38" s="9"/>
      <c r="Y38" s="9"/>
    </row>
    <row r="39" spans="10:25" ht="15.75" thickBot="1">
      <c r="J39" s="409" t="s">
        <v>228</v>
      </c>
      <c r="K39" s="388">
        <f>_xlfn.COT(K9)</f>
        <v>1.880726465346332</v>
      </c>
      <c r="L39" s="409" t="s">
        <v>228</v>
      </c>
      <c r="M39" s="388">
        <f>_xlfn.COT(M9)</f>
        <v>1.880726465346332</v>
      </c>
      <c r="N39" s="409" t="s">
        <v>228</v>
      </c>
      <c r="O39" s="388">
        <f>_xlfn.COT(O9)</f>
        <v>1.880726465346332</v>
      </c>
      <c r="P39" s="184"/>
      <c r="Q39" s="470"/>
      <c r="R39" s="470"/>
      <c r="S39" s="470"/>
      <c r="T39" s="470"/>
      <c r="W39" s="470"/>
      <c r="X39" s="470"/>
      <c r="Y39" s="9"/>
    </row>
    <row r="40" spans="10:25">
      <c r="P40" s="184"/>
      <c r="Q40" s="468"/>
      <c r="R40" s="468"/>
      <c r="S40" s="468"/>
      <c r="T40" s="468"/>
      <c r="W40" s="468"/>
      <c r="X40" s="468"/>
      <c r="Y40" s="9"/>
    </row>
    <row r="41" spans="10:25">
      <c r="P41" s="184"/>
      <c r="Q41" s="468"/>
      <c r="R41" s="468"/>
      <c r="S41" s="468"/>
      <c r="T41" s="468"/>
      <c r="W41" s="468"/>
      <c r="X41" s="468"/>
      <c r="Y41" s="9"/>
    </row>
    <row r="42" spans="10:25" ht="15.75" thickBot="1">
      <c r="P42" s="184"/>
      <c r="Q42" s="468"/>
      <c r="R42" s="468"/>
      <c r="S42" s="468"/>
      <c r="T42" s="468"/>
      <c r="W42" s="468"/>
      <c r="X42" s="468"/>
      <c r="Y42" s="9"/>
    </row>
    <row r="43" spans="10:25" ht="15.75" thickBot="1">
      <c r="J43" s="708" t="s">
        <v>463</v>
      </c>
      <c r="K43" s="709"/>
      <c r="L43" s="708" t="s">
        <v>463</v>
      </c>
      <c r="M43" s="709"/>
      <c r="N43" s="708" t="s">
        <v>463</v>
      </c>
      <c r="O43" s="709"/>
      <c r="P43" s="184"/>
      <c r="Q43" s="468"/>
      <c r="R43" s="468"/>
      <c r="S43" s="468"/>
      <c r="T43" s="468"/>
      <c r="W43" s="468"/>
      <c r="X43" s="468"/>
      <c r="Y43" s="9"/>
    </row>
    <row r="44" spans="10:25" ht="15.75" thickBot="1">
      <c r="J44" s="424" t="s">
        <v>467</v>
      </c>
      <c r="K44" s="424">
        <f>2*(581+1000)</f>
        <v>3162</v>
      </c>
      <c r="L44" s="424" t="s">
        <v>467</v>
      </c>
      <c r="M44" s="424">
        <f>2*349.5+581</f>
        <v>1280</v>
      </c>
      <c r="N44" s="424" t="s">
        <v>467</v>
      </c>
      <c r="O44" s="425">
        <f>(2*632.5+1000)</f>
        <v>2265</v>
      </c>
      <c r="P44" s="184"/>
      <c r="Q44" s="468"/>
      <c r="R44" s="471"/>
      <c r="S44" s="468"/>
      <c r="T44" s="471"/>
      <c r="W44" s="468"/>
      <c r="X44" s="471"/>
      <c r="Y44" s="9"/>
    </row>
    <row r="45" spans="10:25" ht="15.75" thickBot="1">
      <c r="J45" s="708" t="s">
        <v>462</v>
      </c>
      <c r="K45" s="709"/>
      <c r="L45" s="708" t="s">
        <v>462</v>
      </c>
      <c r="M45" s="709"/>
      <c r="N45" s="708" t="s">
        <v>462</v>
      </c>
      <c r="O45" s="709"/>
      <c r="P45" s="184"/>
      <c r="Q45" s="118"/>
      <c r="R45" s="468"/>
      <c r="S45" s="118"/>
      <c r="T45" s="468"/>
      <c r="W45" s="118"/>
      <c r="X45" s="468"/>
      <c r="Y45" s="9"/>
    </row>
    <row r="46" spans="10:25">
      <c r="J46" s="406" t="s">
        <v>288</v>
      </c>
      <c r="K46" s="407">
        <f t="shared" ref="K46" si="2">0.3</f>
        <v>0.3</v>
      </c>
      <c r="L46" s="406" t="s">
        <v>288</v>
      </c>
      <c r="M46" s="407">
        <f t="shared" ref="M46" si="3">0.3</f>
        <v>0.3</v>
      </c>
      <c r="N46" s="406" t="s">
        <v>288</v>
      </c>
      <c r="O46" s="407">
        <f t="shared" ref="O46" si="4">0.3</f>
        <v>0.3</v>
      </c>
      <c r="P46" s="184"/>
      <c r="Q46" s="118"/>
      <c r="R46" s="471"/>
      <c r="S46" s="118"/>
      <c r="T46" s="471"/>
      <c r="W46" s="118"/>
      <c r="X46" s="471"/>
      <c r="Y46" s="9"/>
    </row>
    <row r="47" spans="10:25">
      <c r="J47" s="386" t="s">
        <v>245</v>
      </c>
      <c r="K47" s="387">
        <f>$V$3</f>
        <v>1.2</v>
      </c>
      <c r="L47" s="386" t="s">
        <v>245</v>
      </c>
      <c r="M47" s="387">
        <f>$V$3</f>
        <v>1.2</v>
      </c>
      <c r="N47" s="386" t="s">
        <v>245</v>
      </c>
      <c r="O47" s="387">
        <f>$V$3</f>
        <v>1.2</v>
      </c>
      <c r="P47" s="184"/>
      <c r="Q47" s="468"/>
      <c r="R47" s="208"/>
      <c r="S47" s="468"/>
      <c r="T47" s="208"/>
      <c r="W47" s="468"/>
      <c r="X47" s="208"/>
      <c r="Y47" s="9"/>
    </row>
    <row r="48" spans="10:25">
      <c r="J48" s="386" t="s">
        <v>325</v>
      </c>
      <c r="K48" s="387">
        <f t="shared" ref="K48" si="5">0.3</f>
        <v>0.3</v>
      </c>
      <c r="L48" s="386" t="s">
        <v>325</v>
      </c>
      <c r="M48" s="387">
        <f t="shared" ref="M48" si="6">0.3</f>
        <v>0.3</v>
      </c>
      <c r="N48" s="386" t="s">
        <v>325</v>
      </c>
      <c r="O48" s="387">
        <f t="shared" ref="O48" si="7">0.3</f>
        <v>0.3</v>
      </c>
      <c r="P48" s="184"/>
      <c r="Q48" s="468"/>
      <c r="R48" s="208"/>
      <c r="S48" s="468"/>
      <c r="T48" s="208"/>
      <c r="W48" s="468"/>
      <c r="X48" s="208"/>
      <c r="Y48" s="9"/>
    </row>
    <row r="49" spans="10:25">
      <c r="J49" s="386" t="s">
        <v>326</v>
      </c>
      <c r="K49" s="387">
        <f>$V$6-K48</f>
        <v>0.89999999999999991</v>
      </c>
      <c r="L49" s="386" t="s">
        <v>326</v>
      </c>
      <c r="M49" s="387">
        <f>$V$6-M48</f>
        <v>0.89999999999999991</v>
      </c>
      <c r="N49" s="386" t="s">
        <v>326</v>
      </c>
      <c r="O49" s="387">
        <f>$V$6-O48</f>
        <v>0.89999999999999991</v>
      </c>
      <c r="P49" s="184"/>
      <c r="Q49" s="468"/>
      <c r="R49" s="208"/>
      <c r="S49" s="468"/>
      <c r="T49" s="208"/>
      <c r="W49" s="468"/>
      <c r="X49" s="208"/>
      <c r="Y49" s="9"/>
    </row>
    <row r="50" spans="10:25">
      <c r="J50" s="386" t="s">
        <v>327</v>
      </c>
      <c r="K50" s="387">
        <f>K49+K48</f>
        <v>1.2</v>
      </c>
      <c r="L50" s="386" t="s">
        <v>327</v>
      </c>
      <c r="M50" s="387">
        <f t="shared" ref="M50" si="8">M49+M48</f>
        <v>1.2</v>
      </c>
      <c r="N50" s="386" t="s">
        <v>327</v>
      </c>
      <c r="O50" s="387">
        <f t="shared" ref="O50" si="9">O49+O48</f>
        <v>1.2</v>
      </c>
      <c r="P50" s="184"/>
      <c r="Q50" s="9"/>
      <c r="R50" s="9"/>
      <c r="S50" s="9"/>
      <c r="T50" s="9"/>
      <c r="W50" s="9"/>
      <c r="X50" s="9"/>
      <c r="Y50" s="9"/>
    </row>
    <row r="51" spans="10:25">
      <c r="J51" s="420" t="s">
        <v>328</v>
      </c>
      <c r="K51" s="387">
        <f>K48*K47</f>
        <v>0.36</v>
      </c>
      <c r="L51" s="420" t="s">
        <v>328</v>
      </c>
      <c r="M51" s="387">
        <f t="shared" ref="M51" si="10">M48*M47</f>
        <v>0.36</v>
      </c>
      <c r="N51" s="420" t="s">
        <v>328</v>
      </c>
      <c r="O51" s="387">
        <f t="shared" ref="O51" si="11">O48*O47</f>
        <v>0.36</v>
      </c>
      <c r="P51" s="184"/>
      <c r="Q51" s="9"/>
      <c r="R51" s="9"/>
      <c r="S51" s="9"/>
      <c r="T51" s="9"/>
      <c r="W51" s="9"/>
      <c r="X51" s="9"/>
      <c r="Y51" s="9"/>
    </row>
    <row r="52" spans="10:25">
      <c r="J52" s="420" t="s">
        <v>329</v>
      </c>
      <c r="K52" s="387">
        <f>K46*K49</f>
        <v>0.26999999999999996</v>
      </c>
      <c r="L52" s="420" t="s">
        <v>329</v>
      </c>
      <c r="M52" s="387">
        <f t="shared" ref="M52" si="12">M46*M49</f>
        <v>0.26999999999999996</v>
      </c>
      <c r="N52" s="420" t="s">
        <v>329</v>
      </c>
      <c r="O52" s="387">
        <f t="shared" ref="O52" si="13">O46*O49</f>
        <v>0.26999999999999996</v>
      </c>
      <c r="Q52" s="9"/>
      <c r="R52" s="9"/>
      <c r="S52" s="9"/>
      <c r="T52" s="9"/>
      <c r="W52" s="9"/>
      <c r="X52" s="9"/>
      <c r="Y52" s="9"/>
    </row>
    <row r="53" spans="10:25">
      <c r="J53" s="420" t="s">
        <v>330</v>
      </c>
      <c r="K53" s="387">
        <f>K51+K52</f>
        <v>0.62999999999999989</v>
      </c>
      <c r="L53" s="420" t="s">
        <v>330</v>
      </c>
      <c r="M53" s="387">
        <f t="shared" ref="M53" si="14">M51+M52</f>
        <v>0.62999999999999989</v>
      </c>
      <c r="N53" s="420" t="s">
        <v>330</v>
      </c>
      <c r="O53" s="387">
        <f t="shared" ref="O53" si="15">O51+O52</f>
        <v>0.62999999999999989</v>
      </c>
    </row>
    <row r="54" spans="10:25">
      <c r="J54" s="420" t="s">
        <v>337</v>
      </c>
      <c r="K54" s="412">
        <f>(K53*25*1.3*K17)/($V$3*K17)</f>
        <v>17.062499999999996</v>
      </c>
      <c r="L54" s="420" t="s">
        <v>337</v>
      </c>
      <c r="M54" s="412">
        <f>(M53*25*1.3*M17)/($V$3*M17)</f>
        <v>17.062499999999996</v>
      </c>
      <c r="N54" s="420" t="s">
        <v>337</v>
      </c>
      <c r="O54" s="412">
        <f>(O53*25*1.3*O17)/($V$3*O17)</f>
        <v>17.062499999999996</v>
      </c>
    </row>
    <row r="55" spans="10:25" ht="15.75" thickBot="1">
      <c r="J55" s="421" t="s">
        <v>279</v>
      </c>
      <c r="K55" s="388">
        <f>K44/($V$3*K17)</f>
        <v>147.20670391061455</v>
      </c>
      <c r="L55" s="421" t="s">
        <v>279</v>
      </c>
      <c r="M55" s="388">
        <f>M44/($V$3*M17)</f>
        <v>98.76543209876543</v>
      </c>
      <c r="N55" s="421" t="s">
        <v>279</v>
      </c>
      <c r="O55" s="388">
        <f>O44/($V$3*O17)</f>
        <v>174.7685185185185</v>
      </c>
    </row>
    <row r="56" spans="10:25" ht="15.75" thickBot="1">
      <c r="J56" s="708" t="s">
        <v>468</v>
      </c>
      <c r="K56" s="709"/>
      <c r="L56" s="708" t="s">
        <v>468</v>
      </c>
      <c r="M56" s="709"/>
      <c r="N56" s="708" t="s">
        <v>468</v>
      </c>
      <c r="O56" s="709"/>
    </row>
    <row r="57" spans="10:25">
      <c r="J57" s="406" t="s">
        <v>272</v>
      </c>
      <c r="K57" s="411">
        <f>K54+K55</f>
        <v>164.26920391061455</v>
      </c>
      <c r="L57" s="406" t="s">
        <v>272</v>
      </c>
      <c r="M57" s="411">
        <f>M54+M55</f>
        <v>115.82793209876543</v>
      </c>
      <c r="N57" s="406" t="s">
        <v>272</v>
      </c>
      <c r="O57" s="411">
        <f>O54+O55</f>
        <v>191.8310185185185</v>
      </c>
    </row>
    <row r="58" spans="10:25">
      <c r="J58" s="417" t="s">
        <v>273</v>
      </c>
      <c r="K58" s="414">
        <f>K32/2.3</f>
        <v>227.64785994040099</v>
      </c>
      <c r="L58" s="417" t="s">
        <v>273</v>
      </c>
      <c r="M58" s="414">
        <f>M32/2.3</f>
        <v>230.37613772079055</v>
      </c>
      <c r="N58" s="417" t="s">
        <v>273</v>
      </c>
      <c r="O58" s="414">
        <f>O32/2.3</f>
        <v>230.37613772079055</v>
      </c>
    </row>
    <row r="59" spans="10:25" ht="15.75" thickBot="1">
      <c r="J59" s="421" t="s">
        <v>301</v>
      </c>
      <c r="K59" s="422" t="str">
        <f>IF(K57&lt;K58,"verifica","non_verica")</f>
        <v>verifica</v>
      </c>
      <c r="L59" s="421" t="s">
        <v>301</v>
      </c>
      <c r="M59" s="422" t="str">
        <f>IF(M57&lt;M58,"verifica","non_verica")</f>
        <v>verifica</v>
      </c>
      <c r="N59" s="421" t="s">
        <v>301</v>
      </c>
      <c r="O59" s="422" t="str">
        <f>IF(O57&lt;O58,"verifica","non_verica")</f>
        <v>verifica</v>
      </c>
    </row>
  </sheetData>
  <mergeCells count="36">
    <mergeCell ref="AA2:AB2"/>
    <mergeCell ref="AA4:AB4"/>
    <mergeCell ref="X2:Y2"/>
    <mergeCell ref="AA15:AB15"/>
    <mergeCell ref="U2:V2"/>
    <mergeCell ref="X4:Y4"/>
    <mergeCell ref="X8:Y8"/>
    <mergeCell ref="X9:Y9"/>
    <mergeCell ref="X13:Y13"/>
    <mergeCell ref="N16:O16"/>
    <mergeCell ref="L16:M16"/>
    <mergeCell ref="J16:K16"/>
    <mergeCell ref="J43:K43"/>
    <mergeCell ref="J31:K31"/>
    <mergeCell ref="L31:M31"/>
    <mergeCell ref="N31:O31"/>
    <mergeCell ref="J18:K18"/>
    <mergeCell ref="L18:M18"/>
    <mergeCell ref="L22:M22"/>
    <mergeCell ref="J22:K22"/>
    <mergeCell ref="N56:O56"/>
    <mergeCell ref="L56:M56"/>
    <mergeCell ref="J56:K56"/>
    <mergeCell ref="N18:O18"/>
    <mergeCell ref="N27:O27"/>
    <mergeCell ref="L27:M27"/>
    <mergeCell ref="J27:K27"/>
    <mergeCell ref="J23:K23"/>
    <mergeCell ref="L23:M23"/>
    <mergeCell ref="N23:O23"/>
    <mergeCell ref="N22:O22"/>
    <mergeCell ref="J45:K45"/>
    <mergeCell ref="L45:M45"/>
    <mergeCell ref="N45:O45"/>
    <mergeCell ref="N43:O43"/>
    <mergeCell ref="L43:M43"/>
  </mergeCells>
  <pageMargins left="0.25" right="0.25" top="0.75" bottom="0.75" header="0.3" footer="0.3"/>
  <pageSetup paperSize="9" scale="3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3454-B1FF-4F3F-9BDE-7178D38338E7}">
  <sheetPr>
    <pageSetUpPr fitToPage="1"/>
  </sheetPr>
  <dimension ref="C1:N77"/>
  <sheetViews>
    <sheetView topLeftCell="B25" zoomScale="85" zoomScaleNormal="85" workbookViewId="0">
      <selection activeCell="J36" sqref="J36"/>
    </sheetView>
  </sheetViews>
  <sheetFormatPr defaultRowHeight="15"/>
  <cols>
    <col min="3" max="3" width="18.7109375" customWidth="1"/>
    <col min="4" max="4" width="11" customWidth="1"/>
    <col min="5" max="5" width="22.5703125" customWidth="1"/>
    <col min="6" max="6" width="19.85546875" customWidth="1"/>
    <col min="7" max="7" width="24" customWidth="1"/>
    <col min="8" max="8" width="18.140625" customWidth="1"/>
    <col min="9" max="9" width="20.7109375" customWidth="1"/>
    <col min="10" max="10" width="17.7109375" customWidth="1"/>
    <col min="11" max="11" width="23.85546875" customWidth="1"/>
    <col min="12" max="12" width="17.7109375" customWidth="1"/>
  </cols>
  <sheetData>
    <row r="1" spans="3:12" ht="15.75" thickBot="1"/>
    <row r="2" spans="3:12" ht="15.75" thickBot="1">
      <c r="G2" s="710" t="s">
        <v>227</v>
      </c>
      <c r="H2" s="711"/>
      <c r="I2" s="710" t="s">
        <v>227</v>
      </c>
      <c r="J2" s="711"/>
      <c r="K2" s="710" t="s">
        <v>227</v>
      </c>
      <c r="L2" s="711"/>
    </row>
    <row r="3" spans="3:12" ht="15.75" thickBot="1">
      <c r="C3" s="710" t="s">
        <v>469</v>
      </c>
      <c r="D3" s="711"/>
      <c r="G3" s="406" t="s">
        <v>215</v>
      </c>
      <c r="H3" s="407"/>
      <c r="I3" s="406"/>
      <c r="J3" s="407"/>
      <c r="K3" s="406"/>
      <c r="L3" s="407"/>
    </row>
    <row r="4" spans="3:12" ht="15" customHeight="1">
      <c r="C4" s="427" t="s">
        <v>215</v>
      </c>
      <c r="D4" s="407">
        <v>1.2</v>
      </c>
      <c r="G4" s="386" t="s">
        <v>218</v>
      </c>
      <c r="H4" s="387">
        <f>10*1.85</f>
        <v>18.5</v>
      </c>
      <c r="I4" s="386" t="s">
        <v>218</v>
      </c>
      <c r="J4" s="387">
        <f>10*1.85</f>
        <v>18.5</v>
      </c>
      <c r="K4" s="386" t="s">
        <v>218</v>
      </c>
      <c r="L4" s="387">
        <f>10*1.85</f>
        <v>18.5</v>
      </c>
    </row>
    <row r="5" spans="3:12" ht="15" customHeight="1">
      <c r="C5" s="428" t="s">
        <v>218</v>
      </c>
      <c r="D5" s="387">
        <f>10*1.85</f>
        <v>18.5</v>
      </c>
      <c r="G5" s="386" t="s">
        <v>216</v>
      </c>
      <c r="H5" s="387">
        <f>H4-10</f>
        <v>8.5</v>
      </c>
      <c r="I5" s="386" t="s">
        <v>216</v>
      </c>
      <c r="J5" s="387">
        <f>J4-10</f>
        <v>8.5</v>
      </c>
      <c r="K5" s="386" t="s">
        <v>216</v>
      </c>
      <c r="L5" s="387">
        <f>L4-10</f>
        <v>8.5</v>
      </c>
    </row>
    <row r="6" spans="3:12">
      <c r="C6" s="428" t="s">
        <v>216</v>
      </c>
      <c r="D6" s="387">
        <f>D5-10</f>
        <v>8.5</v>
      </c>
      <c r="G6" s="386" t="s">
        <v>240</v>
      </c>
      <c r="H6" s="387"/>
      <c r="I6" s="386"/>
      <c r="J6" s="387"/>
      <c r="K6" s="386"/>
      <c r="L6" s="387"/>
    </row>
    <row r="7" spans="3:12">
      <c r="C7" s="428" t="s">
        <v>240</v>
      </c>
      <c r="D7" s="387">
        <v>1.2</v>
      </c>
      <c r="G7" s="386" t="s">
        <v>241</v>
      </c>
      <c r="H7" s="387">
        <f>H6*H4</f>
        <v>0</v>
      </c>
      <c r="I7" s="386" t="s">
        <v>241</v>
      </c>
      <c r="J7" s="387">
        <f>J6*J4</f>
        <v>0</v>
      </c>
      <c r="K7" s="386" t="s">
        <v>241</v>
      </c>
      <c r="L7" s="387">
        <f>L6*L4</f>
        <v>0</v>
      </c>
    </row>
    <row r="8" spans="3:12">
      <c r="C8" s="428" t="s">
        <v>241</v>
      </c>
      <c r="D8" s="387">
        <f>D7*D5</f>
        <v>22.2</v>
      </c>
      <c r="G8" s="386" t="s">
        <v>219</v>
      </c>
      <c r="H8" s="387">
        <v>0</v>
      </c>
      <c r="I8" s="386" t="s">
        <v>219</v>
      </c>
      <c r="J8" s="387">
        <v>0</v>
      </c>
      <c r="K8" s="386" t="s">
        <v>219</v>
      </c>
      <c r="L8" s="387">
        <v>0</v>
      </c>
    </row>
    <row r="9" spans="3:12">
      <c r="C9" s="428" t="s">
        <v>219</v>
      </c>
      <c r="D9" s="387">
        <v>0</v>
      </c>
      <c r="G9" s="408" t="s">
        <v>221</v>
      </c>
      <c r="H9" s="387">
        <v>28</v>
      </c>
      <c r="I9" s="408" t="s">
        <v>221</v>
      </c>
      <c r="J9" s="387">
        <v>28</v>
      </c>
      <c r="K9" s="408" t="s">
        <v>221</v>
      </c>
      <c r="L9" s="387">
        <v>28</v>
      </c>
    </row>
    <row r="10" spans="3:12" ht="15.75" thickBot="1">
      <c r="C10" s="429" t="s">
        <v>221</v>
      </c>
      <c r="D10" s="387">
        <v>28</v>
      </c>
      <c r="G10" s="409" t="s">
        <v>222</v>
      </c>
      <c r="H10" s="388">
        <f>RADIANS(H9)</f>
        <v>0.48869219055841229</v>
      </c>
      <c r="I10" s="409" t="s">
        <v>222</v>
      </c>
      <c r="J10" s="388">
        <f>RADIANS(J9)</f>
        <v>0.48869219055841229</v>
      </c>
      <c r="K10" s="409" t="s">
        <v>222</v>
      </c>
      <c r="L10" s="388">
        <f>RADIANS(L9)</f>
        <v>0.48869219055841229</v>
      </c>
    </row>
    <row r="11" spans="3:12" ht="15.75" thickBot="1">
      <c r="C11" s="430" t="s">
        <v>222</v>
      </c>
      <c r="D11" s="388">
        <f>RADIANS(D10)</f>
        <v>0.48869219055841229</v>
      </c>
    </row>
    <row r="12" spans="3:12">
      <c r="C12" s="70"/>
    </row>
    <row r="14" spans="3:12" ht="15.75" thickBot="1"/>
    <row r="15" spans="3:12" ht="15.75" thickBot="1">
      <c r="E15" s="710" t="s">
        <v>461</v>
      </c>
      <c r="F15" s="711"/>
      <c r="G15" s="710" t="s">
        <v>464</v>
      </c>
      <c r="H15" s="711"/>
      <c r="I15" s="710" t="s">
        <v>465</v>
      </c>
      <c r="J15" s="711"/>
      <c r="K15" s="710" t="s">
        <v>466</v>
      </c>
      <c r="L15" s="711"/>
    </row>
    <row r="16" spans="3:12" ht="15.75" thickBot="1">
      <c r="E16" s="386" t="s">
        <v>233</v>
      </c>
      <c r="F16" s="387">
        <v>17.899999999999999</v>
      </c>
      <c r="G16" s="386" t="s">
        <v>233</v>
      </c>
      <c r="H16" s="387">
        <v>17.899999999999999</v>
      </c>
      <c r="I16" s="386" t="s">
        <v>233</v>
      </c>
      <c r="J16" s="387">
        <v>10.8</v>
      </c>
      <c r="K16" s="386" t="s">
        <v>233</v>
      </c>
      <c r="L16" s="387">
        <v>10.8</v>
      </c>
    </row>
    <row r="17" spans="5:12" ht="15.75" thickBot="1">
      <c r="E17" s="710" t="s">
        <v>229</v>
      </c>
      <c r="F17" s="711"/>
      <c r="G17" s="710" t="s">
        <v>229</v>
      </c>
      <c r="H17" s="711"/>
      <c r="I17" s="710" t="s">
        <v>229</v>
      </c>
      <c r="J17" s="711"/>
      <c r="K17" s="710" t="s">
        <v>229</v>
      </c>
      <c r="L17" s="711"/>
    </row>
    <row r="18" spans="5:12">
      <c r="E18" s="413" t="s">
        <v>220</v>
      </c>
      <c r="F18" s="414">
        <f>(F66/F67)*F68</f>
        <v>14.719880826321862</v>
      </c>
      <c r="G18" s="413" t="s">
        <v>220</v>
      </c>
      <c r="H18" s="414">
        <f>(H66/H67)*H68</f>
        <v>14.719880826321862</v>
      </c>
      <c r="I18" s="413" t="s">
        <v>220</v>
      </c>
      <c r="J18" s="414">
        <f>(J66/J67)*J68</f>
        <v>14.719880826321862</v>
      </c>
      <c r="K18" s="413" t="s">
        <v>220</v>
      </c>
      <c r="L18" s="414">
        <f>(L66/L67)*L68</f>
        <v>14.719880826321862</v>
      </c>
    </row>
    <row r="19" spans="5:12">
      <c r="E19" s="413" t="s">
        <v>217</v>
      </c>
      <c r="F19" s="414">
        <f>2*(F18+1)*F69</f>
        <v>16.716817799899548</v>
      </c>
      <c r="G19" s="413" t="s">
        <v>217</v>
      </c>
      <c r="H19" s="414">
        <f>2*(H18+1)*H69</f>
        <v>16.716817799899548</v>
      </c>
      <c r="I19" s="413" t="s">
        <v>217</v>
      </c>
      <c r="J19" s="414">
        <f>2*(J18+1)*J69</f>
        <v>16.716817799899548</v>
      </c>
      <c r="K19" s="413" t="s">
        <v>217</v>
      </c>
      <c r="L19" s="414">
        <f>2*(L18+1)*L69</f>
        <v>16.716817799899548</v>
      </c>
    </row>
    <row r="20" spans="5:12" ht="15.75" thickBot="1">
      <c r="E20" s="415" t="s">
        <v>232</v>
      </c>
      <c r="F20" s="416">
        <f>(F18-1)*F70</f>
        <v>25.80334297146123</v>
      </c>
      <c r="G20" s="415" t="s">
        <v>232</v>
      </c>
      <c r="H20" s="416">
        <f>(H18-1)*H70</f>
        <v>25.80334297146123</v>
      </c>
      <c r="I20" s="415" t="s">
        <v>232</v>
      </c>
      <c r="J20" s="416">
        <f>(J18-1)*J70</f>
        <v>25.80334297146123</v>
      </c>
      <c r="K20" s="415" t="s">
        <v>232</v>
      </c>
      <c r="L20" s="416">
        <f>(L18-1)*L70</f>
        <v>25.80334297146123</v>
      </c>
    </row>
    <row r="21" spans="5:12" ht="15.75" thickBot="1">
      <c r="E21" s="710" t="s">
        <v>230</v>
      </c>
      <c r="F21" s="711"/>
      <c r="G21" s="710" t="s">
        <v>230</v>
      </c>
      <c r="H21" s="711"/>
      <c r="I21" s="710" t="s">
        <v>230</v>
      </c>
      <c r="J21" s="711"/>
      <c r="K21" s="710" t="s">
        <v>230</v>
      </c>
      <c r="L21" s="711"/>
    </row>
    <row r="22" spans="5:12">
      <c r="E22" s="714" t="s">
        <v>231</v>
      </c>
      <c r="F22" s="715"/>
      <c r="G22" s="714" t="s">
        <v>231</v>
      </c>
      <c r="H22" s="715"/>
      <c r="I22" s="714" t="s">
        <v>231</v>
      </c>
      <c r="J22" s="715"/>
      <c r="K22" s="714" t="s">
        <v>231</v>
      </c>
      <c r="L22" s="715"/>
    </row>
    <row r="23" spans="5:12">
      <c r="E23" s="413" t="s">
        <v>234</v>
      </c>
      <c r="F23" s="414">
        <f>1+0.2*(F66/F67)*($D$4/F16)</f>
        <v>1.0371373344631005</v>
      </c>
      <c r="G23" s="413" t="s">
        <v>234</v>
      </c>
      <c r="H23" s="414">
        <f t="shared" ref="H23" si="0">1+0.2*(H66/H67)*($D$4/H16)</f>
        <v>1.0371373344631005</v>
      </c>
      <c r="I23" s="413" t="s">
        <v>234</v>
      </c>
      <c r="J23" s="414">
        <f t="shared" ref="J23" si="1">1+0.2*(J66/J67)*($D$4/J16)</f>
        <v>1.0615516932305091</v>
      </c>
      <c r="K23" s="413" t="s">
        <v>234</v>
      </c>
      <c r="L23" s="414">
        <f t="shared" ref="L23" si="2">1+0.2*(L66/L67)*($D$4/L16)</f>
        <v>1.0615516932305091</v>
      </c>
    </row>
    <row r="24" spans="5:12">
      <c r="E24" s="413" t="s">
        <v>235</v>
      </c>
      <c r="F24" s="414">
        <f>1+0.1*(F66/F67)*($D$4/F16)</f>
        <v>1.0185686672315502</v>
      </c>
      <c r="G24" s="413" t="s">
        <v>235</v>
      </c>
      <c r="H24" s="414">
        <f t="shared" ref="H24" si="3">1+0.1*(H66/H67)*($D$4/H16)</f>
        <v>1.0185686672315502</v>
      </c>
      <c r="I24" s="413" t="s">
        <v>235</v>
      </c>
      <c r="J24" s="414">
        <f t="shared" ref="J24" si="4">1+0.1*(J66/J67)*($D$4/J16)</f>
        <v>1.0307758466152546</v>
      </c>
      <c r="K24" s="413" t="s">
        <v>235</v>
      </c>
      <c r="L24" s="414">
        <f t="shared" ref="L24" si="5">1+0.1*(L66/L67)*($D$4/L16)</f>
        <v>1.0307758466152546</v>
      </c>
    </row>
    <row r="25" spans="5:12">
      <c r="E25" s="413" t="s">
        <v>236</v>
      </c>
      <c r="F25" s="414">
        <f>F24</f>
        <v>1.0185686672315502</v>
      </c>
      <c r="G25" s="413" t="s">
        <v>236</v>
      </c>
      <c r="H25" s="414">
        <f t="shared" ref="H25" si="6">H24</f>
        <v>1.0185686672315502</v>
      </c>
      <c r="I25" s="413" t="s">
        <v>236</v>
      </c>
      <c r="J25" s="414">
        <f t="shared" ref="J25" si="7">J24</f>
        <v>1.0307758466152546</v>
      </c>
      <c r="K25" s="413" t="s">
        <v>236</v>
      </c>
      <c r="L25" s="414">
        <f t="shared" ref="L25" si="8">L24</f>
        <v>1.0307758466152546</v>
      </c>
    </row>
    <row r="26" spans="5:12">
      <c r="E26" s="712" t="s">
        <v>237</v>
      </c>
      <c r="F26" s="713"/>
      <c r="G26" s="712" t="s">
        <v>237</v>
      </c>
      <c r="H26" s="713"/>
      <c r="I26" s="712" t="s">
        <v>237</v>
      </c>
      <c r="J26" s="713"/>
      <c r="K26" s="712" t="s">
        <v>237</v>
      </c>
      <c r="L26" s="713"/>
    </row>
    <row r="27" spans="5:12">
      <c r="E27" s="413" t="s">
        <v>242</v>
      </c>
      <c r="F27" s="414">
        <f>1+2*F69*F67^2*ATAN(RADIANS($D$7/$D$4))</f>
        <v>1.0052234202790249</v>
      </c>
      <c r="G27" s="413" t="s">
        <v>242</v>
      </c>
      <c r="H27" s="414">
        <f t="shared" ref="H27" si="9">1+2*H69*H67^2*ATAN(RADIANS($D$7/$D$4))</f>
        <v>1.0052234202790249</v>
      </c>
      <c r="I27" s="413" t="s">
        <v>242</v>
      </c>
      <c r="J27" s="414">
        <f t="shared" ref="J27" si="10">1+2*J69*J67^2*ATAN(RADIANS($D$7/$D$4))</f>
        <v>1.0052234202790249</v>
      </c>
      <c r="K27" s="413" t="s">
        <v>242</v>
      </c>
      <c r="L27" s="414">
        <f t="shared" ref="L27" si="11">1+2*L69*L67^2*ATAN(RADIANS($D$7/$D$4))</f>
        <v>1.0052234202790249</v>
      </c>
    </row>
    <row r="28" spans="5:12">
      <c r="E28" s="413" t="s">
        <v>238</v>
      </c>
      <c r="F28" s="414">
        <f>F27-((1-F27)/(F20*F69))</f>
        <v>1.0056041393497768</v>
      </c>
      <c r="G28" s="413" t="s">
        <v>238</v>
      </c>
      <c r="H28" s="414">
        <f t="shared" ref="H28" si="12">H27-((1-H27)/(H20*H69))</f>
        <v>1.0056041393497768</v>
      </c>
      <c r="I28" s="413" t="s">
        <v>238</v>
      </c>
      <c r="J28" s="414">
        <f t="shared" ref="J28" si="13">J27-((1-J27)/(J20*J69))</f>
        <v>1.0056041393497768</v>
      </c>
      <c r="K28" s="413" t="s">
        <v>238</v>
      </c>
      <c r="L28" s="414">
        <f t="shared" ref="L28" si="14">L27-((1-L27)/(L20*L69))</f>
        <v>1.0056041393497768</v>
      </c>
    </row>
    <row r="29" spans="5:12">
      <c r="E29" s="413" t="s">
        <v>239</v>
      </c>
      <c r="F29" s="418">
        <f>1</f>
        <v>1</v>
      </c>
      <c r="G29" s="413" t="s">
        <v>239</v>
      </c>
      <c r="H29" s="418">
        <f>1</f>
        <v>1</v>
      </c>
      <c r="I29" s="413" t="s">
        <v>239</v>
      </c>
      <c r="J29" s="418">
        <f>1</f>
        <v>1</v>
      </c>
      <c r="K29" s="413" t="s">
        <v>239</v>
      </c>
      <c r="L29" s="418">
        <f>1</f>
        <v>1</v>
      </c>
    </row>
    <row r="30" spans="5:12" ht="15.75" thickBot="1"/>
    <row r="31" spans="5:12">
      <c r="H31" s="714" t="s">
        <v>294</v>
      </c>
      <c r="I31" s="715"/>
    </row>
    <row r="32" spans="5:12">
      <c r="H32" s="386" t="s">
        <v>297</v>
      </c>
      <c r="I32" s="387">
        <v>1.4059999999999999</v>
      </c>
    </row>
    <row r="33" spans="5:14" ht="18">
      <c r="H33" s="386" t="s">
        <v>298</v>
      </c>
      <c r="I33" s="387">
        <v>1</v>
      </c>
    </row>
    <row r="34" spans="5:14" ht="18">
      <c r="H34" s="386" t="s">
        <v>475</v>
      </c>
      <c r="I34" s="387">
        <f>0.204</f>
        <v>0.20399999999999999</v>
      </c>
    </row>
    <row r="35" spans="5:14" ht="18">
      <c r="H35" s="386" t="s">
        <v>299</v>
      </c>
      <c r="I35" s="419">
        <f>I34*I32</f>
        <v>0.28682399999999997</v>
      </c>
    </row>
    <row r="36" spans="5:14">
      <c r="H36" s="408" t="s">
        <v>292</v>
      </c>
      <c r="I36" s="387">
        <f>0.28</f>
        <v>0.28000000000000003</v>
      </c>
    </row>
    <row r="37" spans="5:14">
      <c r="H37" s="408" t="s">
        <v>300</v>
      </c>
      <c r="I37" s="419">
        <f>I36*I35</f>
        <v>8.0310720000000002E-2</v>
      </c>
    </row>
    <row r="38" spans="5:14">
      <c r="H38" s="413" t="s">
        <v>476</v>
      </c>
      <c r="I38" s="414">
        <f>(1-(I37/F69))^0.35</f>
        <v>0.94430020269172166</v>
      </c>
    </row>
    <row r="39" spans="5:14">
      <c r="H39" s="413" t="s">
        <v>296</v>
      </c>
      <c r="I39" s="414">
        <f>I38</f>
        <v>0.94430020269172166</v>
      </c>
    </row>
    <row r="40" spans="5:14" ht="15.75" thickBot="1">
      <c r="H40" s="415" t="s">
        <v>295</v>
      </c>
      <c r="I40" s="416">
        <f>(1-0.32*I37)</f>
        <v>0.9743005696</v>
      </c>
    </row>
    <row r="41" spans="5:14" ht="15.75" thickBot="1"/>
    <row r="42" spans="5:14" ht="18.75" thickBot="1">
      <c r="E42" s="708" t="s">
        <v>477</v>
      </c>
      <c r="F42" s="709"/>
      <c r="G42" s="708" t="s">
        <v>477</v>
      </c>
      <c r="H42" s="709"/>
      <c r="I42" s="708" t="s">
        <v>477</v>
      </c>
      <c r="J42" s="709"/>
      <c r="K42" s="708" t="s">
        <v>477</v>
      </c>
      <c r="L42" s="709"/>
    </row>
    <row r="43" spans="5:14" ht="18.75" thickBot="1">
      <c r="E43" s="426" t="s">
        <v>478</v>
      </c>
      <c r="F43" s="256">
        <f>0.5*$D$4*F19*($D$6+($D$5-$D$6)*(1.8-$D$7)/$D$4)*F25*F29*$I$38+$D$8*F18*F24*F27*$I$39</f>
        <v>446.18977542186667</v>
      </c>
      <c r="G43" s="426" t="s">
        <v>478</v>
      </c>
      <c r="H43" s="256">
        <f t="shared" ref="H43" si="15">0.5*$D$4*H19*($D$6+($D$5-$D$6)*(1.8-$D$7)/$D$4)*H25*H29*$I$38+$D$8*H18*H24*H27*$I$39</f>
        <v>446.18977542186667</v>
      </c>
      <c r="I43" s="426" t="s">
        <v>478</v>
      </c>
      <c r="J43" s="256">
        <f t="shared" ref="J43" si="16">0.5*$D$4*J19*($D$6+($D$5-$D$6)*(1.8-$D$7)/$D$4)*J25*J29*$I$38+$D$8*J18*J24*J27*$I$39</f>
        <v>451.53719951115619</v>
      </c>
      <c r="K43" s="426" t="s">
        <v>478</v>
      </c>
      <c r="L43" s="256">
        <f t="shared" ref="L43" si="17">0.5*$D$4*L19*($D$6+($D$5-$D$6)*(1.8-$D$7)/$D$4)*L25*L29*$I$38+$D$8*L18*L24*L27*$I$39</f>
        <v>451.53719951115619</v>
      </c>
    </row>
    <row r="44" spans="5:14" ht="15.75" thickBot="1">
      <c r="E44" s="708" t="s">
        <v>468</v>
      </c>
      <c r="F44" s="709"/>
      <c r="G44" s="708" t="s">
        <v>468</v>
      </c>
      <c r="H44" s="709"/>
      <c r="I44" s="708" t="s">
        <v>468</v>
      </c>
      <c r="J44" s="709"/>
      <c r="K44" s="708" t="s">
        <v>468</v>
      </c>
      <c r="L44" s="709"/>
    </row>
    <row r="45" spans="5:14">
      <c r="E45" s="406" t="s">
        <v>272</v>
      </c>
      <c r="F45" s="411">
        <f>F62+F63</f>
        <v>108.49639199255122</v>
      </c>
      <c r="G45" s="406" t="s">
        <v>272</v>
      </c>
      <c r="H45" s="411">
        <f>H62+H63</f>
        <v>164.26920391061455</v>
      </c>
      <c r="I45" s="406" t="s">
        <v>272</v>
      </c>
      <c r="J45" s="411">
        <f>J62+J63</f>
        <v>115.82793209876543</v>
      </c>
      <c r="K45" s="406" t="s">
        <v>272</v>
      </c>
      <c r="L45" s="411">
        <f>L62+L63</f>
        <v>191.8310185185185</v>
      </c>
      <c r="M45" s="184"/>
      <c r="N45" s="184"/>
    </row>
    <row r="46" spans="5:14">
      <c r="E46" s="417" t="s">
        <v>273</v>
      </c>
      <c r="F46" s="414">
        <f>F43/2.3</f>
        <v>193.9955545312464</v>
      </c>
      <c r="G46" s="417" t="s">
        <v>273</v>
      </c>
      <c r="H46" s="414">
        <f>H43/2.3</f>
        <v>193.9955545312464</v>
      </c>
      <c r="I46" s="417" t="s">
        <v>273</v>
      </c>
      <c r="J46" s="414">
        <f>J43/2.3</f>
        <v>196.32052152658966</v>
      </c>
      <c r="K46" s="417" t="s">
        <v>273</v>
      </c>
      <c r="L46" s="414">
        <f>L43/2.3</f>
        <v>196.32052152658966</v>
      </c>
      <c r="M46" s="184"/>
      <c r="N46" s="184"/>
    </row>
    <row r="47" spans="5:14" ht="15.75" thickBot="1">
      <c r="E47" s="421" t="s">
        <v>301</v>
      </c>
      <c r="F47" s="422" t="str">
        <f>IF(F45&lt;F46,"verifica","non_verica")</f>
        <v>verifica</v>
      </c>
      <c r="G47" s="421" t="s">
        <v>301</v>
      </c>
      <c r="H47" s="422" t="str">
        <f>IF(H45&lt;H46,"verifica","non_verica")</f>
        <v>verifica</v>
      </c>
      <c r="I47" s="421" t="s">
        <v>301</v>
      </c>
      <c r="J47" s="422" t="str">
        <f>IF(J45&lt;J46,"verifica","non_verica")</f>
        <v>verifica</v>
      </c>
      <c r="K47" s="421" t="s">
        <v>301</v>
      </c>
      <c r="L47" s="422" t="str">
        <f>IF(L45&lt;L46,"verifica","non_verica")</f>
        <v>verifica</v>
      </c>
      <c r="M47" s="184"/>
      <c r="N47" s="184"/>
    </row>
    <row r="48" spans="5:14">
      <c r="M48" s="184"/>
      <c r="N48" s="184"/>
    </row>
    <row r="49" spans="5:14">
      <c r="M49" s="184"/>
      <c r="N49" s="184"/>
    </row>
    <row r="50" spans="5:14" ht="15.75" thickBot="1">
      <c r="M50" s="184"/>
      <c r="N50" s="184"/>
    </row>
    <row r="51" spans="5:14" ht="15.75" thickBot="1">
      <c r="E51" s="716" t="s">
        <v>463</v>
      </c>
      <c r="F51" s="717"/>
      <c r="G51" s="716" t="s">
        <v>463</v>
      </c>
      <c r="H51" s="717"/>
      <c r="I51" s="716" t="s">
        <v>463</v>
      </c>
      <c r="J51" s="717"/>
      <c r="K51" s="716" t="s">
        <v>463</v>
      </c>
      <c r="L51" s="717"/>
      <c r="M51" s="184"/>
      <c r="N51" s="184"/>
    </row>
    <row r="52" spans="5:14" ht="15.75" thickBot="1">
      <c r="E52" s="423" t="s">
        <v>467</v>
      </c>
      <c r="F52" s="424">
        <f>2*(349.5+632.5)</f>
        <v>1964</v>
      </c>
      <c r="G52" s="424" t="s">
        <v>467</v>
      </c>
      <c r="H52" s="424">
        <f>2*(581+1000)</f>
        <v>3162</v>
      </c>
      <c r="I52" s="424" t="s">
        <v>467</v>
      </c>
      <c r="J52" s="424">
        <f>2*349.5+581</f>
        <v>1280</v>
      </c>
      <c r="K52" s="424" t="s">
        <v>467</v>
      </c>
      <c r="L52" s="425">
        <f>(2*632.5+1000)</f>
        <v>2265</v>
      </c>
      <c r="M52" s="184"/>
      <c r="N52" s="184"/>
    </row>
    <row r="53" spans="5:14" ht="15" customHeight="1" thickBot="1">
      <c r="E53" s="708" t="s">
        <v>462</v>
      </c>
      <c r="F53" s="709"/>
      <c r="G53" s="708" t="s">
        <v>462</v>
      </c>
      <c r="H53" s="709"/>
      <c r="I53" s="708" t="s">
        <v>462</v>
      </c>
      <c r="J53" s="709"/>
      <c r="K53" s="708" t="s">
        <v>462</v>
      </c>
      <c r="L53" s="709"/>
      <c r="M53" s="184"/>
      <c r="N53" s="184"/>
    </row>
    <row r="54" spans="5:14" ht="15.75" customHeight="1">
      <c r="E54" s="406" t="s">
        <v>288</v>
      </c>
      <c r="F54" s="407">
        <f>0.3</f>
        <v>0.3</v>
      </c>
      <c r="G54" s="406" t="s">
        <v>288</v>
      </c>
      <c r="H54" s="407">
        <f t="shared" ref="H54" si="18">0.3</f>
        <v>0.3</v>
      </c>
      <c r="I54" s="406" t="s">
        <v>288</v>
      </c>
      <c r="J54" s="407">
        <f t="shared" ref="J54" si="19">0.3</f>
        <v>0.3</v>
      </c>
      <c r="K54" s="406" t="s">
        <v>288</v>
      </c>
      <c r="L54" s="407">
        <f t="shared" ref="L54" si="20">0.3</f>
        <v>0.3</v>
      </c>
      <c r="M54" s="184"/>
      <c r="N54" s="184"/>
    </row>
    <row r="55" spans="5:14">
      <c r="E55" s="386" t="s">
        <v>245</v>
      </c>
      <c r="F55" s="387">
        <f>$D$4</f>
        <v>1.2</v>
      </c>
      <c r="G55" s="386" t="s">
        <v>245</v>
      </c>
      <c r="H55" s="387">
        <f t="shared" ref="H55" si="21">$D$4</f>
        <v>1.2</v>
      </c>
      <c r="I55" s="386" t="s">
        <v>245</v>
      </c>
      <c r="J55" s="387">
        <f t="shared" ref="J55" si="22">$D$4</f>
        <v>1.2</v>
      </c>
      <c r="K55" s="386" t="s">
        <v>245</v>
      </c>
      <c r="L55" s="387">
        <f t="shared" ref="L55" si="23">$D$4</f>
        <v>1.2</v>
      </c>
      <c r="M55" s="184"/>
      <c r="N55" s="184"/>
    </row>
    <row r="56" spans="5:14">
      <c r="E56" s="386" t="s">
        <v>325</v>
      </c>
      <c r="F56" s="387">
        <f>0.3</f>
        <v>0.3</v>
      </c>
      <c r="G56" s="386" t="s">
        <v>325</v>
      </c>
      <c r="H56" s="387">
        <f t="shared" ref="H56" si="24">0.3</f>
        <v>0.3</v>
      </c>
      <c r="I56" s="386" t="s">
        <v>325</v>
      </c>
      <c r="J56" s="387">
        <f t="shared" ref="J56" si="25">0.3</f>
        <v>0.3</v>
      </c>
      <c r="K56" s="386" t="s">
        <v>325</v>
      </c>
      <c r="L56" s="387">
        <f t="shared" ref="L56" si="26">0.3</f>
        <v>0.3</v>
      </c>
      <c r="M56" s="184"/>
      <c r="N56" s="184"/>
    </row>
    <row r="57" spans="5:14">
      <c r="E57" s="386" t="s">
        <v>326</v>
      </c>
      <c r="F57" s="387">
        <f>$D$7-F56</f>
        <v>0.89999999999999991</v>
      </c>
      <c r="G57" s="386" t="s">
        <v>326</v>
      </c>
      <c r="H57" s="387">
        <f t="shared" ref="H57" si="27">$D$7-H56</f>
        <v>0.89999999999999991</v>
      </c>
      <c r="I57" s="386" t="s">
        <v>326</v>
      </c>
      <c r="J57" s="387">
        <f t="shared" ref="J57" si="28">$D$7-J56</f>
        <v>0.89999999999999991</v>
      </c>
      <c r="K57" s="386" t="s">
        <v>326</v>
      </c>
      <c r="L57" s="387">
        <f t="shared" ref="L57" si="29">$D$7-L56</f>
        <v>0.89999999999999991</v>
      </c>
      <c r="M57" s="184"/>
      <c r="N57" s="184"/>
    </row>
    <row r="58" spans="5:14">
      <c r="E58" s="386" t="s">
        <v>327</v>
      </c>
      <c r="F58" s="387">
        <f>F57+F56</f>
        <v>1.2</v>
      </c>
      <c r="G58" s="386" t="s">
        <v>327</v>
      </c>
      <c r="H58" s="387">
        <f t="shared" ref="H58" si="30">H57+H56</f>
        <v>1.2</v>
      </c>
      <c r="I58" s="386" t="s">
        <v>327</v>
      </c>
      <c r="J58" s="387">
        <f t="shared" ref="J58" si="31">J57+J56</f>
        <v>1.2</v>
      </c>
      <c r="K58" s="386" t="s">
        <v>327</v>
      </c>
      <c r="L58" s="387">
        <f t="shared" ref="L58" si="32">L57+L56</f>
        <v>1.2</v>
      </c>
      <c r="M58" s="184"/>
      <c r="N58" s="184"/>
    </row>
    <row r="59" spans="5:14">
      <c r="E59" s="420" t="s">
        <v>328</v>
      </c>
      <c r="F59" s="387">
        <f>F56*F55</f>
        <v>0.36</v>
      </c>
      <c r="G59" s="420" t="s">
        <v>328</v>
      </c>
      <c r="H59" s="387">
        <f t="shared" ref="H59" si="33">H56*H55</f>
        <v>0.36</v>
      </c>
      <c r="I59" s="420" t="s">
        <v>328</v>
      </c>
      <c r="J59" s="387">
        <f t="shared" ref="J59" si="34">J56*J55</f>
        <v>0.36</v>
      </c>
      <c r="K59" s="420" t="s">
        <v>328</v>
      </c>
      <c r="L59" s="387">
        <f t="shared" ref="L59" si="35">L56*L55</f>
        <v>0.36</v>
      </c>
      <c r="M59" s="184"/>
      <c r="N59" s="184"/>
    </row>
    <row r="60" spans="5:14">
      <c r="E60" s="420" t="s">
        <v>329</v>
      </c>
      <c r="F60" s="387">
        <f>F54*F57</f>
        <v>0.26999999999999996</v>
      </c>
      <c r="G60" s="420" t="s">
        <v>329</v>
      </c>
      <c r="H60" s="387">
        <f t="shared" ref="H60" si="36">H54*H57</f>
        <v>0.26999999999999996</v>
      </c>
      <c r="I60" s="420" t="s">
        <v>329</v>
      </c>
      <c r="J60" s="387">
        <f t="shared" ref="J60" si="37">J54*J57</f>
        <v>0.26999999999999996</v>
      </c>
      <c r="K60" s="420" t="s">
        <v>329</v>
      </c>
      <c r="L60" s="387">
        <f t="shared" ref="L60" si="38">L54*L57</f>
        <v>0.26999999999999996</v>
      </c>
      <c r="M60" s="184"/>
      <c r="N60" s="184"/>
    </row>
    <row r="61" spans="5:14">
      <c r="E61" s="420" t="s">
        <v>330</v>
      </c>
      <c r="F61" s="387">
        <f>F59+F60</f>
        <v>0.62999999999999989</v>
      </c>
      <c r="G61" s="420" t="s">
        <v>330</v>
      </c>
      <c r="H61" s="387">
        <f t="shared" ref="H61" si="39">H59+H60</f>
        <v>0.62999999999999989</v>
      </c>
      <c r="I61" s="420" t="s">
        <v>330</v>
      </c>
      <c r="J61" s="387">
        <f t="shared" ref="J61" si="40">J59+J60</f>
        <v>0.62999999999999989</v>
      </c>
      <c r="K61" s="420" t="s">
        <v>330</v>
      </c>
      <c r="L61" s="387">
        <f t="shared" ref="L61" si="41">L59+L60</f>
        <v>0.62999999999999989</v>
      </c>
      <c r="M61" s="184"/>
      <c r="N61" s="184"/>
    </row>
    <row r="62" spans="5:14">
      <c r="E62" s="420" t="s">
        <v>337</v>
      </c>
      <c r="F62" s="412">
        <f>(F61*25*1.3*F16)/($D$4*F16)</f>
        <v>17.062499999999996</v>
      </c>
      <c r="G62" s="420" t="s">
        <v>337</v>
      </c>
      <c r="H62" s="412">
        <f t="shared" ref="H62" si="42">(H61*25*1.3*H16)/($D$4*H16)</f>
        <v>17.062499999999996</v>
      </c>
      <c r="I62" s="420" t="s">
        <v>337</v>
      </c>
      <c r="J62" s="412">
        <f t="shared" ref="J62" si="43">(J61*25*1.3*J16)/($D$4*J16)</f>
        <v>17.062499999999996</v>
      </c>
      <c r="K62" s="420" t="s">
        <v>337</v>
      </c>
      <c r="L62" s="412">
        <f t="shared" ref="L62" si="44">(L61*25*1.3*L16)/($D$4*L16)</f>
        <v>17.062499999999996</v>
      </c>
      <c r="M62" s="184"/>
      <c r="N62" s="184"/>
    </row>
    <row r="63" spans="5:14" ht="15.75" thickBot="1">
      <c r="E63" s="421" t="s">
        <v>279</v>
      </c>
      <c r="F63" s="388">
        <f>F52/($D$4*F16)</f>
        <v>91.433891992551224</v>
      </c>
      <c r="G63" s="421" t="s">
        <v>279</v>
      </c>
      <c r="H63" s="388">
        <f t="shared" ref="H63" si="45">H52/($D$4*H16)</f>
        <v>147.20670391061455</v>
      </c>
      <c r="I63" s="421" t="s">
        <v>279</v>
      </c>
      <c r="J63" s="388">
        <f t="shared" ref="J63" si="46">J52/($D$4*J16)</f>
        <v>98.76543209876543</v>
      </c>
      <c r="K63" s="421" t="s">
        <v>279</v>
      </c>
      <c r="L63" s="388">
        <f t="shared" ref="L63" si="47">L52/($D$4*L16)</f>
        <v>174.7685185185185</v>
      </c>
      <c r="M63" s="184"/>
      <c r="N63" s="184"/>
    </row>
    <row r="64" spans="5:14">
      <c r="I64" s="184"/>
      <c r="J64" s="184"/>
      <c r="K64" s="184"/>
      <c r="L64" s="184"/>
      <c r="M64" s="184"/>
      <c r="N64" s="184"/>
    </row>
    <row r="65" spans="5:14" ht="15.75" thickBot="1">
      <c r="I65" s="184"/>
      <c r="J65" s="184"/>
      <c r="K65" s="184"/>
      <c r="L65" s="184"/>
      <c r="M65" s="184"/>
      <c r="N65" s="184"/>
    </row>
    <row r="66" spans="5:14">
      <c r="E66" s="410" t="s">
        <v>223</v>
      </c>
      <c r="F66" s="411">
        <f>1+SIN(D11)</f>
        <v>1.4694715627858908</v>
      </c>
      <c r="G66" s="410" t="s">
        <v>223</v>
      </c>
      <c r="H66" s="411">
        <f>1+SIN(H10)</f>
        <v>1.4694715627858908</v>
      </c>
      <c r="I66" s="410" t="s">
        <v>223</v>
      </c>
      <c r="J66" s="411">
        <f>1+SIN(J10)</f>
        <v>1.4694715627858908</v>
      </c>
      <c r="K66" s="410" t="s">
        <v>223</v>
      </c>
      <c r="L66" s="411">
        <f>1+SIN(L10)</f>
        <v>1.4694715627858908</v>
      </c>
      <c r="M66" s="184"/>
      <c r="N66" s="184"/>
    </row>
    <row r="67" spans="5:14">
      <c r="E67" s="408" t="s">
        <v>224</v>
      </c>
      <c r="F67" s="412">
        <f>1-SIN(D11)</f>
        <v>0.53052843721410925</v>
      </c>
      <c r="G67" s="408" t="s">
        <v>224</v>
      </c>
      <c r="H67" s="412">
        <f>1-SIN(H10)</f>
        <v>0.53052843721410925</v>
      </c>
      <c r="I67" s="408" t="s">
        <v>224</v>
      </c>
      <c r="J67" s="412">
        <f>1-SIN(J10)</f>
        <v>0.53052843721410925</v>
      </c>
      <c r="K67" s="408" t="s">
        <v>224</v>
      </c>
      <c r="L67" s="412">
        <f>1-SIN(L10)</f>
        <v>0.53052843721410925</v>
      </c>
      <c r="M67" s="184"/>
      <c r="N67" s="184"/>
    </row>
    <row r="68" spans="5:14" ht="17.25">
      <c r="E68" s="408" t="s">
        <v>225</v>
      </c>
      <c r="F68" s="412">
        <f>EXP(PI()*TAN(D11))</f>
        <v>5.3143698514050959</v>
      </c>
      <c r="G68" s="408" t="s">
        <v>225</v>
      </c>
      <c r="H68" s="412">
        <f>EXP(PI()*TAN(H10))</f>
        <v>5.3143698514050959</v>
      </c>
      <c r="I68" s="408" t="s">
        <v>225</v>
      </c>
      <c r="J68" s="412">
        <f>EXP(PI()*TAN(J10))</f>
        <v>5.3143698514050959</v>
      </c>
      <c r="K68" s="408" t="s">
        <v>225</v>
      </c>
      <c r="L68" s="412">
        <f>EXP(PI()*TAN(L10))</f>
        <v>5.3143698514050959</v>
      </c>
      <c r="M68" s="184"/>
      <c r="N68" s="184"/>
    </row>
    <row r="69" spans="5:14">
      <c r="E69" s="408" t="s">
        <v>226</v>
      </c>
      <c r="F69" s="412">
        <f>TAN(D11)</f>
        <v>0.53170943166147877</v>
      </c>
      <c r="G69" s="408" t="s">
        <v>226</v>
      </c>
      <c r="H69" s="412">
        <f>TAN(H10)</f>
        <v>0.53170943166147877</v>
      </c>
      <c r="I69" s="408" t="s">
        <v>226</v>
      </c>
      <c r="J69" s="412">
        <f>TAN(J10)</f>
        <v>0.53170943166147877</v>
      </c>
      <c r="K69" s="408" t="s">
        <v>226</v>
      </c>
      <c r="L69" s="412">
        <f>TAN(L10)</f>
        <v>0.53170943166147877</v>
      </c>
      <c r="M69" s="184"/>
      <c r="N69" s="184"/>
    </row>
    <row r="70" spans="5:14" ht="15.75" thickBot="1">
      <c r="E70" s="409" t="s">
        <v>228</v>
      </c>
      <c r="F70" s="388">
        <f>_xlfn.COT(D11)</f>
        <v>1.880726465346332</v>
      </c>
      <c r="G70" s="409" t="s">
        <v>228</v>
      </c>
      <c r="H70" s="388">
        <f>_xlfn.COT(H10)</f>
        <v>1.880726465346332</v>
      </c>
      <c r="I70" s="409" t="s">
        <v>228</v>
      </c>
      <c r="J70" s="388">
        <f>_xlfn.COT(J10)</f>
        <v>1.880726465346332</v>
      </c>
      <c r="K70" s="409" t="s">
        <v>228</v>
      </c>
      <c r="L70" s="388">
        <f>_xlfn.COT(L10)</f>
        <v>1.880726465346332</v>
      </c>
      <c r="M70" s="184"/>
      <c r="N70" s="184"/>
    </row>
    <row r="71" spans="5:14">
      <c r="M71" s="184"/>
      <c r="N71" s="184"/>
    </row>
    <row r="72" spans="5:14">
      <c r="M72" s="184"/>
      <c r="N72" s="184"/>
    </row>
    <row r="73" spans="5:14">
      <c r="M73" s="184"/>
      <c r="N73" s="184"/>
    </row>
    <row r="74" spans="5:14">
      <c r="M74" s="184"/>
      <c r="N74" s="184"/>
    </row>
    <row r="75" spans="5:14">
      <c r="M75" s="184"/>
      <c r="N75" s="184"/>
    </row>
    <row r="76" spans="5:14">
      <c r="M76" s="184"/>
      <c r="N76" s="184"/>
    </row>
    <row r="77" spans="5:14">
      <c r="M77" s="184"/>
      <c r="N77" s="184"/>
    </row>
  </sheetData>
  <mergeCells count="41">
    <mergeCell ref="H31:I31"/>
    <mergeCell ref="C3:D3"/>
    <mergeCell ref="E15:F15"/>
    <mergeCell ref="G15:H15"/>
    <mergeCell ref="G17:H17"/>
    <mergeCell ref="E17:F17"/>
    <mergeCell ref="I26:J26"/>
    <mergeCell ref="G22:H22"/>
    <mergeCell ref="E22:F22"/>
    <mergeCell ref="K26:L26"/>
    <mergeCell ref="G26:H26"/>
    <mergeCell ref="E26:F26"/>
    <mergeCell ref="G2:H2"/>
    <mergeCell ref="I2:J2"/>
    <mergeCell ref="K2:L2"/>
    <mergeCell ref="I15:J15"/>
    <mergeCell ref="K15:L15"/>
    <mergeCell ref="I17:J17"/>
    <mergeCell ref="K17:L17"/>
    <mergeCell ref="K21:L21"/>
    <mergeCell ref="I21:J21"/>
    <mergeCell ref="G21:H21"/>
    <mergeCell ref="E21:F21"/>
    <mergeCell ref="K22:L22"/>
    <mergeCell ref="I22:J22"/>
    <mergeCell ref="K53:L53"/>
    <mergeCell ref="I53:J53"/>
    <mergeCell ref="G53:H53"/>
    <mergeCell ref="E53:F53"/>
    <mergeCell ref="K42:L42"/>
    <mergeCell ref="I42:J42"/>
    <mergeCell ref="G42:H42"/>
    <mergeCell ref="K51:L51"/>
    <mergeCell ref="I51:J51"/>
    <mergeCell ref="G51:H51"/>
    <mergeCell ref="E51:F51"/>
    <mergeCell ref="K44:L44"/>
    <mergeCell ref="E44:F44"/>
    <mergeCell ref="G44:H44"/>
    <mergeCell ref="I44:J44"/>
    <mergeCell ref="E42:F42"/>
  </mergeCells>
  <pageMargins left="0.25" right="0.25" top="0.75" bottom="0.75" header="0.3" footer="0.3"/>
  <pageSetup paperSize="9" scale="4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7FCC-089F-4570-8B53-C0DD10472516}">
  <sheetPr>
    <pageSetUpPr fitToPage="1"/>
  </sheetPr>
  <dimension ref="A1:AK224"/>
  <sheetViews>
    <sheetView zoomScale="85" zoomScaleNormal="85" workbookViewId="0">
      <selection sqref="A1:XFD1048576"/>
    </sheetView>
  </sheetViews>
  <sheetFormatPr defaultRowHeight="15"/>
  <cols>
    <col min="2" max="2" width="18.28515625" customWidth="1"/>
    <col min="4" max="4" width="15.85546875" customWidth="1"/>
    <col min="5" max="5" width="16.28515625" customWidth="1"/>
    <col min="6" max="6" width="15.42578125" customWidth="1"/>
    <col min="7" max="7" width="17.42578125" customWidth="1"/>
    <col min="8" max="8" width="15.28515625" customWidth="1"/>
    <col min="9" max="9" width="14.5703125" customWidth="1"/>
    <col min="10" max="10" width="15.42578125" customWidth="1"/>
    <col min="11" max="11" width="15.140625" customWidth="1"/>
    <col min="12" max="12" width="14.7109375" customWidth="1"/>
    <col min="13" max="13" width="15" customWidth="1"/>
    <col min="15" max="15" width="9.140625" customWidth="1"/>
    <col min="17" max="17" width="7.42578125" customWidth="1"/>
    <col min="18" max="18" width="20.85546875" customWidth="1"/>
    <col min="19" max="19" width="12.28515625" customWidth="1"/>
    <col min="20" max="20" width="24" customWidth="1"/>
    <col min="21" max="21" width="20.28515625" customWidth="1"/>
    <col min="22" max="22" width="21.85546875" customWidth="1"/>
    <col min="23" max="24" width="19.85546875" customWidth="1"/>
    <col min="26" max="26" width="13" bestFit="1" customWidth="1"/>
    <col min="28" max="28" width="8.140625" customWidth="1"/>
    <col min="29" max="29" width="23" customWidth="1"/>
    <col min="30" max="30" width="14.42578125" customWidth="1"/>
  </cols>
  <sheetData>
    <row r="1" spans="1: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25">
      <c r="A2" s="9"/>
      <c r="I2" s="9"/>
      <c r="J2" s="9"/>
      <c r="K2" s="9"/>
      <c r="L2" s="9"/>
      <c r="M2" s="9"/>
      <c r="N2" s="9"/>
    </row>
    <row r="3" spans="1:25" ht="15.75" thickBot="1">
      <c r="A3" s="9"/>
      <c r="F3" s="718" t="s">
        <v>306</v>
      </c>
      <c r="G3" s="718"/>
      <c r="H3" s="718"/>
      <c r="I3" s="6"/>
      <c r="J3" s="6"/>
      <c r="K3" s="6"/>
      <c r="L3" s="6"/>
      <c r="M3" s="9"/>
      <c r="N3" s="9"/>
    </row>
    <row r="4" spans="1:25">
      <c r="A4" s="9"/>
      <c r="B4" s="213" t="s">
        <v>248</v>
      </c>
      <c r="C4" s="213" t="s">
        <v>249</v>
      </c>
      <c r="D4" s="213" t="s">
        <v>250</v>
      </c>
      <c r="E4" s="214" t="s">
        <v>266</v>
      </c>
      <c r="F4" s="212" t="s">
        <v>249</v>
      </c>
      <c r="G4" s="213" t="s">
        <v>266</v>
      </c>
      <c r="H4" s="214" t="s">
        <v>250</v>
      </c>
      <c r="I4" s="6"/>
      <c r="J4" s="6"/>
      <c r="K4" s="6"/>
      <c r="L4" s="6"/>
      <c r="M4" s="9"/>
      <c r="N4" s="9"/>
    </row>
    <row r="5" spans="1:25" ht="15.75" thickBot="1">
      <c r="A5" s="9"/>
      <c r="B5" s="216" t="s">
        <v>247</v>
      </c>
      <c r="C5" s="216" t="s">
        <v>251</v>
      </c>
      <c r="D5" s="216" t="s">
        <v>173</v>
      </c>
      <c r="E5" s="217" t="s">
        <v>173</v>
      </c>
      <c r="F5" s="215" t="s">
        <v>405</v>
      </c>
      <c r="G5" s="218" t="s">
        <v>267</v>
      </c>
      <c r="H5" s="217" t="s">
        <v>252</v>
      </c>
      <c r="I5" s="9"/>
      <c r="J5" s="9"/>
      <c r="K5" s="9"/>
      <c r="L5" s="9"/>
      <c r="M5" s="9"/>
      <c r="N5" s="9"/>
    </row>
    <row r="6" spans="1:25">
      <c r="A6" s="9"/>
      <c r="B6" s="441">
        <v>0.2</v>
      </c>
      <c r="C6" s="246">
        <v>1.85</v>
      </c>
      <c r="D6" s="246">
        <v>0.04</v>
      </c>
      <c r="E6" s="307">
        <v>16</v>
      </c>
      <c r="F6" s="308">
        <f t="shared" ref="F6:F53" si="0">10*C6</f>
        <v>18.5</v>
      </c>
      <c r="G6" s="309">
        <f t="shared" ref="G6:G12" si="1">100*E6</f>
        <v>1600</v>
      </c>
      <c r="H6" s="309">
        <f t="shared" ref="H6:H53" si="2">100*D6</f>
        <v>4</v>
      </c>
      <c r="I6" s="9"/>
      <c r="J6" s="9"/>
      <c r="K6" s="9"/>
      <c r="L6" s="9"/>
      <c r="M6" s="9"/>
      <c r="N6" s="9"/>
    </row>
    <row r="7" spans="1:25">
      <c r="A7" s="9"/>
      <c r="B7" s="442">
        <v>0.4</v>
      </c>
      <c r="C7" s="231">
        <v>1.85</v>
      </c>
      <c r="D7" s="231">
        <v>7.0000000000000007E-2</v>
      </c>
      <c r="E7" s="310">
        <v>26</v>
      </c>
      <c r="F7" s="311">
        <f t="shared" si="0"/>
        <v>18.5</v>
      </c>
      <c r="G7" s="312">
        <f t="shared" si="1"/>
        <v>2600</v>
      </c>
      <c r="H7" s="312">
        <f t="shared" si="2"/>
        <v>7.0000000000000009</v>
      </c>
      <c r="I7" s="9"/>
      <c r="J7" s="9"/>
      <c r="K7" s="9"/>
      <c r="L7" s="9"/>
      <c r="M7" s="9"/>
      <c r="N7" s="9"/>
    </row>
    <row r="8" spans="1:25">
      <c r="A8" s="9"/>
      <c r="B8" s="442">
        <v>0.6</v>
      </c>
      <c r="C8" s="231">
        <v>1.85</v>
      </c>
      <c r="D8" s="231">
        <v>0.11</v>
      </c>
      <c r="E8" s="310">
        <v>30</v>
      </c>
      <c r="F8" s="311">
        <f t="shared" si="0"/>
        <v>18.5</v>
      </c>
      <c r="G8" s="312">
        <f t="shared" si="1"/>
        <v>3000</v>
      </c>
      <c r="H8" s="312">
        <f t="shared" si="2"/>
        <v>11</v>
      </c>
      <c r="I8" s="9"/>
      <c r="J8" s="9"/>
      <c r="K8" s="9"/>
      <c r="L8" s="9"/>
      <c r="M8" s="9"/>
      <c r="N8" s="9"/>
    </row>
    <row r="9" spans="1:25">
      <c r="A9" s="9"/>
      <c r="B9" s="442">
        <v>0.8</v>
      </c>
      <c r="C9" s="231">
        <v>1.85</v>
      </c>
      <c r="D9" s="231">
        <v>0.15</v>
      </c>
      <c r="E9" s="310">
        <v>25</v>
      </c>
      <c r="F9" s="311">
        <f t="shared" si="0"/>
        <v>18.5</v>
      </c>
      <c r="G9" s="312">
        <f t="shared" si="1"/>
        <v>2500</v>
      </c>
      <c r="H9" s="312">
        <f t="shared" si="2"/>
        <v>15</v>
      </c>
      <c r="I9" s="9"/>
      <c r="J9" s="9"/>
      <c r="K9" s="9"/>
      <c r="L9" s="9"/>
      <c r="M9" s="9"/>
      <c r="N9" s="9"/>
    </row>
    <row r="10" spans="1:25">
      <c r="A10" s="9"/>
      <c r="B10" s="443" t="s">
        <v>406</v>
      </c>
      <c r="C10" s="231">
        <v>1.85</v>
      </c>
      <c r="D10" s="231">
        <v>0.19</v>
      </c>
      <c r="E10" s="310">
        <v>17</v>
      </c>
      <c r="F10" s="311">
        <f t="shared" si="0"/>
        <v>18.5</v>
      </c>
      <c r="G10" s="312">
        <f t="shared" si="1"/>
        <v>1700</v>
      </c>
      <c r="H10" s="313">
        <f t="shared" si="2"/>
        <v>19</v>
      </c>
      <c r="I10" s="9"/>
      <c r="J10" s="9"/>
      <c r="K10" s="9"/>
      <c r="L10" s="9"/>
      <c r="M10" s="9"/>
      <c r="N10" s="9"/>
      <c r="W10" s="9"/>
      <c r="X10" s="9"/>
      <c r="Y10" s="9"/>
    </row>
    <row r="11" spans="1:25">
      <c r="A11" s="9"/>
      <c r="B11" s="444">
        <v>1.2</v>
      </c>
      <c r="C11" s="236">
        <v>1.85</v>
      </c>
      <c r="D11" s="236">
        <v>0.22</v>
      </c>
      <c r="E11" s="314">
        <v>12</v>
      </c>
      <c r="F11" s="315">
        <f t="shared" si="0"/>
        <v>18.5</v>
      </c>
      <c r="G11" s="316">
        <f t="shared" si="1"/>
        <v>1200</v>
      </c>
      <c r="H11" s="316">
        <f t="shared" si="2"/>
        <v>22</v>
      </c>
      <c r="I11" s="9"/>
      <c r="J11" s="9"/>
      <c r="K11" s="9"/>
      <c r="L11" s="9"/>
      <c r="M11" s="118"/>
      <c r="N11" s="9"/>
      <c r="W11" s="9"/>
      <c r="X11" s="9"/>
      <c r="Y11" s="9"/>
    </row>
    <row r="12" spans="1:25">
      <c r="A12" s="9"/>
      <c r="B12" s="442">
        <v>1.4</v>
      </c>
      <c r="C12" s="231">
        <v>1.85</v>
      </c>
      <c r="D12" s="231">
        <v>0.26</v>
      </c>
      <c r="E12" s="310">
        <v>24</v>
      </c>
      <c r="F12" s="311">
        <f t="shared" si="0"/>
        <v>18.5</v>
      </c>
      <c r="G12" s="312">
        <f t="shared" si="1"/>
        <v>2400</v>
      </c>
      <c r="H12" s="313">
        <f t="shared" si="2"/>
        <v>26</v>
      </c>
      <c r="I12" s="9"/>
      <c r="J12" s="9"/>
      <c r="K12" s="9"/>
      <c r="L12" s="9"/>
      <c r="M12" s="9"/>
      <c r="N12" s="9"/>
      <c r="W12" s="9"/>
      <c r="X12" s="6"/>
      <c r="Y12" s="9"/>
    </row>
    <row r="13" spans="1:25">
      <c r="A13" s="9"/>
      <c r="B13" s="444">
        <v>1.6</v>
      </c>
      <c r="C13" s="236">
        <v>1.85</v>
      </c>
      <c r="D13" s="236">
        <v>0.3</v>
      </c>
      <c r="E13" s="314">
        <v>20</v>
      </c>
      <c r="F13" s="315">
        <f t="shared" si="0"/>
        <v>18.5</v>
      </c>
      <c r="H13" s="316">
        <f t="shared" si="2"/>
        <v>30</v>
      </c>
      <c r="I13" s="9"/>
      <c r="J13" s="9"/>
      <c r="K13" s="9"/>
      <c r="L13" s="9"/>
      <c r="M13" s="9"/>
      <c r="N13" s="9"/>
      <c r="W13" s="9"/>
      <c r="X13" s="9"/>
      <c r="Y13" s="9"/>
    </row>
    <row r="14" spans="1:25">
      <c r="A14" s="9"/>
      <c r="B14" s="442">
        <v>1.8</v>
      </c>
      <c r="C14" s="231">
        <v>0.85</v>
      </c>
      <c r="D14" s="231">
        <v>0.31</v>
      </c>
      <c r="E14" s="310">
        <v>9</v>
      </c>
      <c r="F14" s="311">
        <f t="shared" si="0"/>
        <v>8.5</v>
      </c>
      <c r="H14" s="313">
        <f t="shared" si="2"/>
        <v>31</v>
      </c>
      <c r="I14" s="9"/>
      <c r="J14" s="9"/>
      <c r="K14" s="9"/>
      <c r="L14" s="9"/>
      <c r="M14" s="719"/>
      <c r="N14" s="719"/>
      <c r="W14" s="9"/>
      <c r="X14" s="9"/>
      <c r="Y14" s="9"/>
    </row>
    <row r="15" spans="1:25">
      <c r="A15" s="9"/>
      <c r="B15" s="445" t="s">
        <v>304</v>
      </c>
      <c r="C15" s="231">
        <v>0.96</v>
      </c>
      <c r="D15" s="231">
        <v>0.33</v>
      </c>
      <c r="E15" s="310">
        <v>76</v>
      </c>
      <c r="F15" s="311">
        <f t="shared" si="0"/>
        <v>9.6</v>
      </c>
      <c r="H15" s="313">
        <f t="shared" si="2"/>
        <v>33</v>
      </c>
      <c r="I15" s="9"/>
      <c r="J15" s="9"/>
      <c r="K15" s="9"/>
      <c r="L15" s="9"/>
      <c r="M15" s="9"/>
      <c r="N15" s="9"/>
      <c r="W15" s="9"/>
      <c r="X15" s="9"/>
      <c r="Y15" s="9"/>
    </row>
    <row r="16" spans="1:25">
      <c r="A16" s="9"/>
      <c r="B16" s="442">
        <v>2.2000000000000002</v>
      </c>
      <c r="C16" s="231">
        <v>0.87</v>
      </c>
      <c r="D16" s="231">
        <v>0.35</v>
      </c>
      <c r="E16" s="310">
        <v>11</v>
      </c>
      <c r="F16" s="311">
        <f t="shared" si="0"/>
        <v>8.6999999999999993</v>
      </c>
      <c r="H16" s="313">
        <f t="shared" si="2"/>
        <v>35</v>
      </c>
      <c r="I16" s="9"/>
      <c r="J16" s="9"/>
      <c r="K16" s="9"/>
      <c r="L16" s="9"/>
      <c r="M16" s="9"/>
      <c r="N16" s="9"/>
    </row>
    <row r="17" spans="1:14">
      <c r="A17" s="9"/>
      <c r="B17" s="442">
        <v>2.4</v>
      </c>
      <c r="C17" s="231">
        <v>0.82</v>
      </c>
      <c r="D17" s="231">
        <v>0.37</v>
      </c>
      <c r="E17" s="310">
        <v>6</v>
      </c>
      <c r="F17" s="311">
        <f t="shared" si="0"/>
        <v>8.1999999999999993</v>
      </c>
      <c r="H17" s="313">
        <f t="shared" si="2"/>
        <v>37</v>
      </c>
      <c r="I17" s="9"/>
      <c r="J17" s="9"/>
      <c r="K17" s="9"/>
      <c r="L17" s="9"/>
      <c r="M17" s="9"/>
      <c r="N17" s="9"/>
    </row>
    <row r="18" spans="1:14">
      <c r="A18" s="9"/>
      <c r="B18" s="442">
        <v>2.6</v>
      </c>
      <c r="C18" s="231">
        <v>0.8</v>
      </c>
      <c r="D18" s="231">
        <v>0.38</v>
      </c>
      <c r="E18" s="310">
        <v>5</v>
      </c>
      <c r="F18" s="311">
        <f t="shared" si="0"/>
        <v>8</v>
      </c>
      <c r="H18" s="313">
        <f t="shared" si="2"/>
        <v>38</v>
      </c>
      <c r="I18" s="9"/>
      <c r="J18" s="9"/>
      <c r="K18" s="9"/>
      <c r="L18" s="9"/>
      <c r="M18" s="9"/>
      <c r="N18" s="9"/>
    </row>
    <row r="19" spans="1:14">
      <c r="A19" s="9"/>
      <c r="B19" s="442">
        <v>2.8</v>
      </c>
      <c r="C19" s="231">
        <v>0.86</v>
      </c>
      <c r="D19" s="231">
        <v>0.4</v>
      </c>
      <c r="E19" s="310">
        <v>8</v>
      </c>
      <c r="F19" s="311">
        <f t="shared" si="0"/>
        <v>8.6</v>
      </c>
      <c r="H19" s="313">
        <f t="shared" si="2"/>
        <v>40</v>
      </c>
      <c r="I19" s="9"/>
      <c r="J19" s="9"/>
      <c r="K19" s="9"/>
      <c r="L19" s="9"/>
      <c r="M19" s="9"/>
      <c r="N19" s="9"/>
    </row>
    <row r="20" spans="1:14">
      <c r="A20" s="9"/>
      <c r="B20" s="445" t="s">
        <v>305</v>
      </c>
      <c r="C20" s="231">
        <v>0.89</v>
      </c>
      <c r="D20" s="231">
        <v>0.42</v>
      </c>
      <c r="E20" s="310">
        <v>36</v>
      </c>
      <c r="F20" s="311">
        <f t="shared" si="0"/>
        <v>8.9</v>
      </c>
      <c r="H20" s="313">
        <f t="shared" si="2"/>
        <v>42</v>
      </c>
      <c r="I20" s="9"/>
      <c r="J20" s="9"/>
      <c r="K20" s="9"/>
      <c r="L20" s="9"/>
      <c r="M20" s="9"/>
      <c r="N20" s="9"/>
    </row>
    <row r="21" spans="1:14">
      <c r="A21" s="9"/>
      <c r="B21" s="442">
        <v>3.2</v>
      </c>
      <c r="C21" s="231">
        <v>0.9</v>
      </c>
      <c r="D21" s="231">
        <v>0.43</v>
      </c>
      <c r="E21" s="310">
        <v>38</v>
      </c>
      <c r="F21" s="311">
        <f t="shared" si="0"/>
        <v>9</v>
      </c>
      <c r="H21" s="313">
        <f t="shared" si="2"/>
        <v>43</v>
      </c>
      <c r="I21" s="9"/>
      <c r="J21" s="9"/>
      <c r="K21" s="9"/>
      <c r="L21" s="9"/>
      <c r="M21" s="9"/>
      <c r="N21" s="9"/>
    </row>
    <row r="22" spans="1:14">
      <c r="A22" s="9"/>
      <c r="B22" s="442">
        <v>3.4</v>
      </c>
      <c r="C22" s="231">
        <v>0.92</v>
      </c>
      <c r="D22" s="231">
        <v>0.45</v>
      </c>
      <c r="E22" s="310">
        <v>52</v>
      </c>
      <c r="F22" s="311">
        <f t="shared" si="0"/>
        <v>9.2000000000000011</v>
      </c>
      <c r="H22" s="313">
        <f t="shared" si="2"/>
        <v>45</v>
      </c>
      <c r="I22" s="9"/>
      <c r="J22" s="9"/>
      <c r="K22" s="9"/>
      <c r="L22" s="9"/>
      <c r="M22" s="9"/>
      <c r="N22" s="9"/>
    </row>
    <row r="23" spans="1:14">
      <c r="A23" s="9"/>
      <c r="B23" s="442">
        <v>3.6</v>
      </c>
      <c r="C23" s="231">
        <v>0.89</v>
      </c>
      <c r="D23" s="231">
        <v>0.47</v>
      </c>
      <c r="E23" s="310">
        <v>36</v>
      </c>
      <c r="F23" s="311">
        <f t="shared" si="0"/>
        <v>8.9</v>
      </c>
      <c r="H23" s="313">
        <f t="shared" si="2"/>
        <v>47</v>
      </c>
      <c r="I23" s="9"/>
      <c r="J23" s="9"/>
      <c r="K23" s="9"/>
      <c r="L23" s="9"/>
      <c r="M23" s="9"/>
      <c r="N23" s="9"/>
    </row>
    <row r="24" spans="1:14">
      <c r="A24" s="9"/>
      <c r="B24" s="442">
        <v>3.8</v>
      </c>
      <c r="C24" s="231">
        <v>0.88</v>
      </c>
      <c r="D24" s="231">
        <v>0.49</v>
      </c>
      <c r="E24" s="310">
        <v>32</v>
      </c>
      <c r="F24" s="311">
        <f t="shared" si="0"/>
        <v>8.8000000000000007</v>
      </c>
      <c r="H24" s="313">
        <f t="shared" si="2"/>
        <v>49</v>
      </c>
      <c r="I24" s="9"/>
      <c r="J24" s="9"/>
      <c r="K24" s="9"/>
      <c r="L24" s="9"/>
      <c r="M24" s="9"/>
      <c r="N24" s="9"/>
    </row>
    <row r="25" spans="1:14">
      <c r="A25" s="9"/>
      <c r="B25" s="446" t="s">
        <v>311</v>
      </c>
      <c r="C25" s="231">
        <v>0.89</v>
      </c>
      <c r="D25" s="231">
        <v>0.51</v>
      </c>
      <c r="E25" s="310">
        <v>37</v>
      </c>
      <c r="F25" s="311">
        <f t="shared" si="0"/>
        <v>8.9</v>
      </c>
      <c r="H25" s="313">
        <f t="shared" si="2"/>
        <v>51</v>
      </c>
      <c r="I25" s="9"/>
      <c r="J25" s="9"/>
      <c r="K25" s="9"/>
      <c r="L25" s="9"/>
      <c r="M25" s="9"/>
      <c r="N25" s="9"/>
    </row>
    <row r="26" spans="1:14">
      <c r="A26" s="9"/>
      <c r="B26" s="442">
        <v>4.2</v>
      </c>
      <c r="C26" s="231">
        <v>0.86</v>
      </c>
      <c r="D26" s="231">
        <v>0.52</v>
      </c>
      <c r="E26" s="310">
        <v>22</v>
      </c>
      <c r="F26" s="311">
        <f t="shared" si="0"/>
        <v>8.6</v>
      </c>
      <c r="H26" s="313">
        <f t="shared" si="2"/>
        <v>52</v>
      </c>
      <c r="I26" s="9"/>
      <c r="J26" s="9"/>
      <c r="K26" s="9"/>
      <c r="L26" s="9"/>
      <c r="M26" s="9"/>
      <c r="N26" s="9"/>
    </row>
    <row r="27" spans="1:14">
      <c r="A27" s="9"/>
      <c r="B27" s="442">
        <v>4.4000000000000004</v>
      </c>
      <c r="C27" s="231">
        <v>0.87</v>
      </c>
      <c r="D27" s="231">
        <v>0.54</v>
      </c>
      <c r="E27" s="310">
        <v>26</v>
      </c>
      <c r="F27" s="311">
        <f t="shared" si="0"/>
        <v>8.6999999999999993</v>
      </c>
      <c r="H27" s="313">
        <f t="shared" si="2"/>
        <v>54</v>
      </c>
      <c r="I27" s="9"/>
      <c r="J27" s="9"/>
      <c r="K27" s="9"/>
      <c r="L27" s="9"/>
      <c r="M27" s="9"/>
      <c r="N27" s="9"/>
    </row>
    <row r="28" spans="1:14">
      <c r="A28" s="9"/>
      <c r="B28" s="442">
        <v>4.5999999999999996</v>
      </c>
      <c r="C28" s="231">
        <v>0.87</v>
      </c>
      <c r="D28" s="231">
        <v>0.56000000000000005</v>
      </c>
      <c r="E28" s="310">
        <v>27</v>
      </c>
      <c r="F28" s="311">
        <f t="shared" si="0"/>
        <v>8.6999999999999993</v>
      </c>
      <c r="H28" s="313">
        <f t="shared" si="2"/>
        <v>56.000000000000007</v>
      </c>
      <c r="I28" s="9"/>
      <c r="J28" s="9"/>
      <c r="K28" s="9"/>
      <c r="L28" s="9"/>
      <c r="M28" s="9"/>
      <c r="N28" s="9"/>
    </row>
    <row r="29" spans="1:14">
      <c r="A29" s="9"/>
      <c r="B29" s="442">
        <v>4.8</v>
      </c>
      <c r="C29" s="231">
        <v>0.87</v>
      </c>
      <c r="D29" s="231">
        <v>0.57999999999999996</v>
      </c>
      <c r="E29" s="310">
        <v>28</v>
      </c>
      <c r="F29" s="311">
        <f t="shared" si="0"/>
        <v>8.6999999999999993</v>
      </c>
      <c r="H29" s="313">
        <f t="shared" si="2"/>
        <v>57.999999999999993</v>
      </c>
      <c r="I29" s="9"/>
      <c r="J29" s="9"/>
      <c r="K29" s="9"/>
      <c r="L29" s="9"/>
      <c r="M29" s="9"/>
      <c r="N29" s="9"/>
    </row>
    <row r="30" spans="1:14">
      <c r="A30" s="9"/>
      <c r="B30" s="445" t="s">
        <v>312</v>
      </c>
      <c r="C30" s="231">
        <v>0.95</v>
      </c>
      <c r="D30" s="231">
        <v>0.59</v>
      </c>
      <c r="E30" s="310">
        <v>26</v>
      </c>
      <c r="F30" s="311">
        <f t="shared" si="0"/>
        <v>9.5</v>
      </c>
      <c r="H30" s="313">
        <f t="shared" si="2"/>
        <v>59</v>
      </c>
      <c r="I30" s="9"/>
      <c r="J30" s="9"/>
      <c r="K30" s="9"/>
      <c r="L30" s="9"/>
      <c r="M30" s="9"/>
      <c r="N30" s="9"/>
    </row>
    <row r="31" spans="1:14">
      <c r="A31" s="9"/>
      <c r="B31" s="442">
        <v>5.2</v>
      </c>
      <c r="C31" s="231">
        <v>0.9</v>
      </c>
      <c r="D31" s="231">
        <v>0.61</v>
      </c>
      <c r="E31" s="310">
        <v>38</v>
      </c>
      <c r="F31" s="311">
        <f t="shared" si="0"/>
        <v>9</v>
      </c>
      <c r="H31" s="313">
        <f t="shared" si="2"/>
        <v>61</v>
      </c>
      <c r="I31" s="9"/>
      <c r="J31" s="9"/>
      <c r="K31" s="9"/>
      <c r="L31" s="9"/>
      <c r="M31" s="9"/>
      <c r="N31" s="9"/>
    </row>
    <row r="32" spans="1:14">
      <c r="A32" s="9"/>
      <c r="B32" s="442">
        <v>5.4</v>
      </c>
      <c r="C32" s="231">
        <v>0.91</v>
      </c>
      <c r="D32" s="231">
        <v>0.63</v>
      </c>
      <c r="E32" s="310">
        <v>48</v>
      </c>
      <c r="F32" s="311">
        <f t="shared" si="0"/>
        <v>9.1</v>
      </c>
      <c r="H32" s="313">
        <f t="shared" si="2"/>
        <v>63</v>
      </c>
      <c r="I32" s="9"/>
      <c r="J32" s="9"/>
      <c r="K32" s="9"/>
      <c r="L32" s="9"/>
      <c r="M32" s="9"/>
      <c r="N32" s="9"/>
    </row>
    <row r="33" spans="1:33">
      <c r="A33" s="9"/>
      <c r="B33" s="442">
        <v>5.6</v>
      </c>
      <c r="C33" s="231">
        <v>0.9</v>
      </c>
      <c r="D33" s="231">
        <v>0.65</v>
      </c>
      <c r="E33" s="310">
        <v>42</v>
      </c>
      <c r="F33" s="311">
        <f t="shared" si="0"/>
        <v>9</v>
      </c>
      <c r="H33" s="313">
        <f t="shared" si="2"/>
        <v>65</v>
      </c>
      <c r="I33" s="405"/>
      <c r="J33" s="9"/>
      <c r="K33" s="9"/>
      <c r="L33" s="9"/>
      <c r="M33" s="9"/>
      <c r="N33" s="9"/>
    </row>
    <row r="34" spans="1:33">
      <c r="A34" s="9"/>
      <c r="B34" s="442">
        <v>5.8</v>
      </c>
      <c r="C34" s="231">
        <v>0.88</v>
      </c>
      <c r="D34" s="231">
        <v>0.67</v>
      </c>
      <c r="E34" s="310">
        <v>30</v>
      </c>
      <c r="F34" s="311">
        <f t="shared" si="0"/>
        <v>8.8000000000000007</v>
      </c>
      <c r="H34" s="313">
        <f t="shared" si="2"/>
        <v>67</v>
      </c>
      <c r="I34" s="9"/>
      <c r="J34" s="9"/>
      <c r="K34" s="9"/>
      <c r="L34" s="9"/>
      <c r="M34" s="9"/>
      <c r="N34" s="9"/>
    </row>
    <row r="35" spans="1:33">
      <c r="A35" s="9"/>
      <c r="B35" s="445" t="s">
        <v>313</v>
      </c>
      <c r="C35" s="231">
        <v>0.88</v>
      </c>
      <c r="D35" s="231">
        <v>0.68</v>
      </c>
      <c r="E35" s="310">
        <v>32</v>
      </c>
      <c r="F35" s="311">
        <f t="shared" si="0"/>
        <v>8.8000000000000007</v>
      </c>
      <c r="H35" s="313">
        <f t="shared" si="2"/>
        <v>68</v>
      </c>
      <c r="I35" s="9"/>
      <c r="J35" s="9"/>
      <c r="K35" s="9"/>
      <c r="L35" s="9"/>
      <c r="M35" s="9"/>
      <c r="N35" s="9"/>
    </row>
    <row r="36" spans="1:33" ht="18.75" customHeight="1">
      <c r="A36" s="9"/>
      <c r="B36" s="442">
        <v>6.2</v>
      </c>
      <c r="C36" s="231">
        <v>0.89</v>
      </c>
      <c r="D36" s="231">
        <v>0.7</v>
      </c>
      <c r="E36" s="310">
        <v>37</v>
      </c>
      <c r="F36" s="311">
        <f t="shared" si="0"/>
        <v>8.9</v>
      </c>
      <c r="H36" s="313">
        <f t="shared" si="2"/>
        <v>70</v>
      </c>
      <c r="I36" s="9"/>
      <c r="J36" s="9"/>
      <c r="K36" s="9"/>
      <c r="L36" s="9"/>
      <c r="M36" s="9"/>
      <c r="N36" s="9"/>
    </row>
    <row r="37" spans="1:33">
      <c r="A37" s="9"/>
      <c r="B37" s="442">
        <v>6.4</v>
      </c>
      <c r="C37" s="231">
        <v>0.9</v>
      </c>
      <c r="D37" s="231">
        <v>0.72</v>
      </c>
      <c r="E37" s="310">
        <v>41</v>
      </c>
      <c r="F37" s="311">
        <f t="shared" si="0"/>
        <v>9</v>
      </c>
      <c r="H37" s="313">
        <f t="shared" si="2"/>
        <v>72</v>
      </c>
      <c r="I37" s="9"/>
      <c r="J37" s="9"/>
      <c r="K37" s="9"/>
      <c r="L37" s="9"/>
      <c r="M37" s="9"/>
      <c r="N37" s="9"/>
    </row>
    <row r="38" spans="1:33">
      <c r="A38" s="9"/>
      <c r="B38" s="442">
        <v>6.6</v>
      </c>
      <c r="C38" s="231">
        <v>0.88</v>
      </c>
      <c r="D38" s="231">
        <v>0.74</v>
      </c>
      <c r="E38" s="310">
        <v>33</v>
      </c>
      <c r="F38" s="311">
        <f t="shared" si="0"/>
        <v>8.8000000000000007</v>
      </c>
      <c r="H38" s="313">
        <f t="shared" si="2"/>
        <v>74</v>
      </c>
      <c r="I38" s="9"/>
      <c r="J38" s="9"/>
      <c r="K38" s="9"/>
      <c r="L38" s="9"/>
      <c r="M38" s="9"/>
      <c r="N38" s="9"/>
    </row>
    <row r="39" spans="1:33">
      <c r="A39" s="9"/>
      <c r="B39" s="442">
        <v>6.8</v>
      </c>
      <c r="C39" s="231">
        <v>0.87</v>
      </c>
      <c r="D39" s="231">
        <v>0.75</v>
      </c>
      <c r="E39" s="310">
        <v>26</v>
      </c>
      <c r="F39" s="311">
        <f t="shared" si="0"/>
        <v>8.6999999999999993</v>
      </c>
      <c r="H39" s="313">
        <f t="shared" si="2"/>
        <v>75</v>
      </c>
      <c r="I39" s="9"/>
      <c r="J39" s="9"/>
      <c r="K39" s="9"/>
      <c r="L39" s="9"/>
      <c r="M39" s="9"/>
      <c r="N39" s="9"/>
    </row>
    <row r="40" spans="1:33">
      <c r="A40" s="9"/>
      <c r="B40" s="445" t="s">
        <v>314</v>
      </c>
      <c r="C40" s="231">
        <v>0.93</v>
      </c>
      <c r="D40" s="231">
        <v>0.77</v>
      </c>
      <c r="E40" s="310">
        <v>20</v>
      </c>
      <c r="F40" s="311">
        <f t="shared" si="0"/>
        <v>9.3000000000000007</v>
      </c>
      <c r="H40" s="313">
        <f t="shared" si="2"/>
        <v>77</v>
      </c>
      <c r="I40" s="9"/>
      <c r="J40" s="9"/>
      <c r="K40" s="9"/>
      <c r="L40" s="9"/>
      <c r="M40" s="9"/>
      <c r="N40" s="9"/>
    </row>
    <row r="41" spans="1:33" ht="18" customHeight="1">
      <c r="A41" s="9"/>
      <c r="B41" s="442">
        <v>7.2</v>
      </c>
      <c r="C41" s="231">
        <v>0.9</v>
      </c>
      <c r="D41" s="231">
        <v>0.79</v>
      </c>
      <c r="E41" s="310">
        <v>10</v>
      </c>
      <c r="F41" s="311">
        <f t="shared" si="0"/>
        <v>9</v>
      </c>
      <c r="H41" s="313">
        <f t="shared" si="2"/>
        <v>79</v>
      </c>
      <c r="I41" s="405"/>
      <c r="J41" s="405"/>
      <c r="K41" s="405"/>
      <c r="L41" s="405"/>
      <c r="M41" s="9"/>
      <c r="N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1:33" ht="18" customHeight="1">
      <c r="A42" s="9"/>
      <c r="B42" s="442">
        <v>7.4</v>
      </c>
      <c r="C42" s="231">
        <v>0.9</v>
      </c>
      <c r="D42" s="231">
        <v>0.81</v>
      </c>
      <c r="E42" s="310">
        <v>40</v>
      </c>
      <c r="F42" s="311">
        <f t="shared" si="0"/>
        <v>9</v>
      </c>
      <c r="H42" s="313">
        <f t="shared" si="2"/>
        <v>81</v>
      </c>
      <c r="I42" s="9"/>
      <c r="J42" s="9"/>
      <c r="K42" s="9"/>
      <c r="L42" s="9"/>
      <c r="M42" s="9"/>
      <c r="N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spans="1:33">
      <c r="A43" s="9"/>
      <c r="B43" s="442">
        <v>7.6</v>
      </c>
      <c r="C43" s="231">
        <v>0.89</v>
      </c>
      <c r="D43" s="231">
        <v>0.83</v>
      </c>
      <c r="E43" s="310">
        <v>35</v>
      </c>
      <c r="F43" s="311">
        <f t="shared" si="0"/>
        <v>8.9</v>
      </c>
      <c r="H43" s="313">
        <f t="shared" si="2"/>
        <v>83</v>
      </c>
      <c r="I43" s="9"/>
      <c r="J43" s="9"/>
      <c r="K43" s="9"/>
      <c r="L43" s="9"/>
      <c r="M43" s="9"/>
      <c r="N43" s="9"/>
      <c r="V43" s="221"/>
      <c r="W43" s="9"/>
      <c r="X43" s="9"/>
      <c r="Y43" s="9"/>
      <c r="Z43" s="9"/>
      <c r="AA43" s="9"/>
      <c r="AB43" s="9"/>
      <c r="AC43" s="9"/>
      <c r="AD43" s="208"/>
      <c r="AE43" s="269"/>
      <c r="AF43" s="9"/>
      <c r="AG43" s="9"/>
    </row>
    <row r="44" spans="1:33">
      <c r="A44" s="9"/>
      <c r="B44" s="442">
        <v>7.8</v>
      </c>
      <c r="C44" s="231">
        <v>0.91</v>
      </c>
      <c r="D44" s="231">
        <v>0.85</v>
      </c>
      <c r="E44" s="310">
        <v>44</v>
      </c>
      <c r="F44" s="311">
        <f t="shared" si="0"/>
        <v>9.1</v>
      </c>
      <c r="H44" s="313">
        <f t="shared" si="2"/>
        <v>85</v>
      </c>
      <c r="I44" s="9"/>
      <c r="J44" s="9"/>
      <c r="K44" s="9"/>
      <c r="L44" s="9"/>
      <c r="M44" s="9"/>
      <c r="N44" s="9"/>
      <c r="W44" s="9"/>
      <c r="X44" s="9"/>
      <c r="Y44" s="9"/>
      <c r="Z44" s="9"/>
      <c r="AA44" s="9"/>
      <c r="AB44" s="9"/>
      <c r="AC44" s="9"/>
      <c r="AD44" s="208"/>
      <c r="AE44" s="269"/>
      <c r="AF44" s="9"/>
      <c r="AG44" s="9"/>
    </row>
    <row r="45" spans="1:33">
      <c r="A45" s="9"/>
      <c r="B45" s="445" t="s">
        <v>315</v>
      </c>
      <c r="C45" s="231">
        <v>0.89</v>
      </c>
      <c r="D45" s="231">
        <v>0.86</v>
      </c>
      <c r="E45" s="310">
        <v>37</v>
      </c>
      <c r="F45" s="311">
        <f t="shared" si="0"/>
        <v>8.9</v>
      </c>
      <c r="H45" s="313">
        <f t="shared" si="2"/>
        <v>86</v>
      </c>
      <c r="I45" s="9"/>
      <c r="J45" s="405"/>
      <c r="K45" s="9"/>
      <c r="L45" s="9"/>
      <c r="M45" s="9"/>
      <c r="N45" s="9"/>
      <c r="V45" s="221"/>
      <c r="W45" s="9"/>
      <c r="X45" s="9"/>
      <c r="Y45" s="9"/>
      <c r="Z45" s="9"/>
      <c r="AA45" s="9"/>
      <c r="AB45" s="9"/>
      <c r="AC45" s="9"/>
      <c r="AD45" s="208"/>
      <c r="AE45" s="269"/>
      <c r="AF45" s="9"/>
      <c r="AG45" s="9"/>
    </row>
    <row r="46" spans="1:33">
      <c r="A46" s="9"/>
      <c r="B46" s="442">
        <v>8.1999999999999993</v>
      </c>
      <c r="C46" s="231">
        <v>0.92</v>
      </c>
      <c r="D46" s="231">
        <v>0.88</v>
      </c>
      <c r="E46" s="310">
        <v>49</v>
      </c>
      <c r="F46" s="311">
        <f t="shared" si="0"/>
        <v>9.2000000000000011</v>
      </c>
      <c r="G46" s="313">
        <f t="shared" ref="G46:G53" si="3">100*E46</f>
        <v>4900</v>
      </c>
      <c r="H46" s="313">
        <f t="shared" si="2"/>
        <v>88</v>
      </c>
      <c r="I46" s="9"/>
      <c r="J46" s="9"/>
      <c r="K46" s="9"/>
      <c r="L46" s="9"/>
      <c r="M46" s="9"/>
      <c r="N46" s="9"/>
      <c r="V46" s="221"/>
      <c r="W46" s="9"/>
      <c r="X46" s="9"/>
      <c r="Y46" s="9"/>
      <c r="Z46" s="9"/>
      <c r="AA46" s="9"/>
      <c r="AB46" s="9"/>
      <c r="AC46" s="9"/>
      <c r="AD46" s="208"/>
      <c r="AE46" s="269"/>
      <c r="AF46" s="9"/>
      <c r="AG46" s="9"/>
    </row>
    <row r="47" spans="1:33" ht="14.25" customHeight="1">
      <c r="A47" s="9"/>
      <c r="B47" s="442">
        <v>8.4</v>
      </c>
      <c r="C47" s="231">
        <v>0.93</v>
      </c>
      <c r="D47" s="231">
        <v>0.9</v>
      </c>
      <c r="E47" s="310">
        <v>56</v>
      </c>
      <c r="F47" s="311">
        <f t="shared" si="0"/>
        <v>9.3000000000000007</v>
      </c>
      <c r="G47" s="313">
        <f t="shared" si="3"/>
        <v>5600</v>
      </c>
      <c r="H47" s="313">
        <f t="shared" si="2"/>
        <v>90</v>
      </c>
      <c r="I47" s="9"/>
      <c r="J47" s="9"/>
      <c r="K47" s="9"/>
      <c r="L47" s="9"/>
      <c r="M47" s="9"/>
      <c r="N47" s="9"/>
      <c r="V47" s="221"/>
      <c r="W47" s="9"/>
      <c r="X47" s="9"/>
      <c r="Y47" s="262"/>
      <c r="Z47" s="262"/>
      <c r="AA47" s="9"/>
      <c r="AB47" s="9"/>
      <c r="AC47" s="9"/>
      <c r="AD47" s="208"/>
      <c r="AE47" s="269"/>
      <c r="AF47" s="9"/>
      <c r="AG47" s="9"/>
    </row>
    <row r="48" spans="1:33">
      <c r="A48" s="9"/>
      <c r="B48" s="231">
        <v>8.6</v>
      </c>
      <c r="C48" s="231">
        <v>0.93</v>
      </c>
      <c r="D48" s="231">
        <v>0.92</v>
      </c>
      <c r="E48" s="310">
        <v>55</v>
      </c>
      <c r="F48" s="311">
        <f t="shared" si="0"/>
        <v>9.3000000000000007</v>
      </c>
      <c r="G48" s="313">
        <f t="shared" si="3"/>
        <v>5500</v>
      </c>
      <c r="H48" s="313">
        <f t="shared" si="2"/>
        <v>92</v>
      </c>
      <c r="I48" s="9"/>
      <c r="J48" s="9"/>
      <c r="K48" s="9"/>
      <c r="L48" s="9"/>
      <c r="M48" s="9"/>
      <c r="N48" s="9"/>
      <c r="V48" s="221"/>
      <c r="W48" s="9"/>
      <c r="X48" s="9"/>
      <c r="Y48" s="262"/>
      <c r="Z48" s="262"/>
      <c r="AA48" s="9"/>
      <c r="AB48" s="9"/>
      <c r="AC48" s="9"/>
      <c r="AD48" s="208"/>
      <c r="AE48" s="269"/>
      <c r="AF48" s="9"/>
      <c r="AG48" s="9"/>
    </row>
    <row r="49" spans="2:37">
      <c r="B49" s="231">
        <v>8.8000000000000007</v>
      </c>
      <c r="C49" s="231">
        <v>0.94</v>
      </c>
      <c r="D49" s="231">
        <v>0.94</v>
      </c>
      <c r="E49" s="310">
        <v>66</v>
      </c>
      <c r="F49" s="311">
        <f t="shared" si="0"/>
        <v>9.3999999999999986</v>
      </c>
      <c r="G49" s="313">
        <f t="shared" si="3"/>
        <v>6600</v>
      </c>
      <c r="H49" s="313">
        <f t="shared" si="2"/>
        <v>94</v>
      </c>
      <c r="V49" s="221"/>
      <c r="W49" s="9"/>
      <c r="X49" s="9"/>
      <c r="Y49" s="262"/>
      <c r="Z49" s="262"/>
      <c r="AA49" s="9"/>
      <c r="AB49" s="9"/>
      <c r="AC49" s="9"/>
      <c r="AD49" s="9"/>
      <c r="AE49" s="9"/>
      <c r="AF49" s="9"/>
      <c r="AG49" s="9"/>
    </row>
    <row r="50" spans="2:37">
      <c r="B50" s="306" t="s">
        <v>316</v>
      </c>
      <c r="C50" s="231">
        <v>0.92</v>
      </c>
      <c r="D50" s="231">
        <v>0.96</v>
      </c>
      <c r="E50" s="310">
        <v>50</v>
      </c>
      <c r="F50" s="311">
        <f t="shared" si="0"/>
        <v>9.2000000000000011</v>
      </c>
      <c r="G50" s="313">
        <f t="shared" si="3"/>
        <v>5000</v>
      </c>
      <c r="H50" s="313">
        <f t="shared" si="2"/>
        <v>96</v>
      </c>
      <c r="V50" s="221"/>
      <c r="W50" s="9"/>
      <c r="X50" s="405"/>
      <c r="Y50" s="262"/>
      <c r="Z50" s="262"/>
      <c r="AA50" s="9"/>
      <c r="AB50" s="9"/>
      <c r="AC50" s="9"/>
      <c r="AD50" s="9"/>
      <c r="AE50" s="9"/>
      <c r="AF50" s="9"/>
      <c r="AG50" s="9"/>
    </row>
    <row r="51" spans="2:37">
      <c r="B51" s="231">
        <v>9.1999999999999993</v>
      </c>
      <c r="C51" s="231">
        <v>0.94</v>
      </c>
      <c r="D51" s="231">
        <v>0.97</v>
      </c>
      <c r="E51" s="310">
        <v>64</v>
      </c>
      <c r="F51" s="311">
        <f t="shared" si="0"/>
        <v>9.3999999999999986</v>
      </c>
      <c r="G51" s="313">
        <f t="shared" si="3"/>
        <v>6400</v>
      </c>
      <c r="H51" s="313">
        <f t="shared" si="2"/>
        <v>97</v>
      </c>
      <c r="V51" s="221"/>
      <c r="W51" s="9"/>
      <c r="X51" s="405"/>
      <c r="Y51" s="262"/>
      <c r="Z51" s="9"/>
      <c r="AA51" s="9"/>
      <c r="AB51" s="9"/>
      <c r="AC51" s="9"/>
      <c r="AD51" s="9"/>
      <c r="AE51" s="9"/>
      <c r="AF51" s="9"/>
      <c r="AG51" s="9"/>
    </row>
    <row r="52" spans="2:37">
      <c r="B52" s="231">
        <v>9.4</v>
      </c>
      <c r="C52" s="231">
        <v>0.95</v>
      </c>
      <c r="D52" s="231">
        <v>0.99</v>
      </c>
      <c r="E52" s="310">
        <v>68</v>
      </c>
      <c r="F52" s="311">
        <f t="shared" si="0"/>
        <v>9.5</v>
      </c>
      <c r="G52" s="313">
        <f t="shared" si="3"/>
        <v>6800</v>
      </c>
      <c r="H52" s="313">
        <f t="shared" si="2"/>
        <v>99</v>
      </c>
      <c r="V52" s="221"/>
      <c r="W52" s="9"/>
      <c r="X52" s="405"/>
      <c r="Y52" s="262"/>
      <c r="Z52" s="9"/>
      <c r="AA52" s="9"/>
      <c r="AB52" s="9"/>
      <c r="AC52" s="9"/>
      <c r="AD52" s="9"/>
      <c r="AE52" s="9"/>
      <c r="AF52" s="9"/>
      <c r="AG52" s="9"/>
    </row>
    <row r="53" spans="2:37">
      <c r="B53" s="231">
        <v>9.6</v>
      </c>
      <c r="C53" s="231">
        <v>0.95</v>
      </c>
      <c r="D53" s="231">
        <v>1.01</v>
      </c>
      <c r="E53" s="310">
        <v>72</v>
      </c>
      <c r="F53" s="311">
        <f t="shared" si="0"/>
        <v>9.5</v>
      </c>
      <c r="G53" s="313">
        <f t="shared" si="3"/>
        <v>7200</v>
      </c>
      <c r="H53" s="313">
        <f t="shared" si="2"/>
        <v>101</v>
      </c>
      <c r="V53" s="221"/>
      <c r="W53" s="9"/>
      <c r="X53" s="405"/>
      <c r="Y53" s="262"/>
      <c r="Z53" s="9"/>
      <c r="AA53" s="9"/>
      <c r="AB53" s="6"/>
      <c r="AC53" s="6"/>
      <c r="AD53" s="9"/>
      <c r="AE53" s="9"/>
      <c r="AF53" s="9"/>
      <c r="AG53" s="9"/>
    </row>
    <row r="54" spans="2:37">
      <c r="V54" s="6"/>
      <c r="W54" s="9"/>
      <c r="X54" s="405"/>
      <c r="Y54" s="9"/>
      <c r="Z54" s="9"/>
      <c r="AA54" s="9"/>
      <c r="AB54" s="9"/>
      <c r="AC54" s="9"/>
      <c r="AD54" s="9"/>
      <c r="AE54" s="9"/>
      <c r="AF54" s="9"/>
      <c r="AG54" s="9"/>
    </row>
    <row r="55" spans="2:37">
      <c r="O55" s="220"/>
      <c r="P55" s="220"/>
      <c r="Q55" s="220"/>
      <c r="R55" s="220"/>
      <c r="S55" s="220"/>
      <c r="T55" s="220"/>
      <c r="U55" s="220"/>
      <c r="V55" s="220"/>
      <c r="W55" s="220"/>
      <c r="X55" s="405"/>
      <c r="Y55" s="220"/>
      <c r="Z55" s="220"/>
      <c r="AA55" s="9"/>
      <c r="AB55" s="9"/>
      <c r="AC55" s="9"/>
      <c r="AD55" s="9"/>
      <c r="AE55" s="9"/>
      <c r="AF55" s="9"/>
      <c r="AG55" s="9"/>
    </row>
    <row r="56" spans="2:37">
      <c r="O56" s="220"/>
      <c r="Q56" s="223"/>
      <c r="R56" s="224"/>
      <c r="U56" s="220"/>
      <c r="V56" s="220"/>
      <c r="W56" s="220"/>
      <c r="X56" s="405"/>
      <c r="Y56" s="220"/>
      <c r="Z56" s="220"/>
      <c r="AA56" s="9"/>
      <c r="AB56" s="9"/>
      <c r="AC56" s="9"/>
      <c r="AD56" s="9"/>
      <c r="AE56" s="9"/>
      <c r="AF56" s="9"/>
      <c r="AG56" s="9"/>
    </row>
    <row r="57" spans="2:37">
      <c r="U57" s="220"/>
      <c r="V57" s="220"/>
      <c r="W57" s="220"/>
      <c r="X57" s="405"/>
      <c r="Y57" s="220"/>
      <c r="Z57" s="220"/>
      <c r="AA57" s="9"/>
      <c r="AB57" s="9"/>
      <c r="AC57" s="9"/>
      <c r="AD57" s="9"/>
      <c r="AE57" s="9"/>
      <c r="AF57" s="9"/>
      <c r="AG57" s="9"/>
    </row>
    <row r="58" spans="2:37" ht="15.75" thickBot="1">
      <c r="U58" s="220"/>
      <c r="V58" s="220"/>
      <c r="W58" s="220"/>
      <c r="X58" s="405"/>
      <c r="Y58" s="220"/>
      <c r="Z58" s="220"/>
      <c r="AA58" s="9"/>
      <c r="AB58" s="9"/>
      <c r="AC58" s="9"/>
      <c r="AD58" s="9"/>
      <c r="AE58" s="9"/>
      <c r="AF58" s="9"/>
      <c r="AG58" s="9"/>
    </row>
    <row r="59" spans="2:37" ht="15.75" thickBot="1">
      <c r="D59" s="720" t="s">
        <v>336</v>
      </c>
      <c r="E59" s="721"/>
      <c r="F59" s="721"/>
      <c r="G59" s="721"/>
      <c r="H59" s="721"/>
      <c r="I59" s="721"/>
      <c r="J59" s="721"/>
      <c r="K59" s="721"/>
      <c r="L59" s="721"/>
      <c r="M59" s="721"/>
      <c r="N59" s="722"/>
      <c r="W59" s="9"/>
      <c r="X59" s="405"/>
      <c r="Y59" s="9"/>
      <c r="Z59" s="9"/>
      <c r="AA59" s="9"/>
      <c r="AB59" s="9"/>
      <c r="AC59" s="9"/>
      <c r="AD59" s="9"/>
      <c r="AE59" s="9"/>
      <c r="AF59" s="9"/>
      <c r="AG59" s="9"/>
    </row>
    <row r="60" spans="2:37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9"/>
      <c r="N60" s="9"/>
      <c r="T60" s="9"/>
      <c r="U60" s="9"/>
      <c r="V60" s="9"/>
      <c r="W60" s="9"/>
      <c r="X60" s="405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</row>
    <row r="61" spans="2:37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9"/>
      <c r="N61" s="9"/>
      <c r="T61" s="6"/>
      <c r="U61" s="6"/>
      <c r="V61" s="9"/>
      <c r="W61" s="9"/>
      <c r="X61" s="405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</row>
    <row r="62" spans="2:37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T62" s="265"/>
      <c r="U62" s="265"/>
      <c r="V62" s="9"/>
      <c r="W62" s="9"/>
      <c r="X62" s="405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</row>
    <row r="63" spans="2:37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T63" s="221"/>
      <c r="U63" s="265"/>
      <c r="V63" s="9"/>
      <c r="W63" s="9"/>
      <c r="X63" s="405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</row>
    <row r="64" spans="2:37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T64" s="118"/>
      <c r="U64" s="118"/>
      <c r="V64" s="9"/>
      <c r="W64" s="9"/>
      <c r="X64" s="405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</row>
    <row r="65" spans="2:37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T65" s="118"/>
      <c r="U65" s="118"/>
      <c r="V65" s="9"/>
      <c r="W65" s="9"/>
      <c r="X65" s="405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</row>
    <row r="66" spans="2:37">
      <c r="B66" s="9"/>
      <c r="C66" s="9"/>
      <c r="K66" s="211"/>
      <c r="L66" s="9"/>
      <c r="M66" s="211"/>
      <c r="N66" s="9"/>
      <c r="O66" s="9"/>
      <c r="T66" s="118"/>
      <c r="U66" s="118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</row>
    <row r="67" spans="2:37">
      <c r="B67" s="9"/>
      <c r="C67" s="9"/>
      <c r="K67" s="435"/>
      <c r="L67" s="9"/>
      <c r="M67" s="9"/>
      <c r="N67" s="9"/>
      <c r="O67" s="9"/>
      <c r="T67" s="118"/>
      <c r="U67" s="118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</row>
    <row r="68" spans="2:37">
      <c r="B68" s="220"/>
      <c r="K68" s="435"/>
      <c r="L68" s="9"/>
      <c r="M68" s="118"/>
      <c r="N68" s="9"/>
      <c r="O68" s="9"/>
      <c r="T68" s="118"/>
      <c r="U68" s="118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</row>
    <row r="69" spans="2:37">
      <c r="B69" s="220"/>
      <c r="K69" s="435"/>
      <c r="L69" s="9"/>
      <c r="M69" s="9"/>
      <c r="N69" s="9"/>
      <c r="O69" s="9"/>
      <c r="T69" s="118"/>
      <c r="U69" s="118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</row>
    <row r="70" spans="2:37">
      <c r="K70" s="435"/>
      <c r="L70" s="9"/>
      <c r="M70" s="9"/>
      <c r="N70" s="9"/>
      <c r="O70" s="9"/>
      <c r="T70" s="118"/>
      <c r="U70" s="118"/>
      <c r="V70" s="9"/>
      <c r="W70" s="9"/>
      <c r="X70" s="257"/>
      <c r="Y70" s="257"/>
      <c r="Z70" s="257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</row>
    <row r="71" spans="2:37">
      <c r="B71" s="9"/>
      <c r="C71" s="9"/>
      <c r="K71" s="435"/>
      <c r="L71" s="9"/>
      <c r="M71" s="9"/>
      <c r="N71" s="9"/>
      <c r="O71" s="9"/>
      <c r="T71" s="118"/>
      <c r="U71" s="118"/>
      <c r="V71" s="257"/>
      <c r="W71" s="9"/>
      <c r="X71" s="257"/>
      <c r="Y71" s="208"/>
      <c r="Z71" s="26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</row>
    <row r="72" spans="2:37">
      <c r="B72" s="9"/>
      <c r="C72" s="9"/>
      <c r="K72" s="435"/>
      <c r="L72" s="9"/>
      <c r="M72" s="9"/>
      <c r="N72" s="9"/>
      <c r="O72" s="9"/>
      <c r="T72" s="118"/>
      <c r="U72" s="118"/>
      <c r="V72" s="257"/>
      <c r="W72" s="9"/>
      <c r="X72" s="257"/>
      <c r="Y72" s="208"/>
      <c r="Z72" s="26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</row>
    <row r="73" spans="2:37">
      <c r="B73" s="265"/>
      <c r="C73" s="265"/>
      <c r="K73" s="255"/>
      <c r="M73" s="9"/>
      <c r="N73" s="9"/>
      <c r="T73" s="118"/>
      <c r="U73" s="118"/>
      <c r="V73" s="9"/>
      <c r="W73" s="9"/>
      <c r="X73" s="257"/>
      <c r="Y73" s="208"/>
      <c r="Z73" s="26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</row>
    <row r="74" spans="2:37">
      <c r="B74" s="265"/>
      <c r="C74" s="265"/>
      <c r="K74" s="255"/>
      <c r="M74" s="9"/>
      <c r="N74" s="9"/>
      <c r="T74" s="118"/>
      <c r="U74" s="118"/>
      <c r="V74" s="9"/>
      <c r="W74" s="9"/>
      <c r="X74" s="257"/>
      <c r="Y74" s="208"/>
      <c r="Z74" s="26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</row>
    <row r="75" spans="2:37">
      <c r="B75" s="266"/>
      <c r="C75" s="266"/>
      <c r="K75" s="255"/>
      <c r="M75" s="9"/>
      <c r="N75" s="9"/>
      <c r="T75" s="118"/>
      <c r="U75" s="118"/>
      <c r="V75" s="257"/>
      <c r="W75" s="257"/>
      <c r="X75" s="257"/>
      <c r="Y75" s="208"/>
      <c r="Z75" s="26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</row>
    <row r="76" spans="2:37">
      <c r="B76" s="266"/>
      <c r="C76" s="266"/>
      <c r="K76" s="432"/>
      <c r="M76" s="9"/>
      <c r="N76" s="9"/>
      <c r="T76" s="118"/>
      <c r="U76" s="118"/>
      <c r="V76" s="9"/>
      <c r="W76" s="9"/>
      <c r="X76" s="257"/>
      <c r="Y76" s="208"/>
      <c r="Z76" s="26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</row>
    <row r="77" spans="2:37" ht="16.5" customHeight="1">
      <c r="B77" s="266"/>
      <c r="C77" s="266"/>
      <c r="K77" s="432"/>
      <c r="M77" s="9"/>
      <c r="N77" s="9"/>
      <c r="T77" s="118"/>
      <c r="U77" s="118"/>
      <c r="V77" s="9"/>
      <c r="W77" s="9"/>
      <c r="X77" s="257"/>
      <c r="Y77" s="208"/>
      <c r="Z77" s="26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</row>
    <row r="78" spans="2:37">
      <c r="B78" s="266"/>
      <c r="C78" s="266"/>
      <c r="K78" s="431"/>
      <c r="M78" s="9"/>
      <c r="N78" s="9"/>
      <c r="T78" s="118"/>
      <c r="U78" s="118"/>
      <c r="V78" s="9"/>
      <c r="W78" s="9"/>
      <c r="X78" s="257"/>
      <c r="Y78" s="208"/>
      <c r="Z78" s="26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</row>
    <row r="79" spans="2:37">
      <c r="B79" s="267"/>
      <c r="C79" s="266"/>
      <c r="K79" s="431"/>
      <c r="M79" s="9"/>
      <c r="N79" s="9"/>
      <c r="T79" s="118"/>
      <c r="U79" s="118"/>
      <c r="V79" s="257"/>
      <c r="W79" s="257"/>
      <c r="X79" s="257"/>
      <c r="Y79" s="208"/>
      <c r="Z79" s="26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</row>
    <row r="80" spans="2:37">
      <c r="B80" s="266"/>
      <c r="C80" s="266"/>
      <c r="K80" s="431"/>
      <c r="M80" s="9"/>
      <c r="N80" s="9"/>
      <c r="T80" s="118"/>
      <c r="U80" s="118"/>
      <c r="V80" s="9"/>
      <c r="W80" s="9"/>
      <c r="X80" s="257"/>
      <c r="Y80" s="208"/>
      <c r="Z80" s="26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</row>
    <row r="81" spans="2:37">
      <c r="B81" s="266"/>
      <c r="C81" s="266"/>
      <c r="K81" s="431"/>
      <c r="M81" s="9"/>
      <c r="N81" s="9"/>
      <c r="T81" s="118"/>
      <c r="U81" s="118"/>
      <c r="V81" s="257"/>
      <c r="W81" s="9"/>
      <c r="X81" s="257"/>
      <c r="Y81" s="208"/>
      <c r="Z81" s="26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</row>
    <row r="82" spans="2:37">
      <c r="B82" s="266"/>
      <c r="C82" s="266"/>
      <c r="K82" s="431"/>
      <c r="M82" s="9"/>
      <c r="N82" s="9"/>
      <c r="T82" s="118"/>
      <c r="U82" s="118"/>
      <c r="V82" s="9"/>
      <c r="W82" s="9"/>
      <c r="X82" s="257"/>
      <c r="Y82" s="208"/>
      <c r="Z82" s="26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</row>
    <row r="83" spans="2:37">
      <c r="B83" s="266"/>
      <c r="C83" s="266"/>
      <c r="K83" s="431"/>
      <c r="M83" s="9"/>
      <c r="N83" s="9"/>
      <c r="T83" s="118"/>
      <c r="U83" s="118"/>
      <c r="V83" s="221"/>
      <c r="W83" s="9"/>
      <c r="X83" s="257"/>
      <c r="Y83" s="208"/>
      <c r="Z83" s="26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</row>
    <row r="84" spans="2:37">
      <c r="B84" s="268"/>
      <c r="C84" s="266"/>
      <c r="K84" s="433"/>
      <c r="M84" s="9"/>
      <c r="N84" s="9"/>
      <c r="T84" s="118"/>
      <c r="U84" s="118"/>
      <c r="V84" s="221"/>
      <c r="W84" s="9"/>
      <c r="X84" s="257"/>
      <c r="Y84" s="208"/>
      <c r="Z84" s="26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</row>
    <row r="85" spans="2:37">
      <c r="B85" s="252"/>
      <c r="C85" s="252"/>
      <c r="K85" s="255"/>
      <c r="M85" s="9"/>
      <c r="N85" s="9"/>
      <c r="T85" s="118"/>
      <c r="U85" s="118"/>
      <c r="V85" s="221"/>
      <c r="W85" s="9"/>
      <c r="X85" s="257"/>
      <c r="Y85" s="208"/>
      <c r="Z85" s="26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</row>
    <row r="86" spans="2:37">
      <c r="B86" s="252"/>
      <c r="C86" s="252"/>
      <c r="K86" s="255"/>
      <c r="M86" s="9"/>
      <c r="N86" s="9"/>
      <c r="T86" s="118"/>
      <c r="U86" s="118"/>
      <c r="V86" s="221"/>
      <c r="W86" s="9"/>
      <c r="X86" s="257"/>
      <c r="Y86" s="208"/>
      <c r="Z86" s="26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</row>
    <row r="87" spans="2:37">
      <c r="B87" s="252"/>
      <c r="C87" s="252"/>
      <c r="K87" s="255"/>
      <c r="M87" s="9"/>
      <c r="N87" s="9"/>
      <c r="T87" s="118"/>
      <c r="U87" s="118"/>
      <c r="V87" s="9"/>
      <c r="W87" s="9"/>
      <c r="X87" s="257"/>
      <c r="Y87" s="208"/>
      <c r="Z87" s="26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</row>
    <row r="88" spans="2:37" ht="16.5" customHeight="1">
      <c r="B88" s="252"/>
      <c r="C88" s="252"/>
      <c r="K88" s="434"/>
      <c r="M88" s="9"/>
      <c r="N88" s="9"/>
      <c r="T88" s="118"/>
      <c r="U88" s="118"/>
      <c r="V88" s="222"/>
      <c r="W88" s="9"/>
      <c r="X88" s="257"/>
      <c r="Y88" s="208"/>
      <c r="Z88" s="26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</row>
    <row r="89" spans="2:37" ht="15.75" thickBot="1">
      <c r="B89" s="251"/>
      <c r="C89" s="252"/>
      <c r="T89" s="118"/>
      <c r="U89" s="118"/>
      <c r="V89" s="221"/>
      <c r="W89" s="9"/>
      <c r="X89" s="257"/>
      <c r="Y89" s="208"/>
      <c r="Z89" s="26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</row>
    <row r="90" spans="2:37" ht="15.75" thickBot="1">
      <c r="B90" s="252"/>
      <c r="C90" s="252"/>
      <c r="E90" s="261"/>
      <c r="F90" s="725" t="s">
        <v>461</v>
      </c>
      <c r="G90" s="726"/>
      <c r="H90" s="725" t="s">
        <v>464</v>
      </c>
      <c r="I90" s="726"/>
      <c r="J90" s="725" t="s">
        <v>465</v>
      </c>
      <c r="K90" s="726"/>
      <c r="L90" s="725" t="s">
        <v>466</v>
      </c>
      <c r="M90" s="726"/>
      <c r="N90" s="9"/>
      <c r="S90" s="9"/>
      <c r="T90" s="9"/>
      <c r="U90" s="457" t="s">
        <v>461</v>
      </c>
      <c r="V90" s="457" t="s">
        <v>464</v>
      </c>
      <c r="W90" s="457" t="s">
        <v>465</v>
      </c>
      <c r="X90" s="458" t="s">
        <v>466</v>
      </c>
      <c r="Y90" s="208"/>
      <c r="Z90" s="26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</row>
    <row r="91" spans="2:37" ht="18.75" customHeight="1" thickBot="1">
      <c r="B91" s="207"/>
      <c r="D91" s="450" t="s">
        <v>255</v>
      </c>
      <c r="E91" s="451" t="s">
        <v>470</v>
      </c>
      <c r="F91" s="450" t="s">
        <v>256</v>
      </c>
      <c r="G91" s="450" t="s">
        <v>474</v>
      </c>
      <c r="H91" s="450" t="s">
        <v>256</v>
      </c>
      <c r="I91" s="450" t="s">
        <v>474</v>
      </c>
      <c r="J91" s="450" t="s">
        <v>256</v>
      </c>
      <c r="K91" s="450" t="s">
        <v>474</v>
      </c>
      <c r="L91" s="450" t="s">
        <v>256</v>
      </c>
      <c r="M91" s="450" t="s">
        <v>474</v>
      </c>
      <c r="N91" s="9"/>
      <c r="S91" s="9"/>
      <c r="T91" s="459" t="s">
        <v>245</v>
      </c>
      <c r="U91" s="406">
        <v>1.2</v>
      </c>
      <c r="V91" s="436">
        <v>1.2</v>
      </c>
      <c r="W91" s="436">
        <v>1.2</v>
      </c>
      <c r="X91" s="407">
        <v>1.2</v>
      </c>
      <c r="Y91" s="208"/>
      <c r="Z91" s="26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</row>
    <row r="92" spans="2:37">
      <c r="B92" s="405"/>
      <c r="C92" s="3"/>
      <c r="D92" s="453">
        <v>0</v>
      </c>
      <c r="E92" s="452">
        <f>100*E11</f>
        <v>1200</v>
      </c>
      <c r="F92" s="448">
        <f t="shared" ref="F92:F116" si="4">IF(D92&lt;$U$91,$U$102+($U$103-$U$102)*D92/$U$106,$U$103*($U$107-D92)/($U$107-$U$106))</f>
        <v>0.2</v>
      </c>
      <c r="G92" s="411">
        <f t="shared" ref="G92:G116" si="5">$U$109*$U$111*$G$123*(F92*$U$108)/($E$92*$U$112)*1000</f>
        <v>0.27304751790495402</v>
      </c>
      <c r="H92" s="448">
        <f t="shared" ref="H92:H116" si="6">IF(D92&lt;$V$91,$V$102+($V$103-$V$102)*D92/$V$106,$V$103*($V$107-D92)/($V$107-$V$106))</f>
        <v>0.2</v>
      </c>
      <c r="I92" s="411">
        <f t="shared" ref="I92:I116" si="7">$V$109*$V$111*$H$123*(H92*$V$108)/($E$92*$V$112)*1000</f>
        <v>0.71942938842149573</v>
      </c>
      <c r="J92" s="448">
        <f t="shared" ref="J92:J116" si="8">IF(D92&lt;$W$91,$W$102+($W$103-$W$102)*D92/$W$106,$W$103*($W$107-D92)/($W$107-$W$106))</f>
        <v>0.2</v>
      </c>
      <c r="K92" s="411">
        <f t="shared" ref="K92:K116" si="9">$W$109*$W$111*$I$123*(J92*$W$108)/($E$92*$W$112)*1000</f>
        <v>0.35110992026682025</v>
      </c>
      <c r="L92" s="448">
        <f t="shared" ref="L92:L116" si="10">IF(D92&lt;$X$91,$X$102+($X$103-$X$102)*D92/$X$106,$X$103*($X$107-D92)/($X$107-$X$106))</f>
        <v>0.2</v>
      </c>
      <c r="M92" s="411">
        <f t="shared" ref="M92:M116" si="11">$X$109*$X$111*$J$123*(L92*$X$108)/($E$92*$X$112)*1000</f>
        <v>0.96139586662904852</v>
      </c>
      <c r="N92" s="9"/>
      <c r="S92" s="223"/>
      <c r="T92" s="460" t="s">
        <v>233</v>
      </c>
      <c r="U92" s="386">
        <v>17.899999999999999</v>
      </c>
      <c r="V92" s="11">
        <v>17.899999999999999</v>
      </c>
      <c r="W92" s="11">
        <v>10.8</v>
      </c>
      <c r="X92" s="387">
        <v>10.8</v>
      </c>
      <c r="Y92" s="208"/>
      <c r="Z92" s="26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</row>
    <row r="93" spans="2:37">
      <c r="B93" s="405"/>
      <c r="C93" s="3"/>
      <c r="D93" s="454">
        <v>0.2</v>
      </c>
      <c r="E93" s="452">
        <f t="shared" ref="E93:E116" si="12">100*E13</f>
        <v>2000</v>
      </c>
      <c r="F93" s="438">
        <f t="shared" si="4"/>
        <v>0.26588702769701411</v>
      </c>
      <c r="G93" s="412">
        <f t="shared" si="5"/>
        <v>0.36299896477897725</v>
      </c>
      <c r="H93" s="438">
        <f t="shared" si="6"/>
        <v>0.27192989206485141</v>
      </c>
      <c r="I93" s="412">
        <f t="shared" si="7"/>
        <v>0.97817177970869684</v>
      </c>
      <c r="J93" s="438">
        <f t="shared" si="8"/>
        <v>0.26709857382847202</v>
      </c>
      <c r="K93" s="412">
        <f t="shared" si="9"/>
        <v>0.46890479480148101</v>
      </c>
      <c r="L93" s="438">
        <f t="shared" si="10"/>
        <v>0.27459254868569477</v>
      </c>
      <c r="M93" s="412">
        <f t="shared" si="11"/>
        <v>1.3199607065678134</v>
      </c>
      <c r="N93" s="9"/>
      <c r="S93" s="223"/>
      <c r="T93" s="460" t="s">
        <v>332</v>
      </c>
      <c r="U93" s="437">
        <f>U92/U91</f>
        <v>14.916666666666666</v>
      </c>
      <c r="V93" s="297">
        <f>V92/V91</f>
        <v>14.916666666666666</v>
      </c>
      <c r="W93" s="297">
        <f>W92/W91</f>
        <v>9.0000000000000018</v>
      </c>
      <c r="X93" s="419">
        <f>X92/X91</f>
        <v>9.0000000000000018</v>
      </c>
      <c r="Y93" s="208"/>
      <c r="Z93" s="26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</row>
    <row r="94" spans="2:37">
      <c r="B94" s="207"/>
      <c r="D94" s="454">
        <v>0.4</v>
      </c>
      <c r="E94" s="452">
        <f t="shared" si="12"/>
        <v>900</v>
      </c>
      <c r="F94" s="438">
        <f t="shared" si="4"/>
        <v>0.33177405539402827</v>
      </c>
      <c r="G94" s="412">
        <f t="shared" si="5"/>
        <v>0.4529504116530006</v>
      </c>
      <c r="H94" s="438">
        <f t="shared" si="6"/>
        <v>0.34385978412970281</v>
      </c>
      <c r="I94" s="412">
        <f t="shared" si="7"/>
        <v>1.2369141709958977</v>
      </c>
      <c r="J94" s="438">
        <f t="shared" si="8"/>
        <v>0.33419714765694408</v>
      </c>
      <c r="K94" s="412">
        <f t="shared" si="9"/>
        <v>0.58669966933614193</v>
      </c>
      <c r="L94" s="438">
        <f t="shared" si="10"/>
        <v>0.34918509737138947</v>
      </c>
      <c r="M94" s="412">
        <f t="shared" si="11"/>
        <v>1.678525546506578</v>
      </c>
      <c r="N94" s="9"/>
      <c r="T94" s="460" t="s">
        <v>240</v>
      </c>
      <c r="U94" s="464">
        <f>1.2</f>
        <v>1.2</v>
      </c>
      <c r="V94" s="11">
        <f>1.2</f>
        <v>1.2</v>
      </c>
      <c r="W94" s="11">
        <f>1.2</f>
        <v>1.2</v>
      </c>
      <c r="X94" s="465">
        <f>1.2</f>
        <v>1.2</v>
      </c>
      <c r="Y94" s="208"/>
      <c r="Z94" s="26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</row>
    <row r="95" spans="2:37">
      <c r="B95" s="405"/>
      <c r="C95" s="10"/>
      <c r="D95" s="454">
        <v>0.6</v>
      </c>
      <c r="E95" s="452">
        <f t="shared" si="12"/>
        <v>7600</v>
      </c>
      <c r="F95" s="438">
        <f t="shared" si="4"/>
        <v>0.39766108309104231</v>
      </c>
      <c r="G95" s="412">
        <f t="shared" si="5"/>
        <v>0.54290185852702377</v>
      </c>
      <c r="H95" s="438">
        <f t="shared" si="6"/>
        <v>0.4157896761945542</v>
      </c>
      <c r="I95" s="412">
        <f t="shared" si="7"/>
        <v>1.4956565622830991</v>
      </c>
      <c r="J95" s="438">
        <f t="shared" si="8"/>
        <v>0.40129572148541603</v>
      </c>
      <c r="K95" s="412">
        <f t="shared" si="9"/>
        <v>0.70449454387080257</v>
      </c>
      <c r="L95" s="438">
        <f t="shared" si="10"/>
        <v>0.42377764605708423</v>
      </c>
      <c r="M95" s="412">
        <f t="shared" si="11"/>
        <v>2.0370903864453433</v>
      </c>
      <c r="N95" s="9"/>
      <c r="S95" s="9"/>
      <c r="T95" s="460" t="s">
        <v>241</v>
      </c>
      <c r="U95" s="386">
        <f>$H$11</f>
        <v>22</v>
      </c>
      <c r="V95" s="11">
        <f>$H$11</f>
        <v>22</v>
      </c>
      <c r="W95" s="11">
        <f>$H$11</f>
        <v>22</v>
      </c>
      <c r="X95" s="387">
        <f>$H$11</f>
        <v>22</v>
      </c>
      <c r="Y95" s="208"/>
      <c r="Z95" s="26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</row>
    <row r="96" spans="2:37">
      <c r="B96" s="207"/>
      <c r="D96" s="454">
        <v>0.8</v>
      </c>
      <c r="E96" s="452">
        <f t="shared" si="12"/>
        <v>1100</v>
      </c>
      <c r="F96" s="438">
        <f t="shared" si="4"/>
        <v>0.46354811078805647</v>
      </c>
      <c r="G96" s="412">
        <f t="shared" si="5"/>
        <v>0.63285330540104723</v>
      </c>
      <c r="H96" s="438">
        <f t="shared" si="6"/>
        <v>0.4877195682594056</v>
      </c>
      <c r="I96" s="412">
        <f t="shared" si="7"/>
        <v>1.7543989535703004</v>
      </c>
      <c r="J96" s="438">
        <f t="shared" si="8"/>
        <v>0.46839429531388815</v>
      </c>
      <c r="K96" s="412">
        <f t="shared" si="9"/>
        <v>0.82228941840546366</v>
      </c>
      <c r="L96" s="438">
        <f t="shared" si="10"/>
        <v>0.49837019474277899</v>
      </c>
      <c r="M96" s="412">
        <f t="shared" si="11"/>
        <v>2.3956552263841084</v>
      </c>
      <c r="N96" s="9"/>
      <c r="S96" s="9"/>
      <c r="T96" s="460" t="s">
        <v>473</v>
      </c>
      <c r="U96" s="438">
        <f>2*(218.161+379.191)</f>
        <v>1194.704</v>
      </c>
      <c r="V96" s="296">
        <f>2*(353.493+570.776)</f>
        <v>1848.538</v>
      </c>
      <c r="W96" s="296">
        <f>2*(218.161)+353.493</f>
        <v>789.81500000000005</v>
      </c>
      <c r="X96" s="412">
        <f>2*(379.191)+570.776</f>
        <v>1329.1579999999999</v>
      </c>
      <c r="Y96" s="208"/>
      <c r="Z96" s="26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</row>
    <row r="97" spans="2:37">
      <c r="B97" s="207"/>
      <c r="D97" s="454">
        <v>1</v>
      </c>
      <c r="E97" s="452">
        <f t="shared" si="12"/>
        <v>600</v>
      </c>
      <c r="F97" s="438">
        <f t="shared" si="4"/>
        <v>0.52943513848507062</v>
      </c>
      <c r="G97" s="412">
        <f t="shared" si="5"/>
        <v>0.72280475227507057</v>
      </c>
      <c r="H97" s="438">
        <f t="shared" si="6"/>
        <v>0.559649460324257</v>
      </c>
      <c r="I97" s="412">
        <f t="shared" si="7"/>
        <v>2.0131413448575013</v>
      </c>
      <c r="J97" s="438">
        <f t="shared" si="8"/>
        <v>0.53549286914236016</v>
      </c>
      <c r="K97" s="412">
        <f t="shared" si="9"/>
        <v>0.94008429294012441</v>
      </c>
      <c r="L97" s="438">
        <f t="shared" si="10"/>
        <v>0.57296274342847364</v>
      </c>
      <c r="M97" s="412">
        <f t="shared" si="11"/>
        <v>2.7542200663228731</v>
      </c>
      <c r="N97" s="9"/>
      <c r="S97" s="265"/>
      <c r="T97" s="460" t="s">
        <v>302</v>
      </c>
      <c r="U97" s="386">
        <f>U92*U91</f>
        <v>21.479999999999997</v>
      </c>
      <c r="V97" s="11">
        <f>V92*V91</f>
        <v>21.479999999999997</v>
      </c>
      <c r="W97" s="11">
        <f>W92*W91</f>
        <v>12.96</v>
      </c>
      <c r="X97" s="387">
        <f>X92*X91</f>
        <v>12.96</v>
      </c>
      <c r="Y97" s="208"/>
      <c r="Z97" s="26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</row>
    <row r="98" spans="2:37">
      <c r="B98" s="405"/>
      <c r="C98" s="10"/>
      <c r="D98" s="454">
        <v>1.2</v>
      </c>
      <c r="E98" s="452">
        <f t="shared" si="12"/>
        <v>500</v>
      </c>
      <c r="F98" s="438">
        <f t="shared" si="4"/>
        <v>0.59532216618208467</v>
      </c>
      <c r="G98" s="412">
        <f t="shared" si="5"/>
        <v>0.81275619914909369</v>
      </c>
      <c r="H98" s="438">
        <f t="shared" si="6"/>
        <v>0.63157935238910834</v>
      </c>
      <c r="I98" s="412">
        <f t="shared" si="7"/>
        <v>2.2718837361447024</v>
      </c>
      <c r="J98" s="438">
        <f t="shared" si="8"/>
        <v>0.60259144297083211</v>
      </c>
      <c r="K98" s="412">
        <f t="shared" si="9"/>
        <v>1.0578791674747849</v>
      </c>
      <c r="L98" s="438">
        <f t="shared" si="10"/>
        <v>0.6475552921141684</v>
      </c>
      <c r="M98" s="412">
        <f t="shared" si="11"/>
        <v>3.1127849062616377</v>
      </c>
      <c r="N98" s="9"/>
      <c r="S98" s="265"/>
      <c r="T98" s="460" t="s">
        <v>270</v>
      </c>
      <c r="U98" s="437">
        <f>U96/U97</f>
        <v>55.619366852886415</v>
      </c>
      <c r="V98" s="297">
        <f>V96/V97</f>
        <v>86.058566108007469</v>
      </c>
      <c r="W98" s="297">
        <f>W96/W97</f>
        <v>60.942515432098766</v>
      </c>
      <c r="X98" s="419">
        <f>X96/X97</f>
        <v>102.55848765432097</v>
      </c>
      <c r="Y98" s="208"/>
      <c r="Z98" s="26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</row>
    <row r="99" spans="2:37">
      <c r="B99" s="207"/>
      <c r="D99" s="454">
        <v>1.4</v>
      </c>
      <c r="E99" s="452">
        <f t="shared" si="12"/>
        <v>800</v>
      </c>
      <c r="F99" s="438">
        <f t="shared" si="4"/>
        <v>0.56224871250530217</v>
      </c>
      <c r="G99" s="412">
        <f t="shared" si="5"/>
        <v>0.76760307697414409</v>
      </c>
      <c r="H99" s="438">
        <f t="shared" si="6"/>
        <v>0.59649161058971356</v>
      </c>
      <c r="I99" s="412">
        <f t="shared" si="7"/>
        <v>2.1456679730255526</v>
      </c>
      <c r="J99" s="438">
        <f t="shared" si="8"/>
        <v>0.56911414058356369</v>
      </c>
      <c r="K99" s="412">
        <f t="shared" si="9"/>
        <v>0.99910810261507488</v>
      </c>
      <c r="L99" s="438">
        <f t="shared" si="10"/>
        <v>0.61157999810782571</v>
      </c>
      <c r="M99" s="412">
        <f t="shared" si="11"/>
        <v>2.9398524114693236</v>
      </c>
      <c r="N99" s="9"/>
      <c r="S99" s="266"/>
      <c r="Y99" s="208"/>
      <c r="Z99" s="26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</row>
    <row r="100" spans="2:37">
      <c r="B100" s="207"/>
      <c r="D100" s="454">
        <v>1.6</v>
      </c>
      <c r="E100" s="452">
        <f t="shared" si="12"/>
        <v>3600</v>
      </c>
      <c r="F100" s="438">
        <f t="shared" si="4"/>
        <v>0.52917525882851968</v>
      </c>
      <c r="G100" s="412">
        <f t="shared" si="5"/>
        <v>0.72244995479919449</v>
      </c>
      <c r="H100" s="438">
        <f t="shared" si="6"/>
        <v>0.56140386879031856</v>
      </c>
      <c r="I100" s="412">
        <f t="shared" si="7"/>
        <v>2.0194522099064023</v>
      </c>
      <c r="J100" s="438">
        <f t="shared" si="8"/>
        <v>0.53563683819629526</v>
      </c>
      <c r="K100" s="412">
        <f t="shared" si="9"/>
        <v>0.9403370377553647</v>
      </c>
      <c r="L100" s="438">
        <f t="shared" si="10"/>
        <v>0.57560470410148301</v>
      </c>
      <c r="M100" s="412">
        <f t="shared" si="11"/>
        <v>2.7669199166770109</v>
      </c>
      <c r="N100" s="9"/>
      <c r="S100" s="266"/>
      <c r="T100" s="461" t="s">
        <v>260</v>
      </c>
      <c r="U100" s="386">
        <f>$H$17</f>
        <v>37</v>
      </c>
      <c r="V100" s="11">
        <f>$H$17</f>
        <v>37</v>
      </c>
      <c r="W100" s="11">
        <f>$H$17</f>
        <v>37</v>
      </c>
      <c r="X100" s="387">
        <f>$H$17</f>
        <v>37</v>
      </c>
      <c r="Y100" s="208"/>
      <c r="Z100" s="26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</row>
    <row r="101" spans="2:37">
      <c r="B101" s="9"/>
      <c r="C101" s="3"/>
      <c r="D101" s="454">
        <v>1.8</v>
      </c>
      <c r="E101" s="452">
        <f t="shared" si="12"/>
        <v>3800</v>
      </c>
      <c r="F101" s="438">
        <f t="shared" si="4"/>
        <v>0.4961018051517373</v>
      </c>
      <c r="G101" s="412">
        <f t="shared" si="5"/>
        <v>0.67729683262424489</v>
      </c>
      <c r="H101" s="438">
        <f t="shared" si="6"/>
        <v>0.52631612699092367</v>
      </c>
      <c r="I101" s="412">
        <f t="shared" si="7"/>
        <v>1.8932364467872522</v>
      </c>
      <c r="J101" s="438">
        <f t="shared" si="8"/>
        <v>0.50215953580902684</v>
      </c>
      <c r="K101" s="412">
        <f t="shared" si="9"/>
        <v>0.88156597289565441</v>
      </c>
      <c r="L101" s="438">
        <f t="shared" si="10"/>
        <v>0.53962941009514032</v>
      </c>
      <c r="M101" s="412">
        <f t="shared" si="11"/>
        <v>2.5939874218846977</v>
      </c>
      <c r="N101" s="9"/>
      <c r="S101" s="266"/>
      <c r="T101" s="461" t="s">
        <v>259</v>
      </c>
      <c r="U101" s="386">
        <f>$H$13</f>
        <v>30</v>
      </c>
      <c r="V101" s="11">
        <f>$H$13</f>
        <v>30</v>
      </c>
      <c r="W101" s="11">
        <f>$H$13</f>
        <v>30</v>
      </c>
      <c r="X101" s="387">
        <f>$H$13</f>
        <v>30</v>
      </c>
      <c r="Y101" s="208"/>
      <c r="Z101" s="26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</row>
    <row r="102" spans="2:37">
      <c r="B102" s="405"/>
      <c r="C102" s="3"/>
      <c r="D102" s="454">
        <v>2</v>
      </c>
      <c r="E102" s="452">
        <f t="shared" si="12"/>
        <v>5200</v>
      </c>
      <c r="F102" s="438">
        <f t="shared" si="4"/>
        <v>0.46302835147495475</v>
      </c>
      <c r="G102" s="412">
        <f t="shared" si="5"/>
        <v>0.63214371044929507</v>
      </c>
      <c r="H102" s="438">
        <f t="shared" si="6"/>
        <v>0.49122838519152867</v>
      </c>
      <c r="I102" s="412">
        <f t="shared" si="7"/>
        <v>1.7670206836681015</v>
      </c>
      <c r="J102" s="438">
        <f t="shared" si="8"/>
        <v>0.46868223342175835</v>
      </c>
      <c r="K102" s="412">
        <f t="shared" si="9"/>
        <v>0.82279490803594402</v>
      </c>
      <c r="L102" s="438">
        <f t="shared" si="10"/>
        <v>0.50365411608879773</v>
      </c>
      <c r="M102" s="412">
        <f t="shared" si="11"/>
        <v>2.4210549270923853</v>
      </c>
      <c r="N102" s="9"/>
      <c r="S102" s="266"/>
      <c r="T102" s="461" t="s">
        <v>253</v>
      </c>
      <c r="U102" s="386">
        <f>0.2</f>
        <v>0.2</v>
      </c>
      <c r="V102" s="11">
        <f t="shared" ref="V102:X102" si="13">0.2</f>
        <v>0.2</v>
      </c>
      <c r="W102" s="11">
        <f t="shared" si="13"/>
        <v>0.2</v>
      </c>
      <c r="X102" s="387">
        <f t="shared" si="13"/>
        <v>0.2</v>
      </c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</row>
    <row r="103" spans="2:37">
      <c r="B103" s="9"/>
      <c r="C103" s="3"/>
      <c r="D103" s="454">
        <v>2.2000000000000002</v>
      </c>
      <c r="E103" s="452">
        <f t="shared" si="12"/>
        <v>3600</v>
      </c>
      <c r="F103" s="438">
        <f t="shared" si="4"/>
        <v>0.42995489779817225</v>
      </c>
      <c r="G103" s="412">
        <f t="shared" si="5"/>
        <v>0.58699058827434547</v>
      </c>
      <c r="H103" s="438">
        <f t="shared" si="6"/>
        <v>0.45614064339213373</v>
      </c>
      <c r="I103" s="412">
        <f t="shared" si="7"/>
        <v>1.6408049205489514</v>
      </c>
      <c r="J103" s="438">
        <f t="shared" si="8"/>
        <v>0.43520493103448982</v>
      </c>
      <c r="K103" s="412">
        <f t="shared" si="9"/>
        <v>0.76402384317623362</v>
      </c>
      <c r="L103" s="438">
        <f t="shared" si="10"/>
        <v>0.46767882208245493</v>
      </c>
      <c r="M103" s="412">
        <f t="shared" si="11"/>
        <v>2.2481224323000712</v>
      </c>
      <c r="N103" s="9"/>
      <c r="S103" s="266"/>
      <c r="T103" s="461" t="s">
        <v>254</v>
      </c>
      <c r="U103" s="438">
        <f>0.5+0.1*SQRT($G$123/U100)</f>
        <v>0.59532216618208467</v>
      </c>
      <c r="V103" s="296">
        <f>0.5+0.1*SQRT($H$123/V100)</f>
        <v>0.63157935238910834</v>
      </c>
      <c r="W103" s="296">
        <f>0.5+0.1*SQRT($I$123/W100)</f>
        <v>0.60259144297083211</v>
      </c>
      <c r="X103" s="412">
        <f>0.5+0.1*SQRT($J$123/X100)</f>
        <v>0.6475552921141684</v>
      </c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</row>
    <row r="104" spans="2:37">
      <c r="B104" s="221"/>
      <c r="C104" s="3"/>
      <c r="D104" s="454">
        <v>2.4</v>
      </c>
      <c r="E104" s="452">
        <f t="shared" si="12"/>
        <v>3200</v>
      </c>
      <c r="F104" s="438">
        <f t="shared" si="4"/>
        <v>0.39688144412138981</v>
      </c>
      <c r="G104" s="412">
        <f t="shared" si="5"/>
        <v>0.54183746609939587</v>
      </c>
      <c r="H104" s="438">
        <f t="shared" si="6"/>
        <v>0.42105290159273895</v>
      </c>
      <c r="I104" s="412">
        <f t="shared" si="7"/>
        <v>1.5145891574298018</v>
      </c>
      <c r="J104" s="438">
        <f t="shared" si="8"/>
        <v>0.40172762864722139</v>
      </c>
      <c r="K104" s="412">
        <f t="shared" si="9"/>
        <v>0.70525277831652333</v>
      </c>
      <c r="L104" s="438">
        <f t="shared" si="10"/>
        <v>0.43170352807611229</v>
      </c>
      <c r="M104" s="412">
        <f t="shared" si="11"/>
        <v>2.0751899375077585</v>
      </c>
      <c r="N104" s="9"/>
      <c r="S104" s="266"/>
      <c r="T104" s="461" t="s">
        <v>257</v>
      </c>
      <c r="U104" s="386">
        <f>U106/U91</f>
        <v>1</v>
      </c>
      <c r="V104" s="11">
        <f>V106/V91</f>
        <v>1</v>
      </c>
      <c r="W104" s="11">
        <f>W106/W91</f>
        <v>1</v>
      </c>
      <c r="X104" s="387">
        <f>X106/X91</f>
        <v>1</v>
      </c>
      <c r="Y104" s="262"/>
      <c r="Z104" s="262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</row>
    <row r="105" spans="2:37">
      <c r="B105" s="221"/>
      <c r="C105" s="3"/>
      <c r="D105" s="454">
        <v>2.6</v>
      </c>
      <c r="E105" s="452">
        <f t="shared" si="12"/>
        <v>3700</v>
      </c>
      <c r="F105" s="438">
        <f t="shared" si="4"/>
        <v>0.36380799044460732</v>
      </c>
      <c r="G105" s="412">
        <f t="shared" si="5"/>
        <v>0.49668434392444616</v>
      </c>
      <c r="H105" s="438">
        <f t="shared" si="6"/>
        <v>0.385965159793344</v>
      </c>
      <c r="I105" s="412">
        <f t="shared" si="7"/>
        <v>1.3883733943106515</v>
      </c>
      <c r="J105" s="438">
        <f t="shared" si="8"/>
        <v>0.36825032625995296</v>
      </c>
      <c r="K105" s="412">
        <f t="shared" si="9"/>
        <v>0.64648171345681316</v>
      </c>
      <c r="L105" s="438">
        <f t="shared" si="10"/>
        <v>0.39572823406976959</v>
      </c>
      <c r="M105" s="412">
        <f t="shared" si="11"/>
        <v>1.9022574427154448</v>
      </c>
      <c r="N105" s="9"/>
      <c r="S105" s="266"/>
      <c r="T105" s="461" t="s">
        <v>258</v>
      </c>
      <c r="U105" s="386">
        <f>U107/U91</f>
        <v>4</v>
      </c>
      <c r="V105" s="11">
        <f>V107/V91</f>
        <v>4</v>
      </c>
      <c r="W105" s="11">
        <f>W107/W91</f>
        <v>4</v>
      </c>
      <c r="X105" s="387">
        <f>X107/X91</f>
        <v>4</v>
      </c>
      <c r="Y105" s="262"/>
      <c r="Z105" s="262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</row>
    <row r="106" spans="2:37">
      <c r="B106" s="221"/>
      <c r="C106" s="3"/>
      <c r="D106" s="454">
        <v>2.8</v>
      </c>
      <c r="E106" s="452">
        <f t="shared" si="12"/>
        <v>2200</v>
      </c>
      <c r="F106" s="438">
        <f t="shared" si="4"/>
        <v>0.33073453676782483</v>
      </c>
      <c r="G106" s="412">
        <f t="shared" si="5"/>
        <v>0.45153122174949661</v>
      </c>
      <c r="H106" s="438">
        <f t="shared" si="6"/>
        <v>0.35087741799394911</v>
      </c>
      <c r="I106" s="412">
        <f t="shared" si="7"/>
        <v>1.2621576311915013</v>
      </c>
      <c r="J106" s="438">
        <f t="shared" si="8"/>
        <v>0.33477302387268454</v>
      </c>
      <c r="K106" s="412">
        <f t="shared" si="9"/>
        <v>0.58771064859710287</v>
      </c>
      <c r="L106" s="438">
        <f t="shared" si="10"/>
        <v>0.35975294006342695</v>
      </c>
      <c r="M106" s="412">
        <f t="shared" si="11"/>
        <v>1.7293249479231321</v>
      </c>
      <c r="N106" s="9"/>
      <c r="S106" s="266"/>
      <c r="T106" s="461" t="s">
        <v>152</v>
      </c>
      <c r="U106" s="386">
        <f>U91</f>
        <v>1.2</v>
      </c>
      <c r="V106" s="11">
        <f>V91</f>
        <v>1.2</v>
      </c>
      <c r="W106" s="11">
        <f>W91</f>
        <v>1.2</v>
      </c>
      <c r="X106" s="387">
        <f>X91</f>
        <v>1.2</v>
      </c>
      <c r="Y106" s="262"/>
      <c r="Z106" s="262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</row>
    <row r="107" spans="2:37">
      <c r="B107" s="221"/>
      <c r="C107" s="3"/>
      <c r="D107" s="454">
        <v>3</v>
      </c>
      <c r="E107" s="452">
        <f t="shared" si="12"/>
        <v>2600</v>
      </c>
      <c r="F107" s="438">
        <f t="shared" si="4"/>
        <v>0.29766108309104233</v>
      </c>
      <c r="G107" s="412">
        <f t="shared" si="5"/>
        <v>0.40637809957454685</v>
      </c>
      <c r="H107" s="438">
        <f t="shared" si="6"/>
        <v>0.31578967619455417</v>
      </c>
      <c r="I107" s="412">
        <f t="shared" si="7"/>
        <v>1.1359418680723512</v>
      </c>
      <c r="J107" s="438">
        <f t="shared" si="8"/>
        <v>0.30129572148541606</v>
      </c>
      <c r="K107" s="412">
        <f t="shared" si="9"/>
        <v>0.52893958373739247</v>
      </c>
      <c r="L107" s="438">
        <f t="shared" si="10"/>
        <v>0.3237776460570842</v>
      </c>
      <c r="M107" s="412">
        <f t="shared" si="11"/>
        <v>1.5563924531308189</v>
      </c>
      <c r="N107" s="9"/>
      <c r="S107" s="266"/>
      <c r="T107" s="461" t="s">
        <v>153</v>
      </c>
      <c r="U107" s="386">
        <f>4*U91</f>
        <v>4.8</v>
      </c>
      <c r="V107" s="11">
        <f>4*V91</f>
        <v>4.8</v>
      </c>
      <c r="W107" s="11">
        <f>4*W91</f>
        <v>4.8</v>
      </c>
      <c r="X107" s="387">
        <f>4*X91</f>
        <v>4.8</v>
      </c>
      <c r="Y107" s="262"/>
      <c r="Z107" s="262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</row>
    <row r="108" spans="2:37">
      <c r="B108" s="207"/>
      <c r="D108" s="454">
        <v>3.2</v>
      </c>
      <c r="E108" s="452">
        <f>100*E28</f>
        <v>2700</v>
      </c>
      <c r="F108" s="438">
        <f t="shared" si="4"/>
        <v>0.26458762941425984</v>
      </c>
      <c r="G108" s="412">
        <f t="shared" si="5"/>
        <v>0.36122497739959725</v>
      </c>
      <c r="H108" s="438">
        <f t="shared" si="6"/>
        <v>0.28070193439515922</v>
      </c>
      <c r="I108" s="412">
        <f t="shared" si="7"/>
        <v>1.0097261049532009</v>
      </c>
      <c r="J108" s="438">
        <f t="shared" si="8"/>
        <v>0.26781841909814758</v>
      </c>
      <c r="K108" s="412">
        <f t="shared" si="9"/>
        <v>0.47016851887768224</v>
      </c>
      <c r="L108" s="438">
        <f t="shared" si="10"/>
        <v>0.28780235205074145</v>
      </c>
      <c r="M108" s="412">
        <f t="shared" si="11"/>
        <v>1.3834599583385052</v>
      </c>
      <c r="N108" s="9"/>
      <c r="S108" s="266"/>
      <c r="T108" s="462" t="s">
        <v>265</v>
      </c>
      <c r="U108" s="386">
        <v>0.2</v>
      </c>
      <c r="V108" s="4">
        <v>0.2</v>
      </c>
      <c r="W108" s="4">
        <v>0.2</v>
      </c>
      <c r="X108" s="387">
        <v>0.2</v>
      </c>
      <c r="Y108" s="262"/>
      <c r="Z108" s="270"/>
      <c r="AA108" s="261"/>
      <c r="AB108" s="9"/>
      <c r="AC108" s="9"/>
      <c r="AD108" s="9"/>
      <c r="AE108" s="9"/>
      <c r="AF108" s="9"/>
      <c r="AG108" s="9"/>
      <c r="AH108" s="9"/>
      <c r="AI108" s="9"/>
      <c r="AJ108" s="9"/>
      <c r="AK108" s="9"/>
    </row>
    <row r="109" spans="2:37">
      <c r="B109" s="222"/>
      <c r="C109" s="3"/>
      <c r="D109" s="454">
        <v>3.4</v>
      </c>
      <c r="E109" s="452">
        <f t="shared" si="12"/>
        <v>2800</v>
      </c>
      <c r="F109" s="438">
        <f t="shared" si="4"/>
        <v>0.23151417573747737</v>
      </c>
      <c r="G109" s="412">
        <f t="shared" si="5"/>
        <v>0.31607185522464754</v>
      </c>
      <c r="H109" s="438">
        <f t="shared" si="6"/>
        <v>0.24561419259576434</v>
      </c>
      <c r="I109" s="412">
        <f t="shared" si="7"/>
        <v>0.88351034183405075</v>
      </c>
      <c r="J109" s="438">
        <f t="shared" si="8"/>
        <v>0.23434111671087918</v>
      </c>
      <c r="K109" s="412">
        <f t="shared" si="9"/>
        <v>0.41139745401797201</v>
      </c>
      <c r="L109" s="438">
        <f t="shared" si="10"/>
        <v>0.25182705804439887</v>
      </c>
      <c r="M109" s="412">
        <f t="shared" si="11"/>
        <v>1.2105274635461927</v>
      </c>
      <c r="N109" s="9"/>
      <c r="T109" s="460" t="s">
        <v>471</v>
      </c>
      <c r="U109" s="472">
        <f>1-0.5*(U101/G123)</f>
        <v>0.55382859928213768</v>
      </c>
      <c r="V109" s="296">
        <f>1-0.5*(V101/H123)</f>
        <v>0.76583927940708363</v>
      </c>
      <c r="W109" s="296">
        <f>1-0.5*(W101/I123)</f>
        <v>0.61481686959450754</v>
      </c>
      <c r="X109" s="474">
        <f>1-0.5*(X101/J123)</f>
        <v>0.81379988084724886</v>
      </c>
      <c r="Y109" s="262"/>
      <c r="Z109" s="383">
        <f>1-0.5*(U101/G123)</f>
        <v>0.55382859928213768</v>
      </c>
      <c r="AA109" s="261"/>
      <c r="AB109" s="9"/>
      <c r="AC109" s="9"/>
      <c r="AD109" s="9"/>
      <c r="AE109" s="9"/>
      <c r="AF109" s="9"/>
      <c r="AG109" s="9"/>
      <c r="AH109" s="9"/>
      <c r="AI109" s="9"/>
      <c r="AJ109" s="9"/>
      <c r="AK109" s="9"/>
    </row>
    <row r="110" spans="2:37">
      <c r="B110" s="221"/>
      <c r="C110" s="3"/>
      <c r="D110" s="454">
        <v>3.6</v>
      </c>
      <c r="E110" s="452">
        <f t="shared" si="12"/>
        <v>2600</v>
      </c>
      <c r="F110" s="438">
        <f t="shared" si="4"/>
        <v>0.19844072206069488</v>
      </c>
      <c r="G110" s="412">
        <f t="shared" si="5"/>
        <v>0.27091873304969794</v>
      </c>
      <c r="H110" s="438">
        <f t="shared" si="6"/>
        <v>0.21052645079636942</v>
      </c>
      <c r="I110" s="412">
        <f t="shared" si="7"/>
        <v>0.75729457871490069</v>
      </c>
      <c r="J110" s="438">
        <f t="shared" si="8"/>
        <v>0.20086381432361067</v>
      </c>
      <c r="K110" s="412">
        <f t="shared" si="9"/>
        <v>0.35262638915826161</v>
      </c>
      <c r="L110" s="438">
        <f t="shared" si="10"/>
        <v>0.21585176403805612</v>
      </c>
      <c r="M110" s="412">
        <f t="shared" si="11"/>
        <v>1.037594968753879</v>
      </c>
      <c r="N110" s="9"/>
      <c r="S110" s="252"/>
      <c r="T110" s="460" t="s">
        <v>264</v>
      </c>
      <c r="U110" s="386">
        <v>50</v>
      </c>
      <c r="V110" s="5">
        <v>50</v>
      </c>
      <c r="W110" s="5">
        <v>50</v>
      </c>
      <c r="X110" s="387">
        <v>50</v>
      </c>
      <c r="Y110" s="262"/>
      <c r="Z110" s="6"/>
      <c r="AA110" s="6"/>
      <c r="AB110" s="6"/>
      <c r="AC110" s="6"/>
      <c r="AD110" s="9"/>
      <c r="AE110" s="9"/>
      <c r="AF110" s="9"/>
      <c r="AG110" s="9"/>
      <c r="AH110" s="9"/>
      <c r="AI110" s="9"/>
      <c r="AJ110" s="9"/>
      <c r="AK110" s="9"/>
    </row>
    <row r="111" spans="2:37">
      <c r="B111" s="221"/>
      <c r="C111" s="3"/>
      <c r="D111" s="454">
        <v>3.8</v>
      </c>
      <c r="E111" s="452">
        <f t="shared" si="12"/>
        <v>3800</v>
      </c>
      <c r="F111" s="438">
        <f t="shared" si="4"/>
        <v>0.16536726838391241</v>
      </c>
      <c r="G111" s="412">
        <f t="shared" si="5"/>
        <v>0.22576561087474831</v>
      </c>
      <c r="H111" s="438">
        <f t="shared" si="6"/>
        <v>0.17543870899697456</v>
      </c>
      <c r="I111" s="412">
        <f t="shared" si="7"/>
        <v>0.63107881559575063</v>
      </c>
      <c r="J111" s="438">
        <f t="shared" si="8"/>
        <v>0.16738651193634227</v>
      </c>
      <c r="K111" s="412">
        <f t="shared" si="9"/>
        <v>0.29385532429855143</v>
      </c>
      <c r="L111" s="438">
        <f t="shared" si="10"/>
        <v>0.17987647003171348</v>
      </c>
      <c r="M111" s="412">
        <f t="shared" si="11"/>
        <v>0.86466247396156604</v>
      </c>
      <c r="N111" s="447"/>
      <c r="S111" s="252"/>
      <c r="T111" s="460" t="s">
        <v>268</v>
      </c>
      <c r="U111" s="438">
        <f>1+0.2*LOG(U110/0.1)</f>
        <v>1.5397940008672037</v>
      </c>
      <c r="V111" s="296">
        <f>1+0.2*LOG(V110/0.1)</f>
        <v>1.5397940008672037</v>
      </c>
      <c r="W111" s="296">
        <f>1+0.2*LOG(W110/0.1)</f>
        <v>1.5397940008672037</v>
      </c>
      <c r="X111" s="412">
        <f>1+0.2*LOG(X110/0.1)</f>
        <v>1.5397940008672037</v>
      </c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</row>
    <row r="112" spans="2:37" ht="15" customHeight="1" thickBot="1">
      <c r="B112" s="207"/>
      <c r="D112" s="454">
        <v>4</v>
      </c>
      <c r="E112" s="452">
        <f t="shared" si="12"/>
        <v>4800</v>
      </c>
      <c r="F112" s="438">
        <f t="shared" si="4"/>
        <v>0.13229381470712992</v>
      </c>
      <c r="G112" s="412">
        <f t="shared" si="5"/>
        <v>0.18061248869979862</v>
      </c>
      <c r="H112" s="438">
        <f t="shared" si="6"/>
        <v>0.14035096719757961</v>
      </c>
      <c r="I112" s="412">
        <f t="shared" si="7"/>
        <v>0.50486305247660046</v>
      </c>
      <c r="J112" s="438">
        <f t="shared" si="8"/>
        <v>0.13390920954907379</v>
      </c>
      <c r="K112" s="412">
        <f t="shared" si="9"/>
        <v>0.23508425943884112</v>
      </c>
      <c r="L112" s="438">
        <f t="shared" si="10"/>
        <v>0.14390117602537073</v>
      </c>
      <c r="M112" s="412">
        <f t="shared" si="11"/>
        <v>0.69172997916925261</v>
      </c>
      <c r="N112" s="447"/>
      <c r="S112" s="252"/>
      <c r="T112" s="463" t="s">
        <v>472</v>
      </c>
      <c r="U112" s="421">
        <f>3.5</f>
        <v>3.5</v>
      </c>
      <c r="V112" s="439">
        <f t="shared" ref="V112:X112" si="14">3.5</f>
        <v>3.5</v>
      </c>
      <c r="W112" s="439">
        <f t="shared" si="14"/>
        <v>3.5</v>
      </c>
      <c r="X112" s="440">
        <f t="shared" si="14"/>
        <v>3.5</v>
      </c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</row>
    <row r="113" spans="2:37">
      <c r="B113" s="207"/>
      <c r="D113" s="454">
        <v>4.2</v>
      </c>
      <c r="E113" s="452">
        <f t="shared" si="12"/>
        <v>4200</v>
      </c>
      <c r="F113" s="438">
        <f t="shared" si="4"/>
        <v>9.9220361030347384E-2</v>
      </c>
      <c r="G113" s="412">
        <f t="shared" si="5"/>
        <v>0.13545936652484888</v>
      </c>
      <c r="H113" s="438">
        <f t="shared" si="6"/>
        <v>0.10526322539818467</v>
      </c>
      <c r="I113" s="412">
        <f t="shared" si="7"/>
        <v>0.37864728935745018</v>
      </c>
      <c r="J113" s="438">
        <f t="shared" si="8"/>
        <v>0.10043190716180531</v>
      </c>
      <c r="K113" s="412">
        <f t="shared" si="9"/>
        <v>0.17631319457913078</v>
      </c>
      <c r="L113" s="438">
        <f t="shared" si="10"/>
        <v>0.107925882019028</v>
      </c>
      <c r="M113" s="412">
        <f t="shared" si="11"/>
        <v>0.51879748437693929</v>
      </c>
      <c r="N113" s="447"/>
      <c r="S113" s="252"/>
      <c r="T113" s="261"/>
      <c r="U113" s="262"/>
      <c r="V113" s="261"/>
      <c r="W113" s="262"/>
      <c r="X113" s="261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</row>
    <row r="114" spans="2:37">
      <c r="B114" s="221"/>
      <c r="C114" s="3"/>
      <c r="D114" s="454">
        <v>4.4000000000000004</v>
      </c>
      <c r="E114" s="452">
        <f t="shared" si="12"/>
        <v>3000</v>
      </c>
      <c r="F114" s="438">
        <f t="shared" si="4"/>
        <v>6.6146907353564877E-2</v>
      </c>
      <c r="G114" s="412">
        <f t="shared" si="5"/>
        <v>9.0306244349899187E-2</v>
      </c>
      <c r="H114" s="438">
        <f t="shared" si="6"/>
        <v>7.0175483598789723E-2</v>
      </c>
      <c r="I114" s="412">
        <f t="shared" si="7"/>
        <v>0.2524315262382999</v>
      </c>
      <c r="J114" s="438">
        <f t="shared" si="8"/>
        <v>6.6954604774536811E-2</v>
      </c>
      <c r="K114" s="412">
        <f t="shared" si="9"/>
        <v>0.11754212971942039</v>
      </c>
      <c r="L114" s="438">
        <f t="shared" si="10"/>
        <v>7.1950588012685293E-2</v>
      </c>
      <c r="M114" s="412">
        <f t="shared" si="11"/>
        <v>0.34586498958462597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</row>
    <row r="115" spans="2:37">
      <c r="B115" s="221"/>
      <c r="C115" s="3"/>
      <c r="D115" s="454">
        <v>4.5999999999999996</v>
      </c>
      <c r="E115" s="452">
        <f t="shared" si="12"/>
        <v>3200</v>
      </c>
      <c r="F115" s="438">
        <f t="shared" si="4"/>
        <v>3.3073453676782515E-2</v>
      </c>
      <c r="G115" s="412">
        <f t="shared" si="5"/>
        <v>4.5153122174949704E-2</v>
      </c>
      <c r="H115" s="438">
        <f t="shared" si="6"/>
        <v>3.5087741799394945E-2</v>
      </c>
      <c r="I115" s="412">
        <f t="shared" si="7"/>
        <v>0.12621576311915025</v>
      </c>
      <c r="J115" s="438">
        <f t="shared" si="8"/>
        <v>3.3477302387268489E-2</v>
      </c>
      <c r="K115" s="412">
        <f t="shared" si="9"/>
        <v>5.8771064859710342E-2</v>
      </c>
      <c r="L115" s="438">
        <f t="shared" si="10"/>
        <v>3.597529400634273E-2</v>
      </c>
      <c r="M115" s="412">
        <f t="shared" si="11"/>
        <v>0.17293249479231337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</row>
    <row r="116" spans="2:37" ht="15.75" thickBot="1">
      <c r="B116" s="262"/>
      <c r="C116" s="10"/>
      <c r="D116" s="455">
        <v>4.8</v>
      </c>
      <c r="E116" s="452">
        <f t="shared" si="12"/>
        <v>3700</v>
      </c>
      <c r="F116" s="449">
        <f t="shared" si="4"/>
        <v>0</v>
      </c>
      <c r="G116" s="388">
        <f t="shared" si="5"/>
        <v>0</v>
      </c>
      <c r="H116" s="449">
        <f t="shared" si="6"/>
        <v>0</v>
      </c>
      <c r="I116" s="388">
        <f t="shared" si="7"/>
        <v>0</v>
      </c>
      <c r="J116" s="449">
        <f t="shared" si="8"/>
        <v>0</v>
      </c>
      <c r="K116" s="388">
        <f t="shared" si="9"/>
        <v>0</v>
      </c>
      <c r="L116" s="449">
        <f t="shared" si="10"/>
        <v>0</v>
      </c>
      <c r="M116" s="388">
        <f t="shared" si="11"/>
        <v>0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</row>
    <row r="117" spans="2:37" ht="15.75" thickBot="1">
      <c r="B117" s="207"/>
      <c r="C117" s="221"/>
      <c r="D117" s="3"/>
      <c r="F117" s="456" t="s">
        <v>479</v>
      </c>
      <c r="G117" s="473">
        <f>SUM(G92:G108)</f>
        <v>9.4444532815578732</v>
      </c>
      <c r="H117" s="456" t="s">
        <v>479</v>
      </c>
      <c r="I117" s="473">
        <f>SUM(I92:I108)</f>
        <v>26.246566325875463</v>
      </c>
      <c r="J117" s="456" t="s">
        <v>479</v>
      </c>
      <c r="K117" s="473">
        <f>SUM(K92:K108)</f>
        <v>12.277844914559402</v>
      </c>
      <c r="L117" s="456" t="s">
        <v>479</v>
      </c>
      <c r="M117" s="473">
        <f>SUM(M92:M108)</f>
        <v>35.876194554156548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</row>
    <row r="118" spans="2:37" ht="15.75" thickBot="1">
      <c r="C118" s="221"/>
      <c r="D118" s="3"/>
      <c r="F118" s="723" t="str">
        <f>IF(G117&lt;50,"Verifica")</f>
        <v>Verifica</v>
      </c>
      <c r="G118" s="724"/>
      <c r="H118" s="723" t="str">
        <f>IF(I117&lt;50,"Verifica")</f>
        <v>Verifica</v>
      </c>
      <c r="I118" s="724"/>
      <c r="J118" s="723" t="str">
        <f>IF(K117&lt;50,"Verifica")</f>
        <v>Verifica</v>
      </c>
      <c r="K118" s="724"/>
      <c r="L118" s="723" t="str">
        <f>IF(M117&lt;50,"Verifica")</f>
        <v>Verifica</v>
      </c>
      <c r="M118" s="724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</row>
    <row r="119" spans="2:37">
      <c r="C119" s="222"/>
      <c r="D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</row>
    <row r="120" spans="2:37" ht="15.75" thickBot="1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</row>
    <row r="121" spans="2:37" ht="15.75" thickBot="1">
      <c r="B121" s="9"/>
      <c r="C121" s="9"/>
      <c r="D121" s="9"/>
      <c r="E121" s="9"/>
      <c r="F121" s="9"/>
      <c r="G121" s="469" t="s">
        <v>461</v>
      </c>
      <c r="H121" s="469" t="s">
        <v>464</v>
      </c>
      <c r="I121" s="469" t="s">
        <v>465</v>
      </c>
      <c r="J121" s="485" t="s">
        <v>466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</row>
    <row r="122" spans="2:37" ht="15.75" thickBot="1">
      <c r="B122" s="9"/>
      <c r="C122" s="9"/>
      <c r="D122" s="9"/>
      <c r="E122" s="9"/>
      <c r="F122" s="480" t="s">
        <v>481</v>
      </c>
      <c r="G122" s="476">
        <f>G117/1000</f>
        <v>9.4444532815578727E-3</v>
      </c>
      <c r="H122" s="475">
        <f>I117/1000</f>
        <v>2.6246566325875464E-2</v>
      </c>
      <c r="I122" s="475">
        <f>K117/1000</f>
        <v>1.2277844914559402E-2</v>
      </c>
      <c r="J122" s="475">
        <f>M117/1000</f>
        <v>3.5876194554156547E-2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</row>
    <row r="123" spans="2:37" ht="15.75" thickBot="1">
      <c r="B123" s="9"/>
      <c r="C123" s="9"/>
      <c r="D123" s="9"/>
      <c r="E123" s="9"/>
      <c r="F123" s="481" t="s">
        <v>246</v>
      </c>
      <c r="G123" s="478">
        <f>U98-U95</f>
        <v>33.619366852886415</v>
      </c>
      <c r="H123" s="479">
        <f>V98-V95</f>
        <v>64.058566108007469</v>
      </c>
      <c r="I123" s="479">
        <f>W98-W95</f>
        <v>38.942515432098766</v>
      </c>
      <c r="J123" s="479">
        <f>X98-X95</f>
        <v>80.55848765432097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</row>
    <row r="124" spans="2:37" ht="15.75" thickBot="1">
      <c r="B124" s="9"/>
      <c r="C124" s="9"/>
      <c r="D124" s="9"/>
      <c r="E124" s="324"/>
      <c r="F124" s="450" t="s">
        <v>339</v>
      </c>
      <c r="G124" s="476">
        <f>G123/G122</f>
        <v>3559.6943359902843</v>
      </c>
      <c r="H124" s="475">
        <f>H123/H122</f>
        <v>2440.6455805556034</v>
      </c>
      <c r="I124" s="475">
        <f>I123/I122</f>
        <v>3171.7712434956461</v>
      </c>
      <c r="J124" s="477">
        <f>J123/J122</f>
        <v>2245.4579883804208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</row>
    <row r="125" spans="2:37" ht="15.75" thickBot="1">
      <c r="B125" s="9"/>
      <c r="C125" s="9"/>
      <c r="D125" s="9"/>
      <c r="F125" s="482" t="s">
        <v>480</v>
      </c>
      <c r="G125" s="283">
        <f>G124*$U$91</f>
        <v>4271.6332031883412</v>
      </c>
      <c r="H125" s="296">
        <f t="shared" ref="H125:J125" si="15">H124*$U$91</f>
        <v>2928.7746966667241</v>
      </c>
      <c r="I125" s="383">
        <f t="shared" si="15"/>
        <v>3806.1254921947752</v>
      </c>
      <c r="J125" s="483">
        <f t="shared" si="15"/>
        <v>2694.5495860565047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</row>
    <row r="126" spans="2:37">
      <c r="B126" s="9"/>
      <c r="C126" s="9"/>
      <c r="D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</row>
    <row r="127" spans="2:37" ht="15.75" thickBot="1">
      <c r="B127" s="9"/>
      <c r="C127" s="9"/>
      <c r="D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</row>
    <row r="128" spans="2:37" ht="15.75" thickBot="1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P128" s="484"/>
      <c r="R128" s="484"/>
      <c r="T128" s="484"/>
      <c r="V128" s="484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</row>
    <row r="129" spans="2:37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</row>
    <row r="130" spans="2:37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</row>
    <row r="131" spans="2:37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</row>
    <row r="132" spans="2:37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</row>
    <row r="133" spans="2:37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</row>
    <row r="134" spans="2:37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</row>
    <row r="135" spans="2:37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</row>
    <row r="136" spans="2:37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</row>
    <row r="137" spans="2:37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</row>
    <row r="138" spans="2:37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</row>
    <row r="139" spans="2:37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</row>
    <row r="140" spans="2:37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</row>
    <row r="141" spans="2:37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</row>
    <row r="142" spans="2:37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</row>
    <row r="143" spans="2:37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</row>
    <row r="144" spans="2:37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</row>
    <row r="145" spans="2:37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</row>
    <row r="146" spans="2:37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</row>
    <row r="147" spans="2:37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</row>
    <row r="148" spans="2:37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</row>
    <row r="149" spans="2:37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</row>
    <row r="150" spans="2:37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</row>
    <row r="151" spans="2:37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</row>
    <row r="152" spans="2:37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</row>
    <row r="153" spans="2:37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</row>
    <row r="154" spans="2:37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</row>
    <row r="155" spans="2:37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</row>
    <row r="156" spans="2:37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</row>
    <row r="157" spans="2:37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</row>
    <row r="158" spans="2:37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</row>
    <row r="159" spans="2:37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</row>
    <row r="160" spans="2:37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</row>
    <row r="161" spans="2:37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</row>
    <row r="162" spans="2:37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</row>
    <row r="163" spans="2:37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</row>
    <row r="164" spans="2:37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</row>
    <row r="165" spans="2:37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</row>
    <row r="166" spans="2:37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</row>
    <row r="167" spans="2:37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</row>
    <row r="168" spans="2:37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</row>
    <row r="169" spans="2:37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</row>
    <row r="170" spans="2:37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</row>
    <row r="171" spans="2:37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</row>
    <row r="172" spans="2:37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</row>
    <row r="173" spans="2:37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</row>
    <row r="174" spans="2:37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</row>
    <row r="175" spans="2:37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</row>
    <row r="176" spans="2:37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</row>
    <row r="177" spans="2:37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</row>
    <row r="178" spans="2:37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</row>
    <row r="179" spans="2:37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</row>
    <row r="180" spans="2:37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</row>
    <row r="181" spans="2:37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</row>
    <row r="182" spans="2:37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</row>
    <row r="183" spans="2:37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</row>
    <row r="184" spans="2:37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</row>
    <row r="185" spans="2:37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</row>
    <row r="186" spans="2:37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</row>
    <row r="187" spans="2:37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</row>
    <row r="188" spans="2:37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</row>
    <row r="189" spans="2:37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</row>
    <row r="190" spans="2:37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</row>
    <row r="191" spans="2:37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</row>
    <row r="192" spans="2:37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</row>
    <row r="193" spans="2:37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</row>
    <row r="194" spans="2:37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</row>
    <row r="195" spans="2:37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</row>
    <row r="196" spans="2:37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</row>
    <row r="197" spans="2:37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</row>
    <row r="198" spans="2:37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</row>
    <row r="199" spans="2:37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</row>
    <row r="200" spans="2:37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</row>
    <row r="201" spans="2:37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</row>
    <row r="202" spans="2:37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</row>
    <row r="203" spans="2:37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</row>
    <row r="204" spans="2:37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</row>
    <row r="205" spans="2:37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</row>
    <row r="206" spans="2:37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</row>
    <row r="207" spans="2:37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</row>
    <row r="208" spans="2:37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</row>
    <row r="209" spans="2:37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</row>
    <row r="210" spans="2:37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</row>
    <row r="211" spans="2:37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</row>
    <row r="212" spans="2:37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</row>
    <row r="213" spans="2:37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</row>
    <row r="214" spans="2:37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</row>
    <row r="215" spans="2:37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</row>
    <row r="216" spans="2:37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</row>
    <row r="217" spans="2:37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</row>
    <row r="218" spans="2:37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</row>
    <row r="219" spans="2:37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</row>
    <row r="220" spans="2:37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</row>
    <row r="221" spans="2:37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</row>
    <row r="222" spans="2:37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</row>
    <row r="223" spans="2:37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</row>
    <row r="224" spans="2:37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</row>
  </sheetData>
  <mergeCells count="11">
    <mergeCell ref="F3:H3"/>
    <mergeCell ref="M14:N14"/>
    <mergeCell ref="D59:N59"/>
    <mergeCell ref="F118:G118"/>
    <mergeCell ref="H118:I118"/>
    <mergeCell ref="J118:K118"/>
    <mergeCell ref="L118:M118"/>
    <mergeCell ref="F90:G90"/>
    <mergeCell ref="H90:I90"/>
    <mergeCell ref="J90:K90"/>
    <mergeCell ref="L90:M90"/>
  </mergeCells>
  <pageMargins left="0.7" right="0.7" top="0.75" bottom="0.75" header="0.3" footer="0.3"/>
  <pageSetup paperSize="9" scale="2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45BF-DA1F-4963-AEEA-A7008FF16DCE}">
  <dimension ref="B2:AC57"/>
  <sheetViews>
    <sheetView zoomScale="73" zoomScaleNormal="73" workbookViewId="0">
      <selection activeCell="F53" sqref="F53"/>
    </sheetView>
  </sheetViews>
  <sheetFormatPr defaultRowHeight="15"/>
  <cols>
    <col min="2" max="2" width="18.28515625" customWidth="1"/>
    <col min="6" max="6" width="12.42578125" customWidth="1"/>
    <col min="26" max="26" width="13.85546875" customWidth="1"/>
  </cols>
  <sheetData>
    <row r="2" spans="2:26" ht="15.75" thickBot="1"/>
    <row r="3" spans="2:26" ht="15.75" thickBot="1">
      <c r="B3" s="729" t="s">
        <v>336</v>
      </c>
      <c r="C3" s="730"/>
      <c r="D3" s="730"/>
      <c r="E3" s="730"/>
      <c r="F3" s="730"/>
      <c r="G3" s="730"/>
      <c r="H3" s="730"/>
      <c r="I3" s="730"/>
      <c r="J3" s="730"/>
      <c r="K3" s="730"/>
      <c r="L3" s="731"/>
    </row>
    <row r="4" spans="2:26" ht="15.75" thickBot="1">
      <c r="B4" s="732" t="s">
        <v>338</v>
      </c>
      <c r="C4" s="732"/>
      <c r="D4" s="732"/>
      <c r="E4" s="732"/>
      <c r="F4" s="732"/>
      <c r="G4" s="732"/>
      <c r="H4" s="732"/>
      <c r="I4" s="732"/>
      <c r="J4" s="732"/>
      <c r="K4" s="732"/>
      <c r="L4" s="732"/>
      <c r="S4" s="718" t="s">
        <v>306</v>
      </c>
      <c r="T4" s="718"/>
      <c r="U4" s="718"/>
    </row>
    <row r="5" spans="2:26">
      <c r="O5" s="212" t="s">
        <v>248</v>
      </c>
      <c r="P5" s="213" t="s">
        <v>249</v>
      </c>
      <c r="Q5" s="213" t="s">
        <v>250</v>
      </c>
      <c r="R5" s="214" t="s">
        <v>266</v>
      </c>
      <c r="S5" s="212" t="s">
        <v>249</v>
      </c>
      <c r="T5" s="213" t="s">
        <v>266</v>
      </c>
      <c r="U5" s="214" t="s">
        <v>250</v>
      </c>
    </row>
    <row r="6" spans="2:26" ht="15.75" thickBot="1">
      <c r="O6" s="215" t="s">
        <v>247</v>
      </c>
      <c r="P6" s="216" t="s">
        <v>251</v>
      </c>
      <c r="Q6" s="216" t="s">
        <v>173</v>
      </c>
      <c r="R6" s="217" t="s">
        <v>173</v>
      </c>
      <c r="S6" s="215" t="s">
        <v>251</v>
      </c>
      <c r="T6" s="218" t="s">
        <v>267</v>
      </c>
      <c r="U6" s="217" t="s">
        <v>252</v>
      </c>
    </row>
    <row r="7" spans="2:26">
      <c r="O7" s="246">
        <v>0.2</v>
      </c>
      <c r="P7" s="246">
        <v>1.85</v>
      </c>
      <c r="Q7" s="246">
        <v>0.04</v>
      </c>
      <c r="R7" s="247">
        <v>16</v>
      </c>
      <c r="S7" s="248">
        <f t="shared" ref="S7:S54" si="0">10*P7</f>
        <v>18.5</v>
      </c>
      <c r="T7" s="249">
        <f t="shared" ref="T7:T14" si="1">100*R7</f>
        <v>1600</v>
      </c>
      <c r="U7" s="249">
        <f t="shared" ref="U7:U54" si="2">100*Q7</f>
        <v>4</v>
      </c>
    </row>
    <row r="8" spans="2:26">
      <c r="O8" s="231">
        <v>0.4</v>
      </c>
      <c r="P8" s="231">
        <v>1.85</v>
      </c>
      <c r="Q8" s="231">
        <v>7.0000000000000007E-2</v>
      </c>
      <c r="R8" s="232">
        <v>26</v>
      </c>
      <c r="S8" s="233">
        <f t="shared" si="0"/>
        <v>18.5</v>
      </c>
      <c r="T8" s="234">
        <f t="shared" si="1"/>
        <v>2600</v>
      </c>
      <c r="U8" s="234">
        <f t="shared" si="2"/>
        <v>7.0000000000000009</v>
      </c>
    </row>
    <row r="9" spans="2:26">
      <c r="O9" s="231">
        <v>0.6</v>
      </c>
      <c r="P9" s="231">
        <v>1.85</v>
      </c>
      <c r="Q9" s="231">
        <v>0.11</v>
      </c>
      <c r="R9" s="232">
        <v>30</v>
      </c>
      <c r="S9" s="233">
        <f t="shared" si="0"/>
        <v>18.5</v>
      </c>
      <c r="T9" s="234">
        <f t="shared" si="1"/>
        <v>3000</v>
      </c>
      <c r="U9" s="234">
        <f t="shared" si="2"/>
        <v>11</v>
      </c>
    </row>
    <row r="10" spans="2:26" ht="15.75" thickBot="1">
      <c r="O10" s="231">
        <v>0.8</v>
      </c>
      <c r="P10" s="231">
        <v>1.85</v>
      </c>
      <c r="Q10" s="231">
        <v>0.15</v>
      </c>
      <c r="R10" s="232">
        <v>25</v>
      </c>
      <c r="S10" s="233">
        <f t="shared" si="0"/>
        <v>18.5</v>
      </c>
      <c r="T10" s="234">
        <f t="shared" si="1"/>
        <v>2500</v>
      </c>
      <c r="U10" s="234">
        <f t="shared" si="2"/>
        <v>15</v>
      </c>
    </row>
    <row r="11" spans="2:26">
      <c r="B11" s="263" t="s">
        <v>245</v>
      </c>
      <c r="C11" s="264">
        <f>1.3</f>
        <v>1.3</v>
      </c>
      <c r="M11" s="178"/>
      <c r="O11" s="235" t="s">
        <v>303</v>
      </c>
      <c r="P11" s="231">
        <v>1.85</v>
      </c>
      <c r="Q11" s="231">
        <v>0.19</v>
      </c>
      <c r="R11" s="232">
        <v>17</v>
      </c>
      <c r="S11" s="233">
        <f t="shared" si="0"/>
        <v>18.5</v>
      </c>
      <c r="T11" s="234">
        <f t="shared" si="1"/>
        <v>1700</v>
      </c>
      <c r="U11" s="119">
        <f t="shared" si="2"/>
        <v>19</v>
      </c>
    </row>
    <row r="12" spans="2:26" ht="15.75" thickBot="1">
      <c r="B12" s="29" t="s">
        <v>233</v>
      </c>
      <c r="C12" s="28">
        <v>18</v>
      </c>
      <c r="O12" s="231">
        <v>1.2</v>
      </c>
      <c r="P12" s="231">
        <v>1.85</v>
      </c>
      <c r="Q12" s="231">
        <v>0.22</v>
      </c>
      <c r="R12" s="232">
        <v>12</v>
      </c>
      <c r="S12" s="233">
        <f t="shared" si="0"/>
        <v>18.5</v>
      </c>
      <c r="T12" s="234">
        <f t="shared" si="1"/>
        <v>1200</v>
      </c>
      <c r="U12" s="119">
        <f t="shared" si="2"/>
        <v>22</v>
      </c>
    </row>
    <row r="13" spans="2:26" ht="15.75" thickBot="1">
      <c r="B13" s="29" t="s">
        <v>332</v>
      </c>
      <c r="C13" s="28">
        <f>C12/C11</f>
        <v>13.846153846153845</v>
      </c>
      <c r="O13" s="231">
        <v>1.4</v>
      </c>
      <c r="P13" s="231">
        <v>1.85</v>
      </c>
      <c r="Q13" s="231">
        <v>0.26</v>
      </c>
      <c r="R13" s="232">
        <v>24</v>
      </c>
      <c r="S13" s="233">
        <f t="shared" si="0"/>
        <v>18.5</v>
      </c>
      <c r="T13" s="234">
        <f t="shared" si="1"/>
        <v>2400</v>
      </c>
      <c r="U13" s="119">
        <f t="shared" si="2"/>
        <v>26</v>
      </c>
      <c r="X13" s="210" t="s">
        <v>255</v>
      </c>
      <c r="Y13" s="210" t="s">
        <v>256</v>
      </c>
      <c r="Z13" s="210" t="s">
        <v>317</v>
      </c>
    </row>
    <row r="14" spans="2:26">
      <c r="B14" s="29" t="s">
        <v>218</v>
      </c>
      <c r="C14" s="28">
        <f>10*1.85</f>
        <v>18.5</v>
      </c>
      <c r="O14" s="236">
        <v>1.6</v>
      </c>
      <c r="P14" s="236">
        <v>1.85</v>
      </c>
      <c r="Q14" s="236">
        <v>0.3</v>
      </c>
      <c r="R14" s="237">
        <v>20</v>
      </c>
      <c r="S14" s="238">
        <f t="shared" si="0"/>
        <v>18.5</v>
      </c>
      <c r="T14" s="239">
        <f t="shared" si="1"/>
        <v>2000</v>
      </c>
      <c r="U14" s="239">
        <f t="shared" si="2"/>
        <v>30</v>
      </c>
      <c r="V14" s="257"/>
      <c r="W14" s="3"/>
      <c r="X14" s="244">
        <v>0</v>
      </c>
      <c r="Y14" s="245">
        <f t="shared" ref="Y14:Y44" si="3">IF(X14&lt;$C$11,$C$31+($C$32-$C$31)*X14/$C$35,$C$32*($C$36-X14)/($C$36-$C$35))</f>
        <v>0.2</v>
      </c>
      <c r="Z14" s="250">
        <f>$D$41*$D$44*$C$28*(Y14*$C$37)/(T14*$D$47)</f>
        <v>2.9913666419093861E-4</v>
      </c>
    </row>
    <row r="15" spans="2:26">
      <c r="B15" s="29" t="s">
        <v>216</v>
      </c>
      <c r="C15" s="28">
        <f>C14-10</f>
        <v>8.5</v>
      </c>
      <c r="O15" s="231">
        <v>1.8</v>
      </c>
      <c r="P15" s="231">
        <v>0.85</v>
      </c>
      <c r="Q15" s="231">
        <v>0.31</v>
      </c>
      <c r="R15" s="232">
        <v>9</v>
      </c>
      <c r="S15" s="233">
        <f t="shared" si="0"/>
        <v>8.5</v>
      </c>
      <c r="T15" s="234">
        <f>R15/0.01</f>
        <v>900</v>
      </c>
      <c r="U15" s="119">
        <f t="shared" si="2"/>
        <v>31</v>
      </c>
      <c r="V15" s="10"/>
      <c r="W15" s="3"/>
      <c r="X15" s="230">
        <v>0.2</v>
      </c>
      <c r="Y15" s="245">
        <f t="shared" si="3"/>
        <v>0.26385787380546827</v>
      </c>
      <c r="Z15" s="250">
        <f t="shared" ref="Z15:Z44" si="4">$D$41*$D$44*$C$28*(Y15*$C$37)/(T15*$D$47)</f>
        <v>8.7699515767423791E-4</v>
      </c>
    </row>
    <row r="16" spans="2:26">
      <c r="B16" s="29" t="s">
        <v>240</v>
      </c>
      <c r="C16" s="28" t="e">
        <f>#REF!</f>
        <v>#REF!</v>
      </c>
      <c r="D16" s="9"/>
      <c r="O16" s="240" t="s">
        <v>304</v>
      </c>
      <c r="P16" s="231">
        <v>0.96</v>
      </c>
      <c r="Q16" s="231">
        <v>0.33</v>
      </c>
      <c r="R16" s="232">
        <v>76</v>
      </c>
      <c r="S16" s="233">
        <f t="shared" si="0"/>
        <v>9.6</v>
      </c>
      <c r="T16" s="119">
        <f>T15</f>
        <v>900</v>
      </c>
      <c r="U16" s="119">
        <f t="shared" si="2"/>
        <v>33</v>
      </c>
      <c r="X16" s="230">
        <v>0.4</v>
      </c>
      <c r="Y16" s="245">
        <f t="shared" si="3"/>
        <v>0.32771574761093653</v>
      </c>
      <c r="Z16" s="250">
        <f t="shared" si="4"/>
        <v>1.0892421727019454E-3</v>
      </c>
    </row>
    <row r="17" spans="2:26" ht="15.75" thickBot="1">
      <c r="B17" s="127" t="s">
        <v>241</v>
      </c>
      <c r="C17" s="128">
        <f>U14</f>
        <v>30</v>
      </c>
      <c r="O17" s="241">
        <v>2.2000000000000002</v>
      </c>
      <c r="P17" s="241">
        <v>0.87</v>
      </c>
      <c r="Q17" s="241">
        <v>0.35</v>
      </c>
      <c r="R17" s="232">
        <v>11</v>
      </c>
      <c r="S17" s="233">
        <f t="shared" si="0"/>
        <v>8.6999999999999993</v>
      </c>
      <c r="T17" s="119">
        <f>100*R17</f>
        <v>1100</v>
      </c>
      <c r="U17" s="119">
        <f t="shared" si="2"/>
        <v>35</v>
      </c>
      <c r="V17" s="10" t="s">
        <v>318</v>
      </c>
      <c r="W17" s="10">
        <f>C11/2</f>
        <v>0.65</v>
      </c>
      <c r="X17" s="230">
        <v>0.6</v>
      </c>
      <c r="Y17" s="245">
        <f t="shared" si="3"/>
        <v>0.39157362141640473</v>
      </c>
      <c r="Z17" s="250">
        <f t="shared" si="4"/>
        <v>1.0648547899606254E-3</v>
      </c>
    </row>
    <row r="18" spans="2:26">
      <c r="O18" s="241">
        <v>2.4</v>
      </c>
      <c r="P18" s="241">
        <v>0.82</v>
      </c>
      <c r="Q18" s="241">
        <v>0.37</v>
      </c>
      <c r="R18" s="232">
        <v>6</v>
      </c>
      <c r="S18" s="233">
        <f t="shared" si="0"/>
        <v>8.1999999999999993</v>
      </c>
      <c r="T18" s="119">
        <f>100*R18</f>
        <v>600</v>
      </c>
      <c r="U18" s="119">
        <f t="shared" si="2"/>
        <v>37</v>
      </c>
      <c r="X18" s="230">
        <v>0.8</v>
      </c>
      <c r="Y18" s="245">
        <f t="shared" si="3"/>
        <v>0.45543149522187304</v>
      </c>
      <c r="Z18" s="250">
        <f t="shared" si="4"/>
        <v>2.2706043041360413E-3</v>
      </c>
    </row>
    <row r="19" spans="2:26">
      <c r="O19" s="241">
        <v>2.6</v>
      </c>
      <c r="P19" s="241">
        <v>0.8</v>
      </c>
      <c r="Q19" s="241">
        <v>0.38</v>
      </c>
      <c r="R19" s="232">
        <v>5</v>
      </c>
      <c r="S19" s="233">
        <f t="shared" si="0"/>
        <v>8</v>
      </c>
      <c r="T19" s="119">
        <f>100*R19</f>
        <v>500</v>
      </c>
      <c r="U19" s="119">
        <f t="shared" si="2"/>
        <v>38</v>
      </c>
      <c r="X19" s="230">
        <v>1</v>
      </c>
      <c r="Y19" s="245">
        <f t="shared" si="3"/>
        <v>0.51928936902734124</v>
      </c>
      <c r="Z19" s="250">
        <f t="shared" si="4"/>
        <v>3.1067697920131232E-3</v>
      </c>
    </row>
    <row r="20" spans="2:26">
      <c r="O20" s="241">
        <v>2.8</v>
      </c>
      <c r="P20" s="241">
        <v>0.86</v>
      </c>
      <c r="Q20" s="241">
        <v>0.4</v>
      </c>
      <c r="R20" s="232">
        <v>8</v>
      </c>
      <c r="S20" s="233">
        <f t="shared" si="0"/>
        <v>8.6</v>
      </c>
      <c r="T20" s="119">
        <f>100*R20</f>
        <v>800</v>
      </c>
      <c r="U20" s="119">
        <f t="shared" si="2"/>
        <v>40</v>
      </c>
      <c r="V20" s="10" t="s">
        <v>319</v>
      </c>
      <c r="W20" s="10">
        <f>C11</f>
        <v>1.3</v>
      </c>
      <c r="X20" s="230">
        <v>1.2</v>
      </c>
      <c r="Y20" s="245">
        <f t="shared" si="3"/>
        <v>0.5831472428328095</v>
      </c>
      <c r="Z20" s="250">
        <f t="shared" si="4"/>
        <v>2.1805090119143733E-3</v>
      </c>
    </row>
    <row r="21" spans="2:26">
      <c r="O21" s="242" t="s">
        <v>305</v>
      </c>
      <c r="P21" s="241">
        <v>0.89</v>
      </c>
      <c r="Q21" s="241">
        <v>0.42</v>
      </c>
      <c r="R21" s="232">
        <v>36</v>
      </c>
      <c r="S21" s="233">
        <f t="shared" si="0"/>
        <v>8.9</v>
      </c>
      <c r="T21" s="119">
        <f>100*R21</f>
        <v>3600</v>
      </c>
      <c r="U21" s="119">
        <f t="shared" si="2"/>
        <v>42</v>
      </c>
      <c r="X21" s="230">
        <v>1.4</v>
      </c>
      <c r="Y21" s="245">
        <f t="shared" si="3"/>
        <v>0.59930499563976047</v>
      </c>
      <c r="Z21" s="250">
        <f t="shared" si="4"/>
        <v>4.9798360341289703E-4</v>
      </c>
    </row>
    <row r="22" spans="2:26" ht="15.75" thickBot="1">
      <c r="O22" s="241">
        <v>3.2</v>
      </c>
      <c r="P22" s="241">
        <v>0.9</v>
      </c>
      <c r="Q22" s="241">
        <v>0.43</v>
      </c>
      <c r="R22" s="232">
        <v>38</v>
      </c>
      <c r="S22" s="233">
        <f t="shared" si="0"/>
        <v>9</v>
      </c>
      <c r="T22" s="119">
        <f t="shared" ref="T22:T54" si="5">100*R22</f>
        <v>3800</v>
      </c>
      <c r="U22" s="119">
        <f t="shared" si="2"/>
        <v>43</v>
      </c>
      <c r="X22" s="230">
        <v>1.6</v>
      </c>
      <c r="Y22" s="245">
        <f t="shared" si="3"/>
        <v>0.56776262744819417</v>
      </c>
      <c r="Z22" s="250">
        <f t="shared" si="4"/>
        <v>4.4694373270298796E-4</v>
      </c>
    </row>
    <row r="23" spans="2:26">
      <c r="B23" s="263" t="s">
        <v>321</v>
      </c>
      <c r="C23" s="26">
        <f>353.493</f>
        <v>353.49299999999999</v>
      </c>
      <c r="O23" s="241">
        <v>3.4</v>
      </c>
      <c r="P23" s="241">
        <v>0.92</v>
      </c>
      <c r="Q23" s="241">
        <v>0.45</v>
      </c>
      <c r="R23" s="232">
        <v>52</v>
      </c>
      <c r="S23" s="233">
        <f t="shared" si="0"/>
        <v>9.2000000000000011</v>
      </c>
      <c r="T23" s="119">
        <f t="shared" si="5"/>
        <v>5200</v>
      </c>
      <c r="U23" s="119">
        <f t="shared" si="2"/>
        <v>45</v>
      </c>
      <c r="V23" s="9"/>
      <c r="W23" s="3"/>
      <c r="X23" s="230">
        <v>1.8</v>
      </c>
      <c r="Y23" s="245">
        <f t="shared" si="3"/>
        <v>0.53622025925662786</v>
      </c>
      <c r="Z23" s="250">
        <f t="shared" si="4"/>
        <v>3.0846757620313061E-4</v>
      </c>
    </row>
    <row r="24" spans="2:26">
      <c r="B24" s="29" t="s">
        <v>322</v>
      </c>
      <c r="C24" s="27">
        <v>570.77599999999995</v>
      </c>
      <c r="O24" s="241">
        <v>3.6</v>
      </c>
      <c r="P24" s="241">
        <v>0.89</v>
      </c>
      <c r="Q24" s="241">
        <v>0.47</v>
      </c>
      <c r="R24" s="232">
        <v>36</v>
      </c>
      <c r="S24" s="233">
        <f t="shared" si="0"/>
        <v>8.9</v>
      </c>
      <c r="T24" s="119">
        <f t="shared" si="5"/>
        <v>3600</v>
      </c>
      <c r="U24" s="119">
        <f t="shared" si="2"/>
        <v>47</v>
      </c>
      <c r="V24" s="257"/>
      <c r="W24" s="3"/>
      <c r="X24" s="230">
        <v>2</v>
      </c>
      <c r="Y24" s="245">
        <f t="shared" si="3"/>
        <v>0.50467789106506145</v>
      </c>
      <c r="Z24" s="250">
        <f t="shared" si="4"/>
        <v>4.1935461340033442E-4</v>
      </c>
    </row>
    <row r="25" spans="2:26" ht="15.75" thickBot="1">
      <c r="B25" s="127" t="s">
        <v>323</v>
      </c>
      <c r="C25" s="30">
        <f>2*(C23+C24)</f>
        <v>1848.538</v>
      </c>
      <c r="O25" s="241">
        <v>3.8</v>
      </c>
      <c r="P25" s="241">
        <v>0.88</v>
      </c>
      <c r="Q25" s="241">
        <v>0.49</v>
      </c>
      <c r="R25" s="232">
        <v>32</v>
      </c>
      <c r="S25" s="233">
        <f t="shared" si="0"/>
        <v>8.8000000000000007</v>
      </c>
      <c r="T25" s="119">
        <f t="shared" si="5"/>
        <v>3200</v>
      </c>
      <c r="U25" s="119">
        <f t="shared" si="2"/>
        <v>49</v>
      </c>
      <c r="V25" s="9"/>
      <c r="W25" s="3"/>
      <c r="X25" s="230">
        <v>2.2000000000000002</v>
      </c>
      <c r="Y25" s="245">
        <f t="shared" si="3"/>
        <v>0.47313552287349508</v>
      </c>
      <c r="Z25" s="250">
        <f t="shared" si="4"/>
        <v>4.4228806882066514E-4</v>
      </c>
    </row>
    <row r="26" spans="2:26">
      <c r="B26" s="1" t="s">
        <v>302</v>
      </c>
      <c r="C26" s="1">
        <f>C12*C11</f>
        <v>23.400000000000002</v>
      </c>
      <c r="O26" s="243" t="s">
        <v>311</v>
      </c>
      <c r="P26" s="241">
        <v>0.89</v>
      </c>
      <c r="Q26" s="241">
        <v>0.51</v>
      </c>
      <c r="R26" s="232">
        <v>37</v>
      </c>
      <c r="S26" s="233">
        <f t="shared" si="0"/>
        <v>8.9</v>
      </c>
      <c r="T26" s="119">
        <f t="shared" si="5"/>
        <v>3700</v>
      </c>
      <c r="U26" s="119">
        <f t="shared" si="2"/>
        <v>51</v>
      </c>
      <c r="V26" s="221"/>
      <c r="W26" s="3"/>
      <c r="X26" s="230">
        <v>2.4</v>
      </c>
      <c r="Y26" s="245">
        <f t="shared" si="3"/>
        <v>0.44159315468192878</v>
      </c>
      <c r="Z26" s="250">
        <f t="shared" si="4"/>
        <v>3.5701811681379818E-4</v>
      </c>
    </row>
    <row r="27" spans="2:26">
      <c r="B27" s="1" t="s">
        <v>270</v>
      </c>
      <c r="C27" s="180">
        <f>C25/C26</f>
        <v>78.997350427350426</v>
      </c>
      <c r="D27" t="s">
        <v>271</v>
      </c>
      <c r="O27" s="241">
        <v>4.2</v>
      </c>
      <c r="P27" s="241">
        <v>0.86</v>
      </c>
      <c r="Q27" s="241">
        <v>0.52</v>
      </c>
      <c r="R27" s="232">
        <v>22</v>
      </c>
      <c r="S27" s="233">
        <f t="shared" si="0"/>
        <v>8.6</v>
      </c>
      <c r="T27" s="119">
        <f t="shared" si="5"/>
        <v>2200</v>
      </c>
      <c r="U27" s="119">
        <f t="shared" si="2"/>
        <v>52</v>
      </c>
      <c r="V27" s="221"/>
      <c r="W27" s="3"/>
      <c r="X27" s="230">
        <v>2.6</v>
      </c>
      <c r="Y27" s="245">
        <f t="shared" si="3"/>
        <v>0.41005078649036242</v>
      </c>
      <c r="Z27" s="250">
        <f t="shared" si="4"/>
        <v>5.5755102008908089E-4</v>
      </c>
    </row>
    <row r="28" spans="2:26">
      <c r="B28" s="1" t="s">
        <v>246</v>
      </c>
      <c r="C28" s="180">
        <f>C27-C17</f>
        <v>48.997350427350426</v>
      </c>
      <c r="O28" s="241">
        <v>4.4000000000000004</v>
      </c>
      <c r="P28" s="241">
        <v>0.87</v>
      </c>
      <c r="Q28" s="241">
        <v>0.54</v>
      </c>
      <c r="R28" s="232">
        <v>26</v>
      </c>
      <c r="S28" s="233">
        <f t="shared" si="0"/>
        <v>8.6999999999999993</v>
      </c>
      <c r="T28" s="119">
        <f t="shared" si="5"/>
        <v>2600</v>
      </c>
      <c r="U28" s="119">
        <f t="shared" si="2"/>
        <v>54</v>
      </c>
      <c r="V28" s="221"/>
      <c r="W28" s="3"/>
      <c r="X28" s="230">
        <v>2.8</v>
      </c>
      <c r="Y28" s="245">
        <f t="shared" si="3"/>
        <v>0.37850841829879611</v>
      </c>
      <c r="Z28" s="250">
        <f t="shared" si="4"/>
        <v>4.3548363699265498E-4</v>
      </c>
    </row>
    <row r="29" spans="2:26">
      <c r="B29" s="178" t="s">
        <v>260</v>
      </c>
      <c r="C29" s="1">
        <f>U18</f>
        <v>37</v>
      </c>
      <c r="O29" s="241">
        <v>4.5999999999999996</v>
      </c>
      <c r="P29" s="241">
        <v>0.87</v>
      </c>
      <c r="Q29" s="241">
        <v>0.56000000000000005</v>
      </c>
      <c r="R29" s="232">
        <v>27</v>
      </c>
      <c r="S29" s="233">
        <f t="shared" si="0"/>
        <v>8.6999999999999993</v>
      </c>
      <c r="T29" s="119">
        <f t="shared" si="5"/>
        <v>2700</v>
      </c>
      <c r="U29" s="119">
        <f t="shared" si="2"/>
        <v>56.000000000000007</v>
      </c>
      <c r="V29" s="221"/>
      <c r="W29" s="3"/>
      <c r="X29" s="230">
        <v>3</v>
      </c>
      <c r="Y29" s="245">
        <f t="shared" si="3"/>
        <v>0.34696605010722975</v>
      </c>
      <c r="Z29" s="250">
        <f t="shared" si="4"/>
        <v>3.8440839561697319E-4</v>
      </c>
    </row>
    <row r="30" spans="2:26">
      <c r="B30" s="178" t="s">
        <v>259</v>
      </c>
      <c r="C30" s="1">
        <f>U14</f>
        <v>30</v>
      </c>
      <c r="D30" s="1"/>
      <c r="O30" s="241">
        <v>4.8</v>
      </c>
      <c r="P30" s="241">
        <v>0.87</v>
      </c>
      <c r="Q30" s="241">
        <v>0.57999999999999996</v>
      </c>
      <c r="R30" s="232">
        <v>28</v>
      </c>
      <c r="S30" s="233">
        <f t="shared" si="0"/>
        <v>8.6999999999999993</v>
      </c>
      <c r="T30" s="119">
        <f t="shared" si="5"/>
        <v>2800</v>
      </c>
      <c r="U30" s="119">
        <f t="shared" si="2"/>
        <v>57.999999999999993</v>
      </c>
      <c r="X30" s="230">
        <v>3.2</v>
      </c>
      <c r="Y30" s="245">
        <f t="shared" si="3"/>
        <v>0.31542368191566339</v>
      </c>
      <c r="Z30" s="250">
        <f t="shared" si="4"/>
        <v>3.3698138576812581E-4</v>
      </c>
    </row>
    <row r="31" spans="2:26">
      <c r="B31" s="118" t="s">
        <v>253</v>
      </c>
      <c r="C31" s="1">
        <v>0.2</v>
      </c>
      <c r="D31" s="1"/>
      <c r="O31" s="242" t="s">
        <v>312</v>
      </c>
      <c r="P31" s="241">
        <v>0.95</v>
      </c>
      <c r="Q31" s="241">
        <v>0.59</v>
      </c>
      <c r="R31" s="232">
        <v>26</v>
      </c>
      <c r="S31" s="233">
        <f t="shared" si="0"/>
        <v>9.5</v>
      </c>
      <c r="T31" s="119">
        <f t="shared" si="5"/>
        <v>2600</v>
      </c>
      <c r="U31" s="119">
        <f t="shared" si="2"/>
        <v>59</v>
      </c>
      <c r="V31" s="222"/>
      <c r="W31" s="3"/>
      <c r="X31" s="230">
        <v>3.4</v>
      </c>
      <c r="Y31" s="245">
        <f t="shared" si="3"/>
        <v>0.28388131372409708</v>
      </c>
      <c r="Z31" s="250">
        <f t="shared" si="4"/>
        <v>3.2661272774449118E-4</v>
      </c>
    </row>
    <row r="32" spans="2:26">
      <c r="B32" s="118" t="s">
        <v>254</v>
      </c>
      <c r="C32" s="125">
        <f>0.5+0.1*SQRT($C$28/C29)</f>
        <v>0.61507617973554363</v>
      </c>
      <c r="D32" s="1"/>
      <c r="E32" s="1"/>
      <c r="O32" s="241">
        <v>5.2</v>
      </c>
      <c r="P32" s="241">
        <v>0.9</v>
      </c>
      <c r="Q32" s="241">
        <v>0.61</v>
      </c>
      <c r="R32" s="232">
        <v>38</v>
      </c>
      <c r="S32" s="233">
        <f t="shared" si="0"/>
        <v>9</v>
      </c>
      <c r="T32" s="119">
        <f t="shared" si="5"/>
        <v>3800</v>
      </c>
      <c r="U32" s="119">
        <f t="shared" si="2"/>
        <v>61</v>
      </c>
      <c r="V32" s="221"/>
      <c r="W32" s="3"/>
      <c r="X32" s="230">
        <v>3.6</v>
      </c>
      <c r="Y32" s="245">
        <f t="shared" si="3"/>
        <v>0.25233894553253072</v>
      </c>
      <c r="Z32" s="250">
        <f t="shared" si="4"/>
        <v>1.9864165897910576E-4</v>
      </c>
    </row>
    <row r="33" spans="2:26">
      <c r="B33" s="118" t="s">
        <v>257</v>
      </c>
      <c r="C33" s="1">
        <f>C35/C11</f>
        <v>1</v>
      </c>
      <c r="I33" s="1"/>
      <c r="O33" s="241">
        <v>5.4</v>
      </c>
      <c r="P33" s="241">
        <v>0.91</v>
      </c>
      <c r="Q33" s="241">
        <v>0.63</v>
      </c>
      <c r="R33" s="232">
        <v>48</v>
      </c>
      <c r="S33" s="233">
        <f t="shared" si="0"/>
        <v>9.1</v>
      </c>
      <c r="T33" s="119">
        <f t="shared" si="5"/>
        <v>4800</v>
      </c>
      <c r="U33" s="119">
        <f t="shared" si="2"/>
        <v>63</v>
      </c>
      <c r="V33" s="221"/>
      <c r="W33" s="3"/>
      <c r="X33" s="230">
        <v>3.8</v>
      </c>
      <c r="Y33" s="245">
        <f t="shared" si="3"/>
        <v>0.22079657734096442</v>
      </c>
      <c r="Z33" s="250">
        <f t="shared" si="4"/>
        <v>1.3760073252198473E-4</v>
      </c>
    </row>
    <row r="34" spans="2:26">
      <c r="B34" s="118" t="s">
        <v>258</v>
      </c>
      <c r="C34" s="1">
        <f>C36/C11</f>
        <v>4</v>
      </c>
      <c r="D34" s="1"/>
      <c r="E34" s="1"/>
      <c r="O34" s="241">
        <v>5.6</v>
      </c>
      <c r="P34" s="241">
        <v>0.9</v>
      </c>
      <c r="Q34" s="241">
        <v>0.65</v>
      </c>
      <c r="R34" s="232">
        <v>42</v>
      </c>
      <c r="S34" s="233">
        <f t="shared" si="0"/>
        <v>9</v>
      </c>
      <c r="T34" s="119">
        <f t="shared" si="5"/>
        <v>4200</v>
      </c>
      <c r="U34" s="119">
        <f t="shared" si="2"/>
        <v>65</v>
      </c>
      <c r="X34" s="230">
        <v>4</v>
      </c>
      <c r="Y34" s="245">
        <f t="shared" si="3"/>
        <v>0.18925420914939806</v>
      </c>
      <c r="Z34" s="250">
        <f t="shared" si="4"/>
        <v>1.3479255430725033E-4</v>
      </c>
    </row>
    <row r="35" spans="2:26">
      <c r="B35" s="118" t="s">
        <v>152</v>
      </c>
      <c r="C35" s="1">
        <f>C11</f>
        <v>1.3</v>
      </c>
      <c r="D35" s="1"/>
      <c r="E35" s="1"/>
      <c r="O35" s="241">
        <v>5.8</v>
      </c>
      <c r="P35" s="241">
        <v>0.88</v>
      </c>
      <c r="Q35" s="241">
        <v>0.67</v>
      </c>
      <c r="R35" s="232">
        <v>30</v>
      </c>
      <c r="S35" s="233">
        <f t="shared" si="0"/>
        <v>8.8000000000000007</v>
      </c>
      <c r="T35" s="119">
        <f t="shared" si="5"/>
        <v>3000</v>
      </c>
      <c r="U35" s="119">
        <f t="shared" si="2"/>
        <v>67</v>
      </c>
      <c r="X35" s="230">
        <v>4.2</v>
      </c>
      <c r="Y35" s="245">
        <f t="shared" si="3"/>
        <v>0.15771184095783169</v>
      </c>
      <c r="Z35" s="250">
        <f t="shared" si="4"/>
        <v>1.5725798002512537E-4</v>
      </c>
    </row>
    <row r="36" spans="2:26" ht="18.75" customHeight="1">
      <c r="B36" s="118" t="s">
        <v>153</v>
      </c>
      <c r="C36" s="1">
        <f>4*C11</f>
        <v>5.2</v>
      </c>
      <c r="O36" s="242" t="s">
        <v>313</v>
      </c>
      <c r="P36" s="241">
        <v>0.88</v>
      </c>
      <c r="Q36" s="241">
        <v>0.68</v>
      </c>
      <c r="R36" s="232">
        <v>32</v>
      </c>
      <c r="S36" s="233">
        <f t="shared" si="0"/>
        <v>8.8000000000000007</v>
      </c>
      <c r="T36" s="119">
        <f t="shared" si="5"/>
        <v>3200</v>
      </c>
      <c r="U36" s="119">
        <f t="shared" si="2"/>
        <v>68</v>
      </c>
      <c r="V36" s="221"/>
      <c r="W36" s="3"/>
      <c r="X36" s="230">
        <v>4.4000000000000004</v>
      </c>
      <c r="Y36" s="245">
        <f t="shared" si="3"/>
        <v>0.12616947276626531</v>
      </c>
      <c r="Z36" s="250">
        <f t="shared" si="4"/>
        <v>1.17943485018844E-4</v>
      </c>
    </row>
    <row r="37" spans="2:26">
      <c r="B37" s="179" t="s">
        <v>265</v>
      </c>
      <c r="C37" s="1">
        <v>0.2</v>
      </c>
      <c r="D37" s="1"/>
      <c r="E37" s="1"/>
      <c r="O37" s="241">
        <v>6.2</v>
      </c>
      <c r="P37" s="241">
        <v>0.89</v>
      </c>
      <c r="Q37" s="241">
        <v>0.7</v>
      </c>
      <c r="R37" s="232">
        <v>37</v>
      </c>
      <c r="S37" s="233">
        <f t="shared" si="0"/>
        <v>8.9</v>
      </c>
      <c r="T37" s="119">
        <f t="shared" si="5"/>
        <v>3700</v>
      </c>
      <c r="U37" s="119">
        <f t="shared" si="2"/>
        <v>70</v>
      </c>
      <c r="V37" s="221"/>
      <c r="W37" s="3"/>
      <c r="X37" s="230">
        <v>4.5999999999999996</v>
      </c>
      <c r="Y37" s="245">
        <f t="shared" si="3"/>
        <v>9.4627104574699097E-2</v>
      </c>
      <c r="Z37" s="250">
        <f t="shared" si="4"/>
        <v>7.6503882174385377E-5</v>
      </c>
    </row>
    <row r="38" spans="2:26">
      <c r="B38" s="179"/>
      <c r="C38" s="124"/>
      <c r="D38" s="1"/>
      <c r="O38" s="241">
        <v>6.4</v>
      </c>
      <c r="P38" s="241">
        <v>0.9</v>
      </c>
      <c r="Q38" s="241">
        <v>0.72</v>
      </c>
      <c r="R38" s="232">
        <v>41</v>
      </c>
      <c r="S38" s="233">
        <f t="shared" si="0"/>
        <v>9</v>
      </c>
      <c r="T38" s="119">
        <f t="shared" si="5"/>
        <v>4100</v>
      </c>
      <c r="U38" s="119">
        <f t="shared" si="2"/>
        <v>72</v>
      </c>
      <c r="X38" s="230">
        <v>4.8</v>
      </c>
      <c r="Y38" s="245">
        <f t="shared" si="3"/>
        <v>6.3084736383132736E-2</v>
      </c>
      <c r="Z38" s="250">
        <f t="shared" si="4"/>
        <v>4.6026725861012351E-5</v>
      </c>
    </row>
    <row r="39" spans="2:26">
      <c r="B39" t="s">
        <v>261</v>
      </c>
      <c r="O39" s="241">
        <v>6.6</v>
      </c>
      <c r="P39" s="241">
        <v>0.88</v>
      </c>
      <c r="Q39" s="241">
        <v>0.74</v>
      </c>
      <c r="R39" s="232">
        <v>33</v>
      </c>
      <c r="S39" s="233">
        <f t="shared" si="0"/>
        <v>8.8000000000000007</v>
      </c>
      <c r="T39" s="119">
        <f t="shared" si="5"/>
        <v>3300</v>
      </c>
      <c r="U39" s="119">
        <f t="shared" si="2"/>
        <v>74</v>
      </c>
      <c r="V39" s="221"/>
      <c r="W39" s="3"/>
      <c r="X39" s="230">
        <v>5</v>
      </c>
      <c r="Y39" s="245">
        <f t="shared" si="3"/>
        <v>3.1542368191566368E-2</v>
      </c>
      <c r="Z39" s="250">
        <f t="shared" si="4"/>
        <v>2.8592360004568281E-5</v>
      </c>
    </row>
    <row r="40" spans="2:26">
      <c r="O40" s="241">
        <v>6.8</v>
      </c>
      <c r="P40" s="241">
        <v>0.87</v>
      </c>
      <c r="Q40" s="241">
        <v>0.75</v>
      </c>
      <c r="R40" s="232">
        <v>26</v>
      </c>
      <c r="S40" s="233">
        <f t="shared" si="0"/>
        <v>8.6999999999999993</v>
      </c>
      <c r="T40" s="119">
        <f t="shared" si="5"/>
        <v>2600</v>
      </c>
      <c r="U40" s="119">
        <f t="shared" si="2"/>
        <v>75</v>
      </c>
      <c r="V40" s="262" t="s">
        <v>320</v>
      </c>
      <c r="W40" s="10">
        <f>4*C11</f>
        <v>5.2</v>
      </c>
      <c r="X40" s="230">
        <v>5.2</v>
      </c>
      <c r="Y40" s="245">
        <f t="shared" si="3"/>
        <v>0</v>
      </c>
      <c r="Z40" s="250">
        <f t="shared" si="4"/>
        <v>0</v>
      </c>
    </row>
    <row r="41" spans="2:26">
      <c r="C41" s="1" t="s">
        <v>121</v>
      </c>
      <c r="D41" s="1">
        <f>1-0.5*(C30/C28)</f>
        <v>0.69386099719328964</v>
      </c>
      <c r="E41" s="1" t="s">
        <v>262</v>
      </c>
      <c r="F41" s="1">
        <v>0.5</v>
      </c>
      <c r="O41" s="242" t="s">
        <v>314</v>
      </c>
      <c r="P41" s="241">
        <v>0.93</v>
      </c>
      <c r="Q41" s="241">
        <v>0.77</v>
      </c>
      <c r="R41" s="232">
        <v>20</v>
      </c>
      <c r="S41" s="233">
        <f t="shared" si="0"/>
        <v>9.3000000000000007</v>
      </c>
      <c r="T41" s="119">
        <f t="shared" si="5"/>
        <v>2000</v>
      </c>
      <c r="U41" s="119">
        <f t="shared" si="2"/>
        <v>77</v>
      </c>
      <c r="V41" s="222"/>
      <c r="W41" s="3"/>
      <c r="X41" s="230">
        <v>5.4</v>
      </c>
      <c r="Y41" s="245">
        <f t="shared" si="3"/>
        <v>-3.1542368191566368E-2</v>
      </c>
      <c r="Z41" s="250">
        <f t="shared" si="4"/>
        <v>-4.7177394007537662E-5</v>
      </c>
    </row>
    <row r="42" spans="2:26">
      <c r="C42" s="1"/>
      <c r="O42" s="241">
        <v>7.2</v>
      </c>
      <c r="P42" s="241">
        <v>0.9</v>
      </c>
      <c r="Q42" s="241">
        <v>0.79</v>
      </c>
      <c r="R42" s="232">
        <v>10</v>
      </c>
      <c r="S42" s="233">
        <f t="shared" si="0"/>
        <v>9</v>
      </c>
      <c r="T42" s="119">
        <f t="shared" si="5"/>
        <v>1000</v>
      </c>
      <c r="U42" s="119">
        <f t="shared" si="2"/>
        <v>79</v>
      </c>
      <c r="X42" s="230">
        <v>5.6</v>
      </c>
      <c r="Y42" s="245">
        <f t="shared" si="3"/>
        <v>-6.3084736383132584E-2</v>
      </c>
      <c r="Z42" s="250">
        <f t="shared" si="4"/>
        <v>-1.8870957603015016E-4</v>
      </c>
    </row>
    <row r="43" spans="2:26">
      <c r="B43" t="s">
        <v>263</v>
      </c>
      <c r="C43" s="1"/>
      <c r="O43" s="241">
        <v>7.4</v>
      </c>
      <c r="P43" s="241">
        <v>0.9</v>
      </c>
      <c r="Q43" s="241">
        <v>0.81</v>
      </c>
      <c r="R43" s="232">
        <v>40</v>
      </c>
      <c r="S43" s="233">
        <f t="shared" si="0"/>
        <v>9</v>
      </c>
      <c r="T43" s="119">
        <f t="shared" si="5"/>
        <v>4000</v>
      </c>
      <c r="U43" s="119">
        <f t="shared" si="2"/>
        <v>81</v>
      </c>
      <c r="V43" s="221"/>
      <c r="W43" s="3"/>
      <c r="X43" s="230">
        <v>5.8</v>
      </c>
      <c r="Y43" s="245">
        <f t="shared" si="3"/>
        <v>-9.4627104574698959E-2</v>
      </c>
      <c r="Z43" s="250">
        <f t="shared" si="4"/>
        <v>-7.0766091011306381E-5</v>
      </c>
    </row>
    <row r="44" spans="2:26">
      <c r="C44" s="1" t="s">
        <v>268</v>
      </c>
      <c r="D44" s="1">
        <f>1+0.2*LOG(I44/0.1)</f>
        <v>1.5397940008672037</v>
      </c>
      <c r="E44" s="1"/>
      <c r="F44" s="1"/>
      <c r="H44" t="s">
        <v>264</v>
      </c>
      <c r="I44" s="1">
        <v>50</v>
      </c>
      <c r="O44" s="241">
        <v>7.6</v>
      </c>
      <c r="P44" s="241">
        <v>0.89</v>
      </c>
      <c r="Q44" s="241">
        <v>0.83</v>
      </c>
      <c r="R44" s="232">
        <v>35</v>
      </c>
      <c r="S44" s="233">
        <f t="shared" si="0"/>
        <v>8.9</v>
      </c>
      <c r="T44" s="119">
        <f t="shared" si="5"/>
        <v>3500</v>
      </c>
      <c r="U44" s="119">
        <f t="shared" si="2"/>
        <v>83</v>
      </c>
      <c r="X44" s="230">
        <v>6</v>
      </c>
      <c r="Y44" s="245">
        <f t="shared" si="3"/>
        <v>-0.12616947276626531</v>
      </c>
      <c r="Z44" s="250">
        <f t="shared" si="4"/>
        <v>-1.0783404344580022E-4</v>
      </c>
    </row>
    <row r="45" spans="2:26">
      <c r="F45" s="257"/>
      <c r="O45" s="241">
        <v>7.8</v>
      </c>
      <c r="P45" s="241">
        <v>0.91</v>
      </c>
      <c r="Q45" s="241">
        <v>0.85</v>
      </c>
      <c r="R45" s="232">
        <v>44</v>
      </c>
      <c r="S45" s="233">
        <f t="shared" si="0"/>
        <v>9.1</v>
      </c>
      <c r="T45" s="119">
        <f t="shared" si="5"/>
        <v>4400</v>
      </c>
      <c r="U45" s="119">
        <f t="shared" si="2"/>
        <v>85</v>
      </c>
      <c r="V45" s="221"/>
      <c r="W45" s="3"/>
      <c r="X45" s="230">
        <v>6.2</v>
      </c>
    </row>
    <row r="46" spans="2:26">
      <c r="B46" t="s">
        <v>308</v>
      </c>
      <c r="O46" s="242" t="s">
        <v>315</v>
      </c>
      <c r="P46" s="241">
        <v>0.89</v>
      </c>
      <c r="Q46" s="241">
        <v>0.86</v>
      </c>
      <c r="R46" s="232">
        <v>37</v>
      </c>
      <c r="S46" s="233">
        <f t="shared" si="0"/>
        <v>8.9</v>
      </c>
      <c r="T46" s="119">
        <f t="shared" si="5"/>
        <v>3700</v>
      </c>
      <c r="U46" s="119">
        <f t="shared" si="2"/>
        <v>86</v>
      </c>
      <c r="V46" s="221"/>
      <c r="W46" s="3"/>
      <c r="X46" s="230">
        <v>6.4</v>
      </c>
    </row>
    <row r="47" spans="2:26" ht="30">
      <c r="C47" s="219" t="s">
        <v>307</v>
      </c>
      <c r="D47" s="1">
        <v>3.5</v>
      </c>
      <c r="E47" t="s">
        <v>331</v>
      </c>
      <c r="F47" s="257"/>
      <c r="O47" s="241">
        <v>8.1999999999999993</v>
      </c>
      <c r="P47" s="241">
        <v>0.92</v>
      </c>
      <c r="Q47" s="241">
        <v>0.88</v>
      </c>
      <c r="R47" s="232">
        <v>49</v>
      </c>
      <c r="S47" s="233">
        <f t="shared" si="0"/>
        <v>9.2000000000000011</v>
      </c>
      <c r="T47" s="119">
        <f t="shared" si="5"/>
        <v>4900</v>
      </c>
      <c r="U47" s="119">
        <f t="shared" si="2"/>
        <v>88</v>
      </c>
      <c r="V47" s="221"/>
      <c r="W47" s="3"/>
      <c r="X47" s="230">
        <v>6.6</v>
      </c>
      <c r="Y47" s="262"/>
      <c r="Z47" s="262"/>
    </row>
    <row r="48" spans="2:26" ht="15.75" thickBot="1">
      <c r="O48" s="241">
        <v>8.4</v>
      </c>
      <c r="P48" s="241">
        <v>0.93</v>
      </c>
      <c r="Q48" s="241">
        <v>0.9</v>
      </c>
      <c r="R48" s="232">
        <v>56</v>
      </c>
      <c r="S48" s="233">
        <f t="shared" si="0"/>
        <v>9.3000000000000007</v>
      </c>
      <c r="T48" s="119">
        <f t="shared" si="5"/>
        <v>5600</v>
      </c>
      <c r="U48" s="119">
        <f t="shared" si="2"/>
        <v>90</v>
      </c>
      <c r="V48" s="221"/>
      <c r="W48" s="3"/>
      <c r="X48" s="230">
        <v>6.8</v>
      </c>
      <c r="Y48" s="262"/>
      <c r="Z48" s="262"/>
    </row>
    <row r="49" spans="2:29" ht="15.75" thickBot="1">
      <c r="B49" s="258" t="s">
        <v>310</v>
      </c>
      <c r="C49" s="259"/>
      <c r="D49" s="259"/>
      <c r="E49" s="259"/>
      <c r="F49" s="259"/>
      <c r="G49" s="259"/>
      <c r="H49" s="259"/>
      <c r="I49" s="259"/>
      <c r="J49" s="259"/>
      <c r="K49" s="259"/>
      <c r="L49" s="260"/>
      <c r="O49" s="241">
        <v>8.6</v>
      </c>
      <c r="P49" s="241">
        <v>0.93</v>
      </c>
      <c r="Q49" s="241">
        <v>0.92</v>
      </c>
      <c r="R49" s="232">
        <v>55</v>
      </c>
      <c r="S49" s="233">
        <f t="shared" si="0"/>
        <v>9.3000000000000007</v>
      </c>
      <c r="T49" s="119">
        <f t="shared" si="5"/>
        <v>5500</v>
      </c>
      <c r="U49" s="119">
        <f t="shared" si="2"/>
        <v>92</v>
      </c>
      <c r="V49" s="221"/>
      <c r="W49" s="3"/>
      <c r="X49" s="230">
        <v>7</v>
      </c>
      <c r="Y49" s="262"/>
      <c r="Z49" s="262"/>
    </row>
    <row r="50" spans="2:29" ht="15.75" thickBot="1">
      <c r="O50" s="241">
        <v>8.8000000000000007</v>
      </c>
      <c r="P50" s="241">
        <v>0.94</v>
      </c>
      <c r="Q50" s="241">
        <v>0.94</v>
      </c>
      <c r="R50" s="232">
        <v>66</v>
      </c>
      <c r="S50" s="233">
        <f t="shared" si="0"/>
        <v>9.3999999999999986</v>
      </c>
      <c r="T50" s="119">
        <f t="shared" si="5"/>
        <v>6600</v>
      </c>
      <c r="U50" s="119">
        <f t="shared" si="2"/>
        <v>94</v>
      </c>
      <c r="V50" s="221"/>
      <c r="W50" s="3"/>
      <c r="X50" s="230">
        <v>7.2</v>
      </c>
      <c r="Y50" s="262"/>
      <c r="Z50" s="262"/>
    </row>
    <row r="51" spans="2:29">
      <c r="B51" s="1" t="s">
        <v>340</v>
      </c>
      <c r="O51" s="242" t="s">
        <v>316</v>
      </c>
      <c r="P51" s="241">
        <v>0.92</v>
      </c>
      <c r="Q51" s="241">
        <v>0.96</v>
      </c>
      <c r="R51" s="232">
        <v>50</v>
      </c>
      <c r="S51" s="233">
        <f t="shared" si="0"/>
        <v>9.2000000000000011</v>
      </c>
      <c r="T51" s="119">
        <f t="shared" si="5"/>
        <v>5000</v>
      </c>
      <c r="U51" s="119">
        <f t="shared" si="2"/>
        <v>96</v>
      </c>
      <c r="V51" s="221"/>
      <c r="W51" s="3"/>
      <c r="X51" s="230">
        <v>7.4</v>
      </c>
      <c r="Y51" s="262"/>
      <c r="Z51" s="226">
        <f>SUM(Z14:Z40)</f>
        <v>1.6298564149048698E-2</v>
      </c>
      <c r="AA51" s="227" t="s">
        <v>269</v>
      </c>
    </row>
    <row r="52" spans="2:29" ht="15.75" thickBot="1">
      <c r="B52" s="1" t="s">
        <v>309</v>
      </c>
      <c r="C52" s="1">
        <f>0.0102*C28</f>
        <v>0.49977297435897439</v>
      </c>
      <c r="E52" s="1" t="s">
        <v>278</v>
      </c>
      <c r="F52" s="225">
        <f>C52/Z52</f>
        <v>0.30663619800407066</v>
      </c>
      <c r="O52" s="241">
        <v>9.1999999999999993</v>
      </c>
      <c r="P52" s="241">
        <v>0.94</v>
      </c>
      <c r="Q52" s="241">
        <v>0.97</v>
      </c>
      <c r="R52" s="232">
        <v>64</v>
      </c>
      <c r="S52" s="233">
        <f t="shared" si="0"/>
        <v>9.3999999999999986</v>
      </c>
      <c r="T52" s="119">
        <f t="shared" si="5"/>
        <v>6400</v>
      </c>
      <c r="U52" s="119">
        <f t="shared" si="2"/>
        <v>97</v>
      </c>
      <c r="V52" s="221"/>
      <c r="W52" s="3"/>
      <c r="X52" s="230">
        <v>7.6</v>
      </c>
      <c r="Y52" s="262"/>
      <c r="Z52" s="228">
        <f>Z51*100</f>
        <v>1.6298564149048698</v>
      </c>
      <c r="AA52" s="229" t="s">
        <v>274</v>
      </c>
      <c r="AB52" t="s">
        <v>335</v>
      </c>
    </row>
    <row r="53" spans="2:29" ht="15.75" thickBot="1">
      <c r="E53" s="1" t="s">
        <v>339</v>
      </c>
      <c r="F53" s="225">
        <f>C28/Z51</f>
        <v>3006.2372353340256</v>
      </c>
      <c r="J53" s="110" t="s">
        <v>341</v>
      </c>
      <c r="K53" s="20">
        <f>F53*C11</f>
        <v>3908.1084059342334</v>
      </c>
      <c r="O53" s="241">
        <v>9.4</v>
      </c>
      <c r="P53" s="241">
        <v>0.95</v>
      </c>
      <c r="Q53" s="241">
        <v>0.99</v>
      </c>
      <c r="R53" s="232">
        <v>68</v>
      </c>
      <c r="S53" s="233">
        <f t="shared" si="0"/>
        <v>9.5</v>
      </c>
      <c r="T53" s="119">
        <f t="shared" si="5"/>
        <v>6800</v>
      </c>
      <c r="U53" s="119">
        <f t="shared" si="2"/>
        <v>99</v>
      </c>
      <c r="V53" s="221"/>
      <c r="W53" s="3"/>
      <c r="X53" s="230">
        <v>7.8</v>
      </c>
      <c r="Y53" s="262"/>
      <c r="Z53" s="727" t="str">
        <f>IF(Z52&lt;5,"Verifica")</f>
        <v>Verifica</v>
      </c>
      <c r="AA53" s="728"/>
      <c r="AB53" s="727" t="str">
        <f>IF(Z52/2&lt;5,"Verifica")</f>
        <v>Verifica</v>
      </c>
      <c r="AC53" s="728"/>
    </row>
    <row r="54" spans="2:29">
      <c r="O54" s="241">
        <v>9.6</v>
      </c>
      <c r="P54" s="241">
        <v>0.95</v>
      </c>
      <c r="Q54" s="241">
        <v>1.01</v>
      </c>
      <c r="R54" s="232">
        <v>72</v>
      </c>
      <c r="S54" s="233">
        <f t="shared" si="0"/>
        <v>9.5</v>
      </c>
      <c r="T54" s="119">
        <f t="shared" si="5"/>
        <v>7200</v>
      </c>
      <c r="U54" s="119">
        <f t="shared" si="2"/>
        <v>101</v>
      </c>
      <c r="V54" s="6"/>
      <c r="W54" s="3"/>
      <c r="X54" s="230">
        <v>8</v>
      </c>
      <c r="Y54" t="s">
        <v>324</v>
      </c>
    </row>
    <row r="55" spans="2:29"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</row>
    <row r="56" spans="2:29">
      <c r="O56" s="220"/>
      <c r="Q56" s="261"/>
      <c r="R56" s="262"/>
      <c r="U56" s="220"/>
      <c r="V56" s="220"/>
      <c r="W56" s="220"/>
      <c r="X56" s="220"/>
      <c r="Y56" s="220"/>
      <c r="Z56" s="220"/>
    </row>
    <row r="57" spans="2:29">
      <c r="O57" s="220"/>
      <c r="Q57" s="261"/>
      <c r="R57" s="262"/>
      <c r="U57" s="220"/>
      <c r="V57" s="220"/>
      <c r="W57" s="220"/>
      <c r="X57" s="220"/>
      <c r="Y57" s="220"/>
      <c r="Z57" s="220"/>
    </row>
  </sheetData>
  <mergeCells count="5">
    <mergeCell ref="Z53:AA53"/>
    <mergeCell ref="AB53:AC53"/>
    <mergeCell ref="B3:L3"/>
    <mergeCell ref="B4:L4"/>
    <mergeCell ref="S4:U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AE02-2C68-46B3-9424-BD4B0842A7C0}">
  <dimension ref="B2:Q75"/>
  <sheetViews>
    <sheetView topLeftCell="A43" zoomScale="70" zoomScaleNormal="70" workbookViewId="0">
      <selection activeCell="D72" sqref="D72"/>
    </sheetView>
  </sheetViews>
  <sheetFormatPr defaultRowHeight="15"/>
  <cols>
    <col min="1" max="1" width="6.7109375" customWidth="1"/>
    <col min="2" max="2" width="15.140625" customWidth="1"/>
    <col min="3" max="3" width="13.28515625" customWidth="1"/>
    <col min="4" max="4" width="11.5703125" customWidth="1"/>
    <col min="6" max="6" width="10.85546875" customWidth="1"/>
    <col min="10" max="10" width="19.140625" customWidth="1"/>
    <col min="11" max="11" width="12.28515625" customWidth="1"/>
    <col min="17" max="17" width="13" customWidth="1"/>
  </cols>
  <sheetData>
    <row r="2" spans="2:6">
      <c r="B2" s="1" t="s">
        <v>346</v>
      </c>
      <c r="C2" s="1">
        <f>'Verifica Cedimenti'!U91/2</f>
        <v>0.6</v>
      </c>
      <c r="D2" t="s">
        <v>345</v>
      </c>
    </row>
    <row r="3" spans="2:6">
      <c r="B3" s="1" t="s">
        <v>364</v>
      </c>
      <c r="C3" s="1">
        <f>'Verifica Cedimenti'!U92/2</f>
        <v>8.9499999999999993</v>
      </c>
      <c r="D3" t="s">
        <v>365</v>
      </c>
    </row>
    <row r="4" spans="2:6" ht="16.5" customHeight="1">
      <c r="B4" t="s">
        <v>342</v>
      </c>
      <c r="C4" s="125">
        <f>0.50353</f>
        <v>0.50353000000000003</v>
      </c>
    </row>
    <row r="5" spans="2:6">
      <c r="B5" t="s">
        <v>347</v>
      </c>
      <c r="C5" s="225">
        <f>2*PI()/C4</f>
        <v>12.478273999919738</v>
      </c>
      <c r="D5" t="s">
        <v>343</v>
      </c>
    </row>
    <row r="6" spans="2:6" ht="16.5" customHeight="1">
      <c r="B6" s="284" t="s">
        <v>358</v>
      </c>
      <c r="C6" s="225">
        <f>C2*C5/K20</f>
        <v>5.2725101408111569E-2</v>
      </c>
      <c r="D6" t="s">
        <v>343</v>
      </c>
      <c r="E6" t="s">
        <v>344</v>
      </c>
    </row>
    <row r="10" spans="2:6" ht="15.75" thickBot="1"/>
    <row r="11" spans="2:6" ht="15.75" thickBot="1">
      <c r="B11" s="729" t="s">
        <v>366</v>
      </c>
      <c r="C11" s="730"/>
      <c r="D11" s="730"/>
      <c r="E11" s="730"/>
      <c r="F11" s="731"/>
    </row>
    <row r="12" spans="2:6" ht="15.75" thickBot="1"/>
    <row r="13" spans="2:6" ht="15.75" thickBot="1">
      <c r="B13" s="288" t="s">
        <v>363</v>
      </c>
      <c r="C13" s="287">
        <f>(C2*2*C3*2)/(4*C3^2)</f>
        <v>6.7039106145251395E-2</v>
      </c>
      <c r="D13" s="206" t="s">
        <v>373</v>
      </c>
      <c r="E13" s="15">
        <f>((2*K24*C3)/(1-K19))*(0.73+1.54*C13^0.75)</f>
        <v>423324.083270573</v>
      </c>
    </row>
    <row r="14" spans="2:6">
      <c r="C14" s="1" t="s">
        <v>359</v>
      </c>
      <c r="D14" s="1" t="s">
        <v>360</v>
      </c>
    </row>
    <row r="15" spans="2:6">
      <c r="B15" s="70" t="s">
        <v>357</v>
      </c>
      <c r="C15" s="1">
        <f>(C3/C2)*K19</f>
        <v>3.7291666666666665</v>
      </c>
      <c r="D15" s="225">
        <f>C6</f>
        <v>5.2725101408111569E-2</v>
      </c>
      <c r="F15" t="s">
        <v>361</v>
      </c>
    </row>
    <row r="16" spans="2:6" ht="15.75" thickBot="1"/>
    <row r="17" spans="3:17" ht="15.75" thickBot="1">
      <c r="C17" s="276" t="s">
        <v>374</v>
      </c>
      <c r="D17" s="290">
        <f>E13*1</f>
        <v>423324.083270573</v>
      </c>
    </row>
    <row r="18" spans="3:17" ht="15.75" thickBot="1">
      <c r="G18" s="206" t="s">
        <v>362</v>
      </c>
      <c r="H18" s="285">
        <f>C3/C2</f>
        <v>14.916666666666666</v>
      </c>
      <c r="J18" s="271" t="s">
        <v>348</v>
      </c>
      <c r="K18" s="210" t="s">
        <v>349</v>
      </c>
      <c r="O18" s="210" t="s">
        <v>350</v>
      </c>
      <c r="P18" s="272" t="s">
        <v>351</v>
      </c>
      <c r="Q18" s="210" t="s">
        <v>352</v>
      </c>
    </row>
    <row r="19" spans="3:17" ht="15.75" thickBot="1">
      <c r="J19" s="277" t="s">
        <v>353</v>
      </c>
      <c r="K19" s="8">
        <v>0.25</v>
      </c>
      <c r="O19" s="5">
        <v>0.5</v>
      </c>
      <c r="P19" s="5">
        <v>0.5</v>
      </c>
      <c r="Q19" s="5">
        <v>0.5</v>
      </c>
    </row>
    <row r="20" spans="3:17" ht="15.75" thickBot="1">
      <c r="J20" s="210" t="s">
        <v>354</v>
      </c>
      <c r="K20" s="279">
        <v>142</v>
      </c>
      <c r="O20" s="11">
        <v>184</v>
      </c>
      <c r="P20" s="11">
        <v>172</v>
      </c>
      <c r="Q20" s="11">
        <v>269</v>
      </c>
    </row>
    <row r="21" spans="3:17" ht="15.75" thickBot="1">
      <c r="J21" s="277" t="s">
        <v>355</v>
      </c>
      <c r="K21" s="279">
        <v>18.5</v>
      </c>
      <c r="O21" s="11">
        <v>18.5</v>
      </c>
      <c r="P21" s="11">
        <v>18.5</v>
      </c>
      <c r="Q21" s="11">
        <v>18.5</v>
      </c>
    </row>
    <row r="22" spans="3:17" ht="15.75" thickBot="1">
      <c r="J22" s="277" t="s">
        <v>356</v>
      </c>
      <c r="K22" s="280">
        <f>K21*1000/9.81</f>
        <v>1885.8307849133537</v>
      </c>
      <c r="O22" s="278">
        <f>O21*1000/9.81</f>
        <v>1885.8307849133537</v>
      </c>
      <c r="P22" s="278">
        <f>P21*1000/9.81</f>
        <v>1885.8307849133537</v>
      </c>
      <c r="Q22" s="278">
        <f>Q21*1000/9.81</f>
        <v>1885.8307849133537</v>
      </c>
    </row>
    <row r="23" spans="3:17" ht="15.75" thickBot="1">
      <c r="J23" s="282" t="s">
        <v>371</v>
      </c>
      <c r="K23" s="281">
        <f>(K22*K20^2)/1000</f>
        <v>38025.891946992866</v>
      </c>
      <c r="O23" s="281">
        <f t="shared" ref="O23:Q23" si="0">(O22*O20^2)/1000</f>
        <v>63846.687054026501</v>
      </c>
      <c r="P23" s="281">
        <f t="shared" si="0"/>
        <v>55790.417940876658</v>
      </c>
      <c r="Q23" s="281">
        <f t="shared" si="0"/>
        <v>136460.60142711518</v>
      </c>
    </row>
    <row r="24" spans="3:17" ht="15.75" thickBot="1">
      <c r="J24" s="277" t="s">
        <v>372</v>
      </c>
      <c r="K24" s="283">
        <f>0.5*K23</f>
        <v>19012.945973496433</v>
      </c>
      <c r="O24" s="283">
        <f>0.8*O23</f>
        <v>51077.349643221205</v>
      </c>
      <c r="P24" s="283">
        <f>0.8*P23</f>
        <v>44632.334352701328</v>
      </c>
      <c r="Q24" s="283">
        <f>0.8*Q23</f>
        <v>109168.48114169214</v>
      </c>
    </row>
    <row r="45" spans="2:6" ht="15.75" thickBot="1"/>
    <row r="46" spans="2:6" ht="15.75" thickBot="1">
      <c r="B46" s="729" t="s">
        <v>367</v>
      </c>
      <c r="C46" s="730"/>
      <c r="D46" s="730"/>
      <c r="E46" s="730"/>
      <c r="F46" s="731"/>
    </row>
    <row r="47" spans="2:6" ht="15.75" thickBot="1"/>
    <row r="48" spans="2:6" ht="15.75" thickBot="1">
      <c r="B48" s="288"/>
      <c r="C48" s="206" t="s">
        <v>399</v>
      </c>
      <c r="D48" s="286">
        <f>((2*K24*C3)/(2-K19))*(2+2.5*C13^0.85)</f>
        <v>437836.42634590098</v>
      </c>
    </row>
    <row r="49" spans="2:6">
      <c r="C49" s="1" t="s">
        <v>368</v>
      </c>
      <c r="D49" s="1" t="s">
        <v>360</v>
      </c>
    </row>
    <row r="50" spans="2:6">
      <c r="B50" s="70" t="s">
        <v>369</v>
      </c>
      <c r="C50" s="1">
        <f>H18</f>
        <v>14.916666666666666</v>
      </c>
      <c r="D50" s="225">
        <f>D15</f>
        <v>5.2725101408111569E-2</v>
      </c>
      <c r="F50" t="s">
        <v>361</v>
      </c>
    </row>
    <row r="51" spans="2:6" ht="15.75" thickBot="1"/>
    <row r="52" spans="2:6" ht="15.75" thickBot="1">
      <c r="C52" s="276" t="s">
        <v>400</v>
      </c>
      <c r="D52" s="290">
        <f>D48*1</f>
        <v>437836.42634590098</v>
      </c>
    </row>
    <row r="68" spans="2:6" ht="15.75" thickBot="1"/>
    <row r="69" spans="2:6" ht="15.75" thickBot="1">
      <c r="B69" s="729" t="s">
        <v>370</v>
      </c>
      <c r="C69" s="730"/>
      <c r="D69" s="730"/>
      <c r="E69" s="730"/>
      <c r="F69" s="731"/>
    </row>
    <row r="70" spans="2:6" ht="15.75" thickBot="1"/>
    <row r="71" spans="2:6" ht="15.75" thickBot="1">
      <c r="B71" s="288"/>
      <c r="C71" s="206" t="s">
        <v>401</v>
      </c>
      <c r="D71" s="292">
        <f>D52-((0.2)/(0.75-K19))*K24*C3*(1-C2/C3)</f>
        <v>374333.18679442292</v>
      </c>
    </row>
    <row r="72" spans="2:6" ht="15.75" thickBot="1">
      <c r="C72" s="1"/>
      <c r="D72" s="1"/>
    </row>
    <row r="73" spans="2:6" ht="15.75" thickBot="1">
      <c r="C73" s="291" t="s">
        <v>402</v>
      </c>
      <c r="D73" s="15">
        <v>1</v>
      </c>
    </row>
    <row r="74" spans="2:6" ht="15.75" thickBot="1"/>
    <row r="75" spans="2:6" ht="15.75" thickBot="1">
      <c r="C75" s="276" t="s">
        <v>404</v>
      </c>
      <c r="D75" s="290">
        <f>D71*1</f>
        <v>374333.18679442292</v>
      </c>
    </row>
  </sheetData>
  <mergeCells count="3">
    <mergeCell ref="B11:F11"/>
    <mergeCell ref="B46:F46"/>
    <mergeCell ref="B69:F69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0251-3F44-4E16-8F99-854AFA13D54D}">
  <dimension ref="B2:N75"/>
  <sheetViews>
    <sheetView topLeftCell="A51" zoomScale="78" zoomScaleNormal="78" workbookViewId="0">
      <selection activeCell="D72" sqref="D72"/>
    </sheetView>
  </sheetViews>
  <sheetFormatPr defaultRowHeight="15"/>
  <cols>
    <col min="1" max="1" width="6.7109375" customWidth="1"/>
    <col min="2" max="2" width="18.5703125" customWidth="1"/>
    <col min="3" max="3" width="13.28515625" customWidth="1"/>
    <col min="4" max="4" width="12.28515625" customWidth="1"/>
    <col min="5" max="6" width="11.7109375" customWidth="1"/>
    <col min="9" max="9" width="12.28515625" customWidth="1"/>
    <col min="10" max="10" width="17.140625" customWidth="1"/>
    <col min="11" max="11" width="12.7109375" customWidth="1"/>
    <col min="12" max="12" width="11.28515625" bestFit="1" customWidth="1"/>
    <col min="13" max="13" width="10.5703125" bestFit="1" customWidth="1"/>
    <col min="14" max="14" width="12.140625" bestFit="1" customWidth="1"/>
  </cols>
  <sheetData>
    <row r="2" spans="2:6">
      <c r="B2" s="1" t="s">
        <v>346</v>
      </c>
      <c r="C2" s="1">
        <f>1.2/2</f>
        <v>0.6</v>
      </c>
      <c r="D2" t="s">
        <v>345</v>
      </c>
    </row>
    <row r="3" spans="2:6">
      <c r="B3" s="1" t="s">
        <v>364</v>
      </c>
      <c r="C3" s="1">
        <f>17.9/2</f>
        <v>8.9499999999999993</v>
      </c>
      <c r="D3" t="s">
        <v>365</v>
      </c>
    </row>
    <row r="4" spans="2:6" ht="16.5" customHeight="1">
      <c r="B4" t="s">
        <v>342</v>
      </c>
      <c r="C4" s="125">
        <f>0.50353</f>
        <v>0.50353000000000003</v>
      </c>
    </row>
    <row r="5" spans="2:6">
      <c r="B5" t="s">
        <v>347</v>
      </c>
      <c r="C5" s="225">
        <f>2*PI()/C4</f>
        <v>12.478273999919738</v>
      </c>
      <c r="D5" t="s">
        <v>343</v>
      </c>
    </row>
    <row r="6" spans="2:6" ht="16.5" customHeight="1">
      <c r="B6" s="284" t="s">
        <v>358</v>
      </c>
      <c r="C6" s="225">
        <f>C2*C5/K20</f>
        <v>5.2725101408111569E-2</v>
      </c>
      <c r="D6" t="s">
        <v>343</v>
      </c>
      <c r="E6" t="s">
        <v>344</v>
      </c>
    </row>
    <row r="7" spans="2:6" ht="15.75" thickBot="1"/>
    <row r="8" spans="2:6" ht="15.75" thickBot="1">
      <c r="B8" s="277" t="s">
        <v>372</v>
      </c>
      <c r="C8" s="283">
        <f>0.5*K23</f>
        <v>19012.945973496433</v>
      </c>
      <c r="D8" s="283">
        <f t="shared" ref="D8:F8" si="0">0.5*L23</f>
        <v>31923.34352701325</v>
      </c>
      <c r="E8" s="283">
        <f t="shared" si="0"/>
        <v>27895.208970438329</v>
      </c>
      <c r="F8" s="283">
        <f t="shared" si="0"/>
        <v>68230.30071355759</v>
      </c>
    </row>
    <row r="10" spans="2:6" ht="15.75" thickBot="1"/>
    <row r="11" spans="2:6" ht="15.75" thickBot="1">
      <c r="B11" s="729" t="s">
        <v>366</v>
      </c>
      <c r="C11" s="730"/>
      <c r="D11" s="730"/>
      <c r="E11" s="730"/>
      <c r="F11" s="731"/>
    </row>
    <row r="12" spans="2:6" ht="15.75" thickBot="1"/>
    <row r="13" spans="2:6" ht="15.75" thickBot="1">
      <c r="B13" s="288" t="s">
        <v>363</v>
      </c>
      <c r="C13" s="287">
        <f>(C2*2*C3*2)/(4*C3^2)</f>
        <v>6.7039106145251395E-2</v>
      </c>
      <c r="D13" s="206" t="s">
        <v>373</v>
      </c>
      <c r="E13" s="286">
        <f>((2*C8*C3)/(1-K19))*(0.73+1.54*C13^0.75)</f>
        <v>423324.083270573</v>
      </c>
    </row>
    <row r="14" spans="2:6">
      <c r="C14" s="1" t="s">
        <v>359</v>
      </c>
      <c r="D14" s="1" t="s">
        <v>360</v>
      </c>
    </row>
    <row r="15" spans="2:6">
      <c r="B15" s="70" t="s">
        <v>357</v>
      </c>
      <c r="C15" s="1">
        <f>(C3/C2)*K19</f>
        <v>3.7291666666666665</v>
      </c>
      <c r="D15" s="225">
        <f>C6</f>
        <v>5.2725101408111569E-2</v>
      </c>
      <c r="F15" t="s">
        <v>361</v>
      </c>
    </row>
    <row r="16" spans="2:6" ht="15.75" thickBot="1"/>
    <row r="17" spans="3:14" ht="15.75" thickBot="1">
      <c r="C17" s="276" t="s">
        <v>374</v>
      </c>
      <c r="D17" s="290">
        <f>E13*1</f>
        <v>423324.083270573</v>
      </c>
    </row>
    <row r="18" spans="3:14" ht="15.75" thickBot="1">
      <c r="G18" s="206" t="s">
        <v>362</v>
      </c>
      <c r="H18" s="285">
        <f>C3/C2</f>
        <v>14.916666666666666</v>
      </c>
      <c r="J18" s="273" t="s">
        <v>348</v>
      </c>
      <c r="K18" s="210" t="s">
        <v>349</v>
      </c>
      <c r="L18" s="210" t="s">
        <v>350</v>
      </c>
      <c r="M18" s="274" t="s">
        <v>351</v>
      </c>
      <c r="N18" s="210" t="s">
        <v>352</v>
      </c>
    </row>
    <row r="19" spans="3:14" ht="15.75" thickBot="1">
      <c r="J19" s="277" t="s">
        <v>353</v>
      </c>
      <c r="K19" s="8">
        <v>0.25</v>
      </c>
      <c r="L19" s="8">
        <v>0.25</v>
      </c>
      <c r="M19" s="8">
        <v>0.25</v>
      </c>
      <c r="N19" s="8">
        <v>0.25</v>
      </c>
    </row>
    <row r="20" spans="3:14" ht="15.75" thickBot="1">
      <c r="J20" s="210" t="s">
        <v>354</v>
      </c>
      <c r="K20" s="279">
        <v>142</v>
      </c>
      <c r="L20" s="11">
        <v>184</v>
      </c>
      <c r="M20" s="11">
        <v>172</v>
      </c>
      <c r="N20" s="11">
        <v>269</v>
      </c>
    </row>
    <row r="21" spans="3:14" ht="15.75" thickBot="1">
      <c r="J21" s="277" t="s">
        <v>355</v>
      </c>
      <c r="K21" s="279">
        <v>18.5</v>
      </c>
      <c r="L21" s="11">
        <v>18.5</v>
      </c>
      <c r="M21" s="11">
        <v>18.5</v>
      </c>
      <c r="N21" s="11">
        <v>18.5</v>
      </c>
    </row>
    <row r="22" spans="3:14" ht="15.75" thickBot="1">
      <c r="J22" s="277" t="s">
        <v>356</v>
      </c>
      <c r="K22" s="280">
        <f>K21*1000/9.81</f>
        <v>1885.8307849133537</v>
      </c>
      <c r="L22" s="278">
        <f>L21*1000/9.81</f>
        <v>1885.8307849133537</v>
      </c>
      <c r="M22" s="278">
        <f>M21*1000/9.81</f>
        <v>1885.8307849133537</v>
      </c>
      <c r="N22" s="278">
        <f>N21*1000/9.81</f>
        <v>1885.8307849133537</v>
      </c>
    </row>
    <row r="23" spans="3:14" ht="15.75" thickBot="1">
      <c r="J23" s="282" t="s">
        <v>371</v>
      </c>
      <c r="K23" s="293">
        <f>(K22*K20^2)/1000</f>
        <v>38025.891946992866</v>
      </c>
      <c r="L23" s="293">
        <f t="shared" ref="L23:N23" si="1">(L22*L20^2)/1000</f>
        <v>63846.687054026501</v>
      </c>
      <c r="M23" s="293">
        <f t="shared" si="1"/>
        <v>55790.417940876658</v>
      </c>
      <c r="N23" s="293">
        <f t="shared" si="1"/>
        <v>136460.60142711518</v>
      </c>
    </row>
    <row r="45" spans="2:6" ht="15.75" thickBot="1"/>
    <row r="46" spans="2:6" ht="15.75" thickBot="1">
      <c r="B46" s="729" t="s">
        <v>367</v>
      </c>
      <c r="C46" s="730"/>
      <c r="D46" s="730"/>
      <c r="E46" s="730"/>
      <c r="F46" s="731"/>
    </row>
    <row r="47" spans="2:6" ht="15.75" thickBot="1"/>
    <row r="48" spans="2:6" ht="15.75" thickBot="1">
      <c r="B48" s="288"/>
      <c r="C48" s="206" t="s">
        <v>399</v>
      </c>
      <c r="D48" s="286">
        <f>((2*C8*C3)/(2-K19))*(2+2.5*C13^0.85)</f>
        <v>437836.42634590098</v>
      </c>
    </row>
    <row r="49" spans="2:6">
      <c r="C49" s="1" t="s">
        <v>368</v>
      </c>
      <c r="D49" s="1" t="s">
        <v>360</v>
      </c>
    </row>
    <row r="50" spans="2:6">
      <c r="B50" s="70" t="s">
        <v>369</v>
      </c>
      <c r="C50" s="1">
        <f>H18</f>
        <v>14.916666666666666</v>
      </c>
      <c r="D50" s="225">
        <f>D15</f>
        <v>5.2725101408111569E-2</v>
      </c>
      <c r="F50" t="s">
        <v>361</v>
      </c>
    </row>
    <row r="51" spans="2:6" ht="15.75" thickBot="1"/>
    <row r="52" spans="2:6" ht="15.75" thickBot="1">
      <c r="C52" s="276" t="s">
        <v>400</v>
      </c>
      <c r="D52" s="290">
        <f>D48*1</f>
        <v>437836.42634590098</v>
      </c>
    </row>
    <row r="68" spans="2:6" ht="15.75" thickBot="1"/>
    <row r="69" spans="2:6" ht="15.75" thickBot="1">
      <c r="B69" s="729" t="s">
        <v>370</v>
      </c>
      <c r="C69" s="730"/>
      <c r="D69" s="730"/>
      <c r="E69" s="730"/>
      <c r="F69" s="731"/>
    </row>
    <row r="70" spans="2:6" ht="15.75" thickBot="1"/>
    <row r="71" spans="2:6" ht="15.75" thickBot="1">
      <c r="B71" s="288"/>
      <c r="C71" s="206" t="s">
        <v>401</v>
      </c>
      <c r="D71" s="292">
        <f>D52-((0.2)/(0.75-K19))*C8*C3*(1-C2/C3)</f>
        <v>374333.18679442292</v>
      </c>
    </row>
    <row r="72" spans="2:6" ht="15.75" thickBot="1">
      <c r="C72" s="1"/>
      <c r="D72" s="1"/>
    </row>
    <row r="73" spans="2:6" ht="15.75" thickBot="1">
      <c r="C73" s="291" t="s">
        <v>402</v>
      </c>
      <c r="D73" s="15">
        <v>1</v>
      </c>
    </row>
    <row r="74" spans="2:6" ht="15.75" thickBot="1"/>
    <row r="75" spans="2:6" ht="15.75" thickBot="1">
      <c r="C75" s="276" t="s">
        <v>404</v>
      </c>
      <c r="D75" s="290">
        <f>D71*1</f>
        <v>374333.18679442292</v>
      </c>
    </row>
  </sheetData>
  <mergeCells count="3">
    <mergeCell ref="B11:F11"/>
    <mergeCell ref="B46:F46"/>
    <mergeCell ref="B69:F69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1E5C-77BE-499E-A9F9-343277B52856}">
  <dimension ref="B2:P75"/>
  <sheetViews>
    <sheetView topLeftCell="A57" zoomScaleNormal="100" workbookViewId="0">
      <selection activeCell="D72" sqref="D72"/>
    </sheetView>
  </sheetViews>
  <sheetFormatPr defaultRowHeight="15"/>
  <cols>
    <col min="1" max="1" width="6.7109375" customWidth="1"/>
    <col min="2" max="2" width="20.140625" customWidth="1"/>
    <col min="3" max="3" width="13.28515625" customWidth="1"/>
    <col min="4" max="4" width="12.28515625" customWidth="1"/>
    <col min="5" max="5" width="10.7109375" customWidth="1"/>
    <col min="6" max="6" width="10.5703125" customWidth="1"/>
    <col min="10" max="10" width="17" customWidth="1"/>
    <col min="11" max="12" width="12.42578125" customWidth="1"/>
    <col min="13" max="13" width="12.7109375" customWidth="1"/>
    <col min="14" max="14" width="12" customWidth="1"/>
    <col min="15" max="15" width="18.5703125" customWidth="1"/>
    <col min="16" max="16" width="15.28515625" customWidth="1"/>
  </cols>
  <sheetData>
    <row r="2" spans="2:6">
      <c r="B2" s="1" t="s">
        <v>346</v>
      </c>
      <c r="C2" s="1">
        <f>1.2/2</f>
        <v>0.6</v>
      </c>
      <c r="D2" t="s">
        <v>345</v>
      </c>
    </row>
    <row r="3" spans="2:6">
      <c r="B3" s="1" t="s">
        <v>364</v>
      </c>
      <c r="C3" s="1">
        <f>10.8/2</f>
        <v>5.4</v>
      </c>
      <c r="D3" t="s">
        <v>365</v>
      </c>
    </row>
    <row r="4" spans="2:6" ht="16.5" customHeight="1">
      <c r="B4" s="305" t="s">
        <v>410</v>
      </c>
      <c r="C4" s="125">
        <f>0.50353</f>
        <v>0.50353000000000003</v>
      </c>
    </row>
    <row r="5" spans="2:6">
      <c r="B5" s="305" t="s">
        <v>409</v>
      </c>
      <c r="C5" s="225">
        <f>2*PI()/C4</f>
        <v>12.478273999919738</v>
      </c>
      <c r="D5" t="s">
        <v>343</v>
      </c>
    </row>
    <row r="6" spans="2:6" ht="27" customHeight="1">
      <c r="B6" s="284" t="s">
        <v>407</v>
      </c>
      <c r="C6" s="225">
        <f>C2*C5/K26</f>
        <v>5.2725101408111569E-2</v>
      </c>
      <c r="D6" t="s">
        <v>343</v>
      </c>
      <c r="E6" t="s">
        <v>344</v>
      </c>
    </row>
    <row r="8" spans="2:6">
      <c r="D8" s="283">
        <f>0.8*N23</f>
        <v>51077.349643221205</v>
      </c>
      <c r="E8" s="283">
        <f>0.8*O23</f>
        <v>44632.334352701328</v>
      </c>
      <c r="F8" s="283">
        <f>0.8*P23</f>
        <v>109168.48114169214</v>
      </c>
    </row>
    <row r="10" spans="2:6" ht="15.75" thickBot="1"/>
    <row r="11" spans="2:6" ht="15.75" thickBot="1">
      <c r="B11" s="729" t="s">
        <v>366</v>
      </c>
      <c r="C11" s="730"/>
      <c r="D11" s="730"/>
      <c r="E11" s="730"/>
      <c r="F11" s="731"/>
    </row>
    <row r="12" spans="2:6" ht="15.75" thickBot="1"/>
    <row r="13" spans="2:6" ht="15.75" thickBot="1">
      <c r="B13" s="288" t="s">
        <v>363</v>
      </c>
      <c r="C13" s="287">
        <f>(C2*2*C3*2)/(4*C3^2)</f>
        <v>0.1111111111111111</v>
      </c>
      <c r="D13" s="206" t="s">
        <v>373</v>
      </c>
      <c r="E13" s="286">
        <f>((2*K30*C3)/(1-K25))*(0.73+1.54*C13^0.75)</f>
        <v>281007.02915914363</v>
      </c>
    </row>
    <row r="14" spans="2:6">
      <c r="C14" s="1" t="s">
        <v>359</v>
      </c>
      <c r="D14" s="1" t="s">
        <v>360</v>
      </c>
    </row>
    <row r="15" spans="2:6">
      <c r="B15" s="70" t="s">
        <v>357</v>
      </c>
      <c r="C15" s="1">
        <f>(C3/C2)*K25</f>
        <v>2.2500000000000004</v>
      </c>
      <c r="D15" s="225">
        <f>C6</f>
        <v>5.2725101408111569E-2</v>
      </c>
      <c r="F15" t="s">
        <v>361</v>
      </c>
    </row>
    <row r="16" spans="2:6" ht="15.75" thickBot="1"/>
    <row r="17" spans="3:16" ht="15.75" thickBot="1">
      <c r="C17" s="276" t="s">
        <v>374</v>
      </c>
      <c r="D17" s="290">
        <f>E13*1</f>
        <v>281007.02915914363</v>
      </c>
    </row>
    <row r="18" spans="3:16" ht="15.75" thickBot="1">
      <c r="G18" s="206" t="s">
        <v>362</v>
      </c>
      <c r="H18" s="285">
        <f>C3/C2</f>
        <v>9.0000000000000018</v>
      </c>
      <c r="J18" s="11"/>
      <c r="K18" s="11"/>
      <c r="N18" s="210" t="s">
        <v>350</v>
      </c>
      <c r="O18" s="274" t="s">
        <v>351</v>
      </c>
      <c r="P18" s="210" t="s">
        <v>352</v>
      </c>
    </row>
    <row r="19" spans="3:16">
      <c r="N19" s="5">
        <v>0.5</v>
      </c>
      <c r="O19" s="5">
        <v>0.5</v>
      </c>
      <c r="P19" s="5">
        <v>0.5</v>
      </c>
    </row>
    <row r="20" spans="3:16">
      <c r="N20" s="11">
        <v>184</v>
      </c>
      <c r="O20" s="11">
        <v>172</v>
      </c>
      <c r="P20" s="11">
        <v>269</v>
      </c>
    </row>
    <row r="21" spans="3:16">
      <c r="N21" s="11">
        <v>18.5</v>
      </c>
      <c r="O21" s="11">
        <v>18.5</v>
      </c>
      <c r="P21" s="11">
        <v>18.5</v>
      </c>
    </row>
    <row r="22" spans="3:16">
      <c r="N22" s="278">
        <f>N21*1000/9.81</f>
        <v>1885.8307849133537</v>
      </c>
      <c r="O22" s="278">
        <f>O21*1000/9.81</f>
        <v>1885.8307849133537</v>
      </c>
      <c r="P22" s="278">
        <f>P21*1000/9.81</f>
        <v>1885.8307849133537</v>
      </c>
    </row>
    <row r="23" spans="3:16">
      <c r="N23" s="293">
        <f t="shared" ref="N23:P23" si="0">(N22*N20^2)/1000</f>
        <v>63846.687054026501</v>
      </c>
      <c r="O23" s="293">
        <f t="shared" si="0"/>
        <v>55790.417940876658</v>
      </c>
      <c r="P23" s="293">
        <f t="shared" si="0"/>
        <v>136460.60142711518</v>
      </c>
    </row>
    <row r="24" spans="3:16" ht="18">
      <c r="J24" s="305" t="s">
        <v>408</v>
      </c>
      <c r="K24" s="225">
        <f>C2*C5/K26</f>
        <v>5.2725101408111569E-2</v>
      </c>
    </row>
    <row r="25" spans="3:16">
      <c r="J25" s="318" t="s">
        <v>353</v>
      </c>
      <c r="K25" s="11">
        <v>0.25</v>
      </c>
    </row>
    <row r="26" spans="3:16">
      <c r="J26" s="11" t="s">
        <v>354</v>
      </c>
      <c r="K26" s="11">
        <v>142</v>
      </c>
    </row>
    <row r="27" spans="3:16">
      <c r="J27" s="318" t="s">
        <v>355</v>
      </c>
      <c r="K27" s="11">
        <v>18.5</v>
      </c>
    </row>
    <row r="28" spans="3:16">
      <c r="J28" s="318" t="s">
        <v>356</v>
      </c>
      <c r="K28" s="278">
        <f>K27*1000/9.81</f>
        <v>1885.8307849133537</v>
      </c>
    </row>
    <row r="29" spans="3:16">
      <c r="J29" s="318" t="s">
        <v>371</v>
      </c>
      <c r="K29" s="319">
        <f>(K28*K26^2)/1000</f>
        <v>38025.891946992866</v>
      </c>
    </row>
    <row r="30" spans="3:16">
      <c r="J30" s="318" t="s">
        <v>372</v>
      </c>
      <c r="K30" s="296">
        <f>0.5*K29</f>
        <v>19012.945973496433</v>
      </c>
    </row>
    <row r="45" spans="2:6" ht="15.75" thickBot="1"/>
    <row r="46" spans="2:6" ht="15.75" thickBot="1">
      <c r="B46" s="729" t="s">
        <v>367</v>
      </c>
      <c r="C46" s="730"/>
      <c r="D46" s="730"/>
      <c r="E46" s="730"/>
      <c r="F46" s="731"/>
    </row>
    <row r="47" spans="2:6" ht="15.75" thickBot="1"/>
    <row r="48" spans="2:6" ht="15.75" thickBot="1">
      <c r="B48" s="288"/>
      <c r="C48" s="206" t="s">
        <v>399</v>
      </c>
      <c r="D48" s="286">
        <f>((2*K30*C3)/(2-K25))*(2+2.5*C13^0.85)</f>
        <v>279991.89460547181</v>
      </c>
    </row>
    <row r="49" spans="2:6">
      <c r="C49" s="1" t="s">
        <v>368</v>
      </c>
      <c r="D49" s="1" t="s">
        <v>360</v>
      </c>
    </row>
    <row r="50" spans="2:6">
      <c r="B50" s="70" t="s">
        <v>369</v>
      </c>
      <c r="C50" s="1">
        <f>H18</f>
        <v>9.0000000000000018</v>
      </c>
      <c r="D50" s="225">
        <f>D15</f>
        <v>5.2725101408111569E-2</v>
      </c>
      <c r="F50" t="s">
        <v>361</v>
      </c>
    </row>
    <row r="51" spans="2:6" ht="15.75" thickBot="1"/>
    <row r="52" spans="2:6" ht="15.75" thickBot="1">
      <c r="C52" s="276" t="s">
        <v>400</v>
      </c>
      <c r="D52" s="290">
        <f>D48*1</f>
        <v>279991.89460547181</v>
      </c>
    </row>
    <row r="68" spans="2:6" ht="15.75" thickBot="1"/>
    <row r="69" spans="2:6" ht="15.75" thickBot="1">
      <c r="B69" s="729" t="s">
        <v>370</v>
      </c>
      <c r="C69" s="730"/>
      <c r="D69" s="730"/>
      <c r="E69" s="730"/>
      <c r="F69" s="731"/>
    </row>
    <row r="70" spans="2:6" ht="15.75" thickBot="1"/>
    <row r="71" spans="2:6" ht="15.75" thickBot="1">
      <c r="B71" s="288"/>
      <c r="C71" s="206" t="s">
        <v>401</v>
      </c>
      <c r="D71" s="292">
        <f>D52-((0.2)/(0.75-K25))*K30*C3*(1-C2/C3)</f>
        <v>243487.03833635867</v>
      </c>
    </row>
    <row r="72" spans="2:6" ht="15.75" thickBot="1">
      <c r="C72" s="1"/>
      <c r="D72" s="1"/>
    </row>
    <row r="73" spans="2:6" ht="15.75" thickBot="1">
      <c r="C73" s="291" t="s">
        <v>402</v>
      </c>
      <c r="D73" s="15">
        <v>1</v>
      </c>
    </row>
    <row r="74" spans="2:6" ht="15.75" thickBot="1"/>
    <row r="75" spans="2:6" ht="15.75" thickBot="1">
      <c r="C75" s="276" t="s">
        <v>404</v>
      </c>
      <c r="D75" s="290">
        <f>D71*1</f>
        <v>243487.03833635867</v>
      </c>
    </row>
  </sheetData>
  <mergeCells count="3">
    <mergeCell ref="B11:F11"/>
    <mergeCell ref="B46:F46"/>
    <mergeCell ref="B69:F69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C430-4C00-4716-860D-648991D0FD8F}">
  <dimension ref="B2:N75"/>
  <sheetViews>
    <sheetView topLeftCell="A52" zoomScale="84" zoomScaleNormal="84" workbookViewId="0">
      <selection activeCell="D71" sqref="D71"/>
    </sheetView>
  </sheetViews>
  <sheetFormatPr defaultRowHeight="15"/>
  <cols>
    <col min="1" max="1" width="6.7109375" customWidth="1"/>
    <col min="2" max="2" width="17.5703125" customWidth="1"/>
    <col min="3" max="3" width="13.28515625" customWidth="1"/>
    <col min="4" max="4" width="12.28515625" customWidth="1"/>
    <col min="5" max="5" width="12.5703125" customWidth="1"/>
    <col min="6" max="6" width="11.42578125" customWidth="1"/>
    <col min="10" max="10" width="20.28515625" customWidth="1"/>
    <col min="11" max="11" width="12.42578125" customWidth="1"/>
    <col min="12" max="12" width="12.5703125" customWidth="1"/>
    <col min="13" max="13" width="11.7109375" customWidth="1"/>
    <col min="14" max="14" width="12.28515625" customWidth="1"/>
  </cols>
  <sheetData>
    <row r="2" spans="2:6">
      <c r="B2" s="1" t="s">
        <v>346</v>
      </c>
      <c r="C2" s="1">
        <f>1.2/2</f>
        <v>0.6</v>
      </c>
      <c r="D2" t="s">
        <v>345</v>
      </c>
    </row>
    <row r="3" spans="2:6">
      <c r="B3" s="1" t="s">
        <v>364</v>
      </c>
      <c r="C3" s="1">
        <f>10.8/2</f>
        <v>5.4</v>
      </c>
      <c r="D3" t="s">
        <v>365</v>
      </c>
    </row>
    <row r="4" spans="2:6" ht="16.5" customHeight="1">
      <c r="B4" t="s">
        <v>342</v>
      </c>
      <c r="C4" s="125">
        <f>0.50353</f>
        <v>0.50353000000000003</v>
      </c>
    </row>
    <row r="5" spans="2:6">
      <c r="B5" t="s">
        <v>347</v>
      </c>
      <c r="C5" s="225">
        <f>2*PI()/C4</f>
        <v>12.478273999919738</v>
      </c>
      <c r="D5" t="s">
        <v>343</v>
      </c>
    </row>
    <row r="6" spans="2:6" ht="16.5" customHeight="1">
      <c r="B6" s="284" t="s">
        <v>358</v>
      </c>
      <c r="C6" s="225">
        <f>C2*C5/K20</f>
        <v>5.2725101408111569E-2</v>
      </c>
      <c r="D6" t="s">
        <v>343</v>
      </c>
      <c r="E6" t="s">
        <v>344</v>
      </c>
    </row>
    <row r="7" spans="2:6" ht="15.75" thickBot="1"/>
    <row r="8" spans="2:6" ht="15.75" thickBot="1">
      <c r="B8" s="277" t="s">
        <v>372</v>
      </c>
      <c r="C8" s="283">
        <f>0.5*K23</f>
        <v>19012.945973496433</v>
      </c>
      <c r="D8" s="283">
        <f>0.8*L23</f>
        <v>51077.349643221205</v>
      </c>
      <c r="E8" s="283">
        <f>0.8*M23</f>
        <v>44632.334352701328</v>
      </c>
      <c r="F8" s="283">
        <f>0.8*N23</f>
        <v>109168.48114169214</v>
      </c>
    </row>
    <row r="10" spans="2:6" ht="15.75" thickBot="1"/>
    <row r="11" spans="2:6" ht="15.75" thickBot="1">
      <c r="B11" s="729" t="s">
        <v>366</v>
      </c>
      <c r="C11" s="730"/>
      <c r="D11" s="730"/>
      <c r="E11" s="730"/>
      <c r="F11" s="731"/>
    </row>
    <row r="12" spans="2:6" ht="15.75" thickBot="1"/>
    <row r="13" spans="2:6" ht="15.75" thickBot="1">
      <c r="B13" s="288" t="s">
        <v>363</v>
      </c>
      <c r="C13" s="287">
        <f>(C2*2*C3*2)/(4*C3^2)</f>
        <v>0.1111111111111111</v>
      </c>
      <c r="D13" s="206" t="s">
        <v>373</v>
      </c>
      <c r="E13" s="286">
        <f>((2*C8*C3)/(1-K19))*(0.73+1.54*C13^0.75)</f>
        <v>281007.02915914363</v>
      </c>
    </row>
    <row r="14" spans="2:6">
      <c r="C14" s="1" t="s">
        <v>359</v>
      </c>
      <c r="D14" s="1" t="s">
        <v>360</v>
      </c>
    </row>
    <row r="15" spans="2:6">
      <c r="B15" s="70" t="s">
        <v>357</v>
      </c>
      <c r="C15" s="1">
        <f>(C3/C2)*K19</f>
        <v>2.2500000000000004</v>
      </c>
      <c r="D15" s="225">
        <f>C6</f>
        <v>5.2725101408111569E-2</v>
      </c>
      <c r="F15" t="s">
        <v>361</v>
      </c>
    </row>
    <row r="16" spans="2:6" ht="15.75" thickBot="1"/>
    <row r="17" spans="3:14" ht="15.75" thickBot="1">
      <c r="C17" s="276" t="s">
        <v>374</v>
      </c>
      <c r="D17" s="290">
        <f>E13*1</f>
        <v>281007.02915914363</v>
      </c>
    </row>
    <row r="18" spans="3:14" ht="15.75" thickBot="1">
      <c r="F18" s="206" t="s">
        <v>362</v>
      </c>
      <c r="G18" s="285">
        <f>C3/C2</f>
        <v>9.0000000000000018</v>
      </c>
      <c r="J18" s="273" t="s">
        <v>348</v>
      </c>
      <c r="K18" s="210" t="s">
        <v>349</v>
      </c>
      <c r="L18" s="210" t="s">
        <v>350</v>
      </c>
      <c r="M18" s="274" t="s">
        <v>351</v>
      </c>
      <c r="N18" s="210" t="s">
        <v>352</v>
      </c>
    </row>
    <row r="19" spans="3:14" ht="15.75" thickBot="1">
      <c r="J19" s="277" t="s">
        <v>353</v>
      </c>
      <c r="K19" s="8">
        <v>0.25</v>
      </c>
      <c r="L19" s="5">
        <v>0.5</v>
      </c>
      <c r="M19" s="5">
        <v>0.5</v>
      </c>
      <c r="N19" s="5">
        <v>0.5</v>
      </c>
    </row>
    <row r="20" spans="3:14" ht="15.75" thickBot="1">
      <c r="J20" s="210" t="s">
        <v>354</v>
      </c>
      <c r="K20" s="279">
        <v>142</v>
      </c>
      <c r="L20" s="11">
        <v>184</v>
      </c>
      <c r="M20" s="11">
        <v>172</v>
      </c>
      <c r="N20" s="11">
        <v>269</v>
      </c>
    </row>
    <row r="21" spans="3:14" ht="15.75" thickBot="1">
      <c r="J21" s="277" t="s">
        <v>355</v>
      </c>
      <c r="K21" s="279">
        <v>18.5</v>
      </c>
      <c r="L21" s="11">
        <v>18.5</v>
      </c>
      <c r="M21" s="11">
        <v>18.5</v>
      </c>
      <c r="N21" s="11">
        <v>18.5</v>
      </c>
    </row>
    <row r="22" spans="3:14" ht="15.75" thickBot="1">
      <c r="J22" s="277" t="s">
        <v>356</v>
      </c>
      <c r="K22" s="280">
        <f>K21*1000/9.81</f>
        <v>1885.8307849133537</v>
      </c>
      <c r="L22" s="278">
        <f>L21*1000/9.81</f>
        <v>1885.8307849133537</v>
      </c>
      <c r="M22" s="278">
        <f>M21*1000/9.81</f>
        <v>1885.8307849133537</v>
      </c>
      <c r="N22" s="278">
        <f>N21*1000/9.81</f>
        <v>1885.8307849133537</v>
      </c>
    </row>
    <row r="23" spans="3:14" ht="15.75" thickBot="1">
      <c r="J23" s="282" t="s">
        <v>371</v>
      </c>
      <c r="K23" s="293">
        <f>(K22*K20^2)/1000</f>
        <v>38025.891946992866</v>
      </c>
      <c r="L23" s="293">
        <f t="shared" ref="L23:N23" si="0">(L22*L20^2)/1000</f>
        <v>63846.687054026501</v>
      </c>
      <c r="M23" s="293">
        <f t="shared" si="0"/>
        <v>55790.417940876658</v>
      </c>
      <c r="N23" s="293">
        <f t="shared" si="0"/>
        <v>136460.60142711518</v>
      </c>
    </row>
    <row r="45" spans="2:6" ht="15.75" thickBot="1"/>
    <row r="46" spans="2:6" ht="15.75" thickBot="1">
      <c r="B46" s="729" t="s">
        <v>367</v>
      </c>
      <c r="C46" s="730"/>
      <c r="D46" s="730"/>
      <c r="E46" s="730"/>
      <c r="F46" s="731"/>
    </row>
    <row r="47" spans="2:6" ht="15.75" thickBot="1"/>
    <row r="48" spans="2:6" ht="15.75" thickBot="1">
      <c r="B48" s="288"/>
      <c r="C48" s="206" t="s">
        <v>399</v>
      </c>
      <c r="D48" s="286">
        <f>((2*C8*C3)/(2-K19))*(2+2.5*C13^0.85)</f>
        <v>279991.89460547181</v>
      </c>
    </row>
    <row r="49" spans="2:6">
      <c r="C49" s="1" t="s">
        <v>368</v>
      </c>
      <c r="D49" s="1" t="s">
        <v>360</v>
      </c>
    </row>
    <row r="50" spans="2:6">
      <c r="B50" s="70" t="s">
        <v>369</v>
      </c>
      <c r="C50" s="1">
        <f>G18</f>
        <v>9.0000000000000018</v>
      </c>
      <c r="D50" s="225">
        <f>D15</f>
        <v>5.2725101408111569E-2</v>
      </c>
      <c r="F50" t="s">
        <v>361</v>
      </c>
    </row>
    <row r="51" spans="2:6" ht="15.75" thickBot="1"/>
    <row r="52" spans="2:6" ht="15.75" thickBot="1">
      <c r="C52" s="276" t="s">
        <v>400</v>
      </c>
      <c r="D52" s="290">
        <f>D48*1</f>
        <v>279991.89460547181</v>
      </c>
    </row>
    <row r="68" spans="2:6" ht="15.75" thickBot="1"/>
    <row r="69" spans="2:6" ht="15.75" thickBot="1">
      <c r="B69" s="729" t="s">
        <v>370</v>
      </c>
      <c r="C69" s="730"/>
      <c r="D69" s="730"/>
      <c r="E69" s="730"/>
      <c r="F69" s="731"/>
    </row>
    <row r="70" spans="2:6" ht="15.75" thickBot="1"/>
    <row r="71" spans="2:6" ht="15.75" thickBot="1">
      <c r="B71" s="288"/>
      <c r="C71" s="206" t="s">
        <v>401</v>
      </c>
      <c r="D71" s="292">
        <f>D52-((0.2)/(0.75-K19))*C8*C3*(1-C2/C3)</f>
        <v>243487.03833635867</v>
      </c>
    </row>
    <row r="72" spans="2:6" ht="15.75" thickBot="1">
      <c r="C72" s="1"/>
      <c r="D72" s="1"/>
    </row>
    <row r="73" spans="2:6" ht="15.75" thickBot="1">
      <c r="C73" s="291" t="s">
        <v>402</v>
      </c>
      <c r="D73" s="15">
        <v>1</v>
      </c>
    </row>
    <row r="74" spans="2:6" ht="15.75" thickBot="1"/>
    <row r="75" spans="2:6" ht="15.75" thickBot="1">
      <c r="C75" s="276" t="s">
        <v>403</v>
      </c>
      <c r="D75" s="290">
        <f>D71*1</f>
        <v>243487.03833635867</v>
      </c>
    </row>
  </sheetData>
  <mergeCells count="3">
    <mergeCell ref="B11:F11"/>
    <mergeCell ref="B46:F46"/>
    <mergeCell ref="B69:F69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D663-D3F2-443B-8CA2-7DA8FEAAD5EE}">
  <sheetPr>
    <pageSetUpPr fitToPage="1"/>
  </sheetPr>
  <dimension ref="A1:O28"/>
  <sheetViews>
    <sheetView zoomScale="89" zoomScaleNormal="89" workbookViewId="0">
      <selection activeCell="F11" sqref="F11"/>
    </sheetView>
  </sheetViews>
  <sheetFormatPr defaultRowHeight="15"/>
  <cols>
    <col min="2" max="2" width="10.7109375" bestFit="1" customWidth="1"/>
    <col min="3" max="3" width="11.85546875" customWidth="1"/>
    <col min="4" max="4" width="11.5703125" customWidth="1"/>
    <col min="5" max="5" width="13.42578125" customWidth="1"/>
    <col min="6" max="6" width="18.140625" customWidth="1"/>
    <col min="7" max="7" width="20.140625" customWidth="1"/>
    <col min="8" max="8" width="19.28515625" customWidth="1"/>
    <col min="9" max="9" width="19.140625" customWidth="1"/>
    <col min="10" max="10" width="18.5703125" customWidth="1"/>
    <col min="11" max="11" width="19.140625" customWidth="1"/>
    <col min="12" max="12" width="19.28515625" customWidth="1"/>
    <col min="13" max="13" width="15.7109375" customWidth="1"/>
    <col min="14" max="14" width="19.7109375" customWidth="1"/>
  </cols>
  <sheetData>
    <row r="1" spans="1:15" ht="15.75" thickBot="1"/>
    <row r="2" spans="1:15">
      <c r="H2" s="733" t="s">
        <v>391</v>
      </c>
      <c r="K2" s="1"/>
      <c r="L2" s="1"/>
      <c r="M2" s="1"/>
    </row>
    <row r="3" spans="1:15" ht="15.75" thickBot="1">
      <c r="H3" s="734"/>
      <c r="M3" s="1"/>
      <c r="N3" s="1"/>
      <c r="O3" s="1"/>
    </row>
    <row r="4" spans="1:15">
      <c r="A4" s="298" t="s">
        <v>375</v>
      </c>
      <c r="B4" s="298" t="s">
        <v>383</v>
      </c>
      <c r="C4" s="298" t="s">
        <v>21</v>
      </c>
      <c r="D4" s="298" t="s">
        <v>380</v>
      </c>
      <c r="E4" s="298" t="s">
        <v>381</v>
      </c>
      <c r="M4" s="1"/>
      <c r="N4" s="1"/>
      <c r="O4" s="1"/>
    </row>
    <row r="5" spans="1:15">
      <c r="A5" s="7" t="s">
        <v>376</v>
      </c>
      <c r="B5" s="11">
        <f>'Verifica Cedimenti'!U91</f>
        <v>1.2</v>
      </c>
      <c r="C5" s="295">
        <v>17.899999999999999</v>
      </c>
      <c r="D5" s="296" t="e">
        <f>'Verifica Cedimenti'!#REF!</f>
        <v>#REF!</v>
      </c>
      <c r="E5" s="296">
        <f>'Verifica Cedimenti'!G123</f>
        <v>33.619366852886415</v>
      </c>
      <c r="M5" s="1"/>
      <c r="N5" s="1"/>
      <c r="O5" s="1"/>
    </row>
    <row r="6" spans="1:15">
      <c r="A6" s="7" t="s">
        <v>377</v>
      </c>
      <c r="B6" s="11">
        <v>1.2</v>
      </c>
      <c r="C6" s="11">
        <v>17.899999999999999</v>
      </c>
      <c r="D6" s="296">
        <f>'Cedimenti trave 9-11-13-15'!Z52</f>
        <v>1.6298564149048698</v>
      </c>
      <c r="E6" s="296">
        <f>'Cedimenti trave 9-11-13-15'!C28</f>
        <v>48.997350427350426</v>
      </c>
      <c r="H6" s="294" t="s">
        <v>387</v>
      </c>
      <c r="J6" s="294" t="s">
        <v>389</v>
      </c>
      <c r="K6" s="1"/>
      <c r="L6" s="294" t="s">
        <v>389</v>
      </c>
      <c r="M6" s="1"/>
      <c r="N6" s="1"/>
      <c r="O6" s="1"/>
    </row>
    <row r="7" spans="1:15">
      <c r="A7" s="299" t="s">
        <v>378</v>
      </c>
      <c r="B7" s="11">
        <v>1.2</v>
      </c>
      <c r="C7" s="11">
        <v>10.8</v>
      </c>
      <c r="D7" s="296" t="e">
        <f>#REF!</f>
        <v>#REF!</v>
      </c>
      <c r="E7" s="296" t="e">
        <f>#REF!</f>
        <v>#REF!</v>
      </c>
      <c r="G7" s="493" t="s">
        <v>382</v>
      </c>
      <c r="H7" s="493" t="s">
        <v>384</v>
      </c>
      <c r="I7" s="493" t="s">
        <v>385</v>
      </c>
      <c r="J7" s="493" t="s">
        <v>386</v>
      </c>
      <c r="K7" s="493" t="s">
        <v>390</v>
      </c>
      <c r="L7" s="493" t="s">
        <v>386</v>
      </c>
    </row>
    <row r="8" spans="1:15">
      <c r="A8" s="299" t="s">
        <v>379</v>
      </c>
      <c r="B8" s="11">
        <v>1.2</v>
      </c>
      <c r="C8" s="11">
        <v>10.8</v>
      </c>
      <c r="D8" s="296" t="e">
        <f>#REF!</f>
        <v>#REF!</v>
      </c>
      <c r="E8" s="296" t="e">
        <f>#REF!</f>
        <v>#REF!</v>
      </c>
      <c r="G8" s="297">
        <f>H8/1.2</f>
        <v>2245.4583333333335</v>
      </c>
      <c r="H8" s="297">
        <f>2694.55</f>
        <v>2694.55</v>
      </c>
      <c r="I8" s="11"/>
      <c r="J8" s="11"/>
      <c r="K8" s="11">
        <v>2.375</v>
      </c>
      <c r="L8" s="296">
        <f>H8*K8</f>
        <v>6399.5562500000005</v>
      </c>
    </row>
    <row r="9" spans="1:15">
      <c r="G9" s="297">
        <f t="shared" ref="G9:G11" si="0">H9/1.2</f>
        <v>2245.4583333333335</v>
      </c>
      <c r="H9" s="297">
        <f t="shared" ref="H9:H11" si="1">2694.55</f>
        <v>2694.55</v>
      </c>
      <c r="I9" s="11"/>
      <c r="J9" s="11"/>
      <c r="K9" s="11">
        <v>4.75</v>
      </c>
      <c r="L9" s="296">
        <f>H9*K9</f>
        <v>12799.112500000001</v>
      </c>
    </row>
    <row r="10" spans="1:15">
      <c r="G10" s="297">
        <f t="shared" si="0"/>
        <v>2245.4583333333335</v>
      </c>
      <c r="H10" s="297">
        <f t="shared" si="1"/>
        <v>2694.55</v>
      </c>
      <c r="I10" s="11">
        <v>2.75</v>
      </c>
      <c r="J10" s="297">
        <f>H10*I10</f>
        <v>7410.0125000000007</v>
      </c>
      <c r="K10" s="11"/>
      <c r="L10" s="11"/>
    </row>
    <row r="11" spans="1:15">
      <c r="G11" s="297">
        <f t="shared" si="0"/>
        <v>2245.4583333333335</v>
      </c>
      <c r="H11" s="297">
        <f t="shared" si="1"/>
        <v>2694.55</v>
      </c>
      <c r="I11" s="11">
        <v>5.625</v>
      </c>
      <c r="J11" s="297">
        <f>H11*I11</f>
        <v>15156.843750000002</v>
      </c>
      <c r="K11" s="11"/>
      <c r="L11" s="11"/>
    </row>
    <row r="12" spans="1:15" ht="15.75" thickBot="1"/>
    <row r="13" spans="1:15">
      <c r="H13" s="733" t="s">
        <v>392</v>
      </c>
    </row>
    <row r="14" spans="1:15" ht="15.75" thickBot="1">
      <c r="H14" s="734"/>
    </row>
    <row r="15" spans="1:15">
      <c r="M15" s="207"/>
    </row>
    <row r="16" spans="1:15">
      <c r="K16" s="9"/>
      <c r="L16" s="289" t="s">
        <v>387</v>
      </c>
      <c r="M16" s="289" t="s">
        <v>389</v>
      </c>
      <c r="N16" s="294" t="s">
        <v>389</v>
      </c>
    </row>
    <row r="17" spans="4:14">
      <c r="K17" s="275"/>
      <c r="L17" s="289" t="s">
        <v>388</v>
      </c>
      <c r="M17" s="289" t="s">
        <v>388</v>
      </c>
      <c r="N17" s="294" t="s">
        <v>388</v>
      </c>
    </row>
    <row r="18" spans="4:14">
      <c r="D18" s="493" t="s">
        <v>375</v>
      </c>
      <c r="E18" s="493" t="s">
        <v>393</v>
      </c>
      <c r="F18" s="493" t="s">
        <v>397</v>
      </c>
      <c r="G18" s="493" t="s">
        <v>394</v>
      </c>
      <c r="H18" s="493" t="s">
        <v>395</v>
      </c>
      <c r="I18" s="493" t="s">
        <v>396</v>
      </c>
      <c r="J18" s="493" t="s">
        <v>398</v>
      </c>
      <c r="K18" s="302"/>
    </row>
    <row r="19" spans="4:14">
      <c r="D19" s="494" t="s">
        <v>376</v>
      </c>
      <c r="E19" s="300">
        <f>'K Dinamica Trave 1-3-5-7'!C6</f>
        <v>5.2725101408111569E-2</v>
      </c>
      <c r="F19" s="301">
        <f>C5/B5</f>
        <v>14.916666666666666</v>
      </c>
      <c r="G19" s="296">
        <f>'K Dinamica Trave 1-3-5-7'!E13</f>
        <v>423324.083270573</v>
      </c>
      <c r="H19" s="297">
        <f>G19/B5</f>
        <v>352770.06939214416</v>
      </c>
      <c r="I19" s="296">
        <f>'K Dinamica Trave 1-3-5-7'!$D$48</f>
        <v>437836.42634590098</v>
      </c>
      <c r="J19" s="296">
        <f>'K Dinamica Trave 1-3-5-7'!D75</f>
        <v>374333.18679442292</v>
      </c>
      <c r="K19" s="303"/>
    </row>
    <row r="20" spans="4:14">
      <c r="D20" s="494" t="s">
        <v>377</v>
      </c>
      <c r="E20" s="300">
        <f>'K Dinamica Trave 9-11-13-15'!C6</f>
        <v>5.2725101408111569E-2</v>
      </c>
      <c r="F20" s="301">
        <f>C6/B6</f>
        <v>14.916666666666666</v>
      </c>
      <c r="G20" s="296">
        <f>'K Dinamica Trave 9-11-13-15'!E13</f>
        <v>423324.083270573</v>
      </c>
      <c r="H20" s="297">
        <f>G20/B6</f>
        <v>352770.06939214416</v>
      </c>
      <c r="I20" s="296">
        <f>'K Dinamica Trave 9-11-13-15'!$D$48</f>
        <v>437836.42634590098</v>
      </c>
      <c r="J20" s="296">
        <f>'K Dinamica Trave 9-11-13-15'!D75</f>
        <v>374333.18679442292</v>
      </c>
      <c r="K20" s="303"/>
    </row>
    <row r="21" spans="4:14">
      <c r="D21" s="495" t="s">
        <v>378</v>
      </c>
      <c r="E21" s="300">
        <f>'K Dinamica Trave 1-9-17'!C6</f>
        <v>5.2725101408111569E-2</v>
      </c>
      <c r="F21" s="301">
        <f>C7/B7</f>
        <v>9.0000000000000018</v>
      </c>
      <c r="G21" s="296">
        <f>'K Dinamica Trave 1-9-17'!E13</f>
        <v>281007.02915914363</v>
      </c>
      <c r="H21" s="297">
        <f>G21/B7</f>
        <v>234172.52429928636</v>
      </c>
      <c r="I21" s="296">
        <f>'K Dinamica Trave 1-9-17'!$D$48</f>
        <v>279991.89460547181</v>
      </c>
      <c r="J21" s="296">
        <f>'K Dinamica Trave 1-9-17'!D75</f>
        <v>243487.03833635867</v>
      </c>
      <c r="K21" s="303"/>
    </row>
    <row r="22" spans="4:14">
      <c r="D22" s="495" t="s">
        <v>379</v>
      </c>
      <c r="E22" s="300">
        <f>'K Dinamica Trave 3-11-19'!C6</f>
        <v>5.2725101408111569E-2</v>
      </c>
      <c r="F22" s="301">
        <f>C8/B8</f>
        <v>9.0000000000000018</v>
      </c>
      <c r="G22" s="496">
        <f>'K Dinamica Trave 3-11-19'!E13</f>
        <v>281007.02915914363</v>
      </c>
      <c r="H22" s="497">
        <f>G22/B8</f>
        <v>234172.52429928636</v>
      </c>
      <c r="I22" s="496">
        <f>'K Dinamica Trave 3-11-19'!$D$48</f>
        <v>279991.89460547181</v>
      </c>
      <c r="J22" s="496">
        <f>'K Dinamica Trave 3-11-19'!D75</f>
        <v>243487.03833635867</v>
      </c>
      <c r="K22" s="303"/>
    </row>
    <row r="23" spans="4:14">
      <c r="I23" s="9"/>
      <c r="J23" s="9"/>
      <c r="K23" s="9"/>
      <c r="M23" s="207"/>
    </row>
    <row r="24" spans="4:14">
      <c r="H24">
        <v>234172.52429928599</v>
      </c>
      <c r="I24">
        <v>279991.89460547199</v>
      </c>
      <c r="J24">
        <v>36504.856269113152</v>
      </c>
    </row>
    <row r="28" spans="4:14">
      <c r="E28" s="304"/>
      <c r="H28" s="497"/>
      <c r="I28" s="496"/>
      <c r="J28" s="496"/>
    </row>
  </sheetData>
  <mergeCells count="2">
    <mergeCell ref="H2:H3"/>
    <mergeCell ref="H13:H14"/>
  </mergeCells>
  <pageMargins left="0.25" right="0.25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19</vt:i4>
      </vt:variant>
    </vt:vector>
  </HeadingPairs>
  <TitlesOfParts>
    <vt:vector size="19" baseType="lpstr">
      <vt:lpstr>Pesi elementi</vt:lpstr>
      <vt:lpstr>Azione del vento &amp; Neve</vt:lpstr>
      <vt:lpstr>Analisi statica lineare</vt:lpstr>
      <vt:lpstr>parametri geotecnici</vt:lpstr>
      <vt:lpstr>verifica a liquefazione CPT (5)</vt:lpstr>
      <vt:lpstr>verifica a liquefazione (4)</vt:lpstr>
      <vt:lpstr>verifica a liquefazione (3)</vt:lpstr>
      <vt:lpstr>verifica a liquefazione (2)</vt:lpstr>
      <vt:lpstr>Baricentro sezione e armatura</vt:lpstr>
      <vt:lpstr>verifiche SLE (tensini limite)</vt:lpstr>
      <vt:lpstr>qlim statico</vt:lpstr>
      <vt:lpstr>Qlim dinamico</vt:lpstr>
      <vt:lpstr>Verifica Cedimenti</vt:lpstr>
      <vt:lpstr>Cedimenti trave 9-11-13-15</vt:lpstr>
      <vt:lpstr>K Dinamica Trave 1-3-5-7</vt:lpstr>
      <vt:lpstr>K Dinamica Trave 9-11-13-15</vt:lpstr>
      <vt:lpstr>K Dinamica Trave 1-9-17</vt:lpstr>
      <vt:lpstr>K Dinamica Trave 3-11-19</vt:lpstr>
      <vt:lpstr>Riassunto Rigidezze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2018-10-25T14:07:04Z</cp:lastPrinted>
  <dcterms:created xsi:type="dcterms:W3CDTF">2018-05-20T08:52:25Z</dcterms:created>
  <dcterms:modified xsi:type="dcterms:W3CDTF">2018-12-28T22:24:04Z</dcterms:modified>
</cp:coreProperties>
</file>