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05" yWindow="0" windowWidth="20490" windowHeight="3015" activeTab="2"/>
  </bookViews>
  <sheets>
    <sheet name="Financial Report" sheetId="1" r:id="rId1"/>
    <sheet name="DL" sheetId="2" r:id="rId2"/>
    <sheet name="Protection Grid" sheetId="3" r:id="rId3"/>
  </sheets>
  <calcPr calcId="145621"/>
</workbook>
</file>

<file path=xl/calcChain.xml><?xml version="1.0" encoding="utf-8"?>
<calcChain xmlns="http://schemas.openxmlformats.org/spreadsheetml/2006/main">
  <c r="E19" i="1" l="1"/>
  <c r="E26" i="1" l="1"/>
  <c r="D51" i="1" l="1"/>
  <c r="E18" i="1" l="1"/>
  <c r="E45" i="1" l="1"/>
  <c r="E44" i="1"/>
  <c r="E46" i="1"/>
  <c r="B3" i="3" l="1"/>
  <c r="E21" i="1"/>
  <c r="D60" i="1" l="1"/>
  <c r="E6" i="1"/>
  <c r="E7" i="1"/>
  <c r="E8" i="1"/>
  <c r="E9" i="1"/>
  <c r="E10" i="1"/>
  <c r="E11" i="1"/>
  <c r="E12" i="1"/>
  <c r="E13" i="1"/>
  <c r="E14" i="1"/>
  <c r="E15" i="1"/>
  <c r="E16" i="1"/>
  <c r="E60" i="1" l="1"/>
  <c r="E47" i="1"/>
  <c r="B2" i="3"/>
  <c r="B5" i="3"/>
  <c r="D5" i="3" s="1"/>
  <c r="B4" i="3"/>
  <c r="D4" i="3" s="1"/>
  <c r="D3" i="3"/>
  <c r="D2" i="3"/>
  <c r="D29" i="1"/>
  <c r="E29" i="1" s="1"/>
  <c r="E51" i="1"/>
  <c r="F24" i="2"/>
  <c r="I24" i="2" s="1"/>
  <c r="J24" i="2" s="1"/>
  <c r="E27" i="1"/>
  <c r="D6" i="3" l="1"/>
  <c r="E38" i="1"/>
  <c r="E39" i="1"/>
  <c r="E48" i="1" l="1"/>
  <c r="F23" i="2" l="1"/>
  <c r="I23" i="2" s="1"/>
  <c r="J23" i="2" s="1"/>
  <c r="F22" i="2"/>
  <c r="I22" i="2" s="1"/>
  <c r="J22" i="2" s="1"/>
  <c r="F21" i="2"/>
  <c r="I21" i="2" s="1"/>
  <c r="J21" i="2" s="1"/>
  <c r="J25" i="2" l="1"/>
  <c r="D35" i="1"/>
  <c r="E35" i="1" s="1"/>
  <c r="E34" i="1"/>
  <c r="E33" i="1"/>
  <c r="E32" i="1"/>
  <c r="E36" i="1" l="1"/>
  <c r="E50" i="1"/>
  <c r="E57" i="1" s="1"/>
  <c r="H8" i="2" l="1"/>
  <c r="F8" i="2"/>
  <c r="F15" i="2"/>
  <c r="I15" i="2" s="1"/>
  <c r="J15" i="2" s="1"/>
  <c r="F18" i="2"/>
  <c r="I18" i="2" s="1"/>
  <c r="J18" i="2" s="1"/>
  <c r="F17" i="2"/>
  <c r="I17" i="2" s="1"/>
  <c r="J17" i="2" s="1"/>
  <c r="F16" i="2"/>
  <c r="I16" i="2" s="1"/>
  <c r="J16" i="2" s="1"/>
  <c r="H11" i="2"/>
  <c r="F11" i="2"/>
  <c r="F10" i="2"/>
  <c r="I10" i="2" s="1"/>
  <c r="H13" i="2"/>
  <c r="F13" i="2"/>
  <c r="H14" i="2"/>
  <c r="F14" i="2"/>
  <c r="H12" i="2"/>
  <c r="F12" i="2"/>
  <c r="F9" i="2"/>
  <c r="I9" i="2" s="1"/>
  <c r="J9" i="2" s="1"/>
  <c r="F7" i="2"/>
  <c r="I7" i="2" s="1"/>
  <c r="J7" i="2" s="1"/>
  <c r="F5" i="2"/>
  <c r="I5" i="2" s="1"/>
  <c r="J5" i="2" s="1"/>
  <c r="H6" i="2"/>
  <c r="F6" i="2"/>
  <c r="F4" i="2"/>
  <c r="I4" i="2" s="1"/>
  <c r="J4" i="2" s="1"/>
  <c r="I6" i="2" l="1"/>
  <c r="J6" i="2" s="1"/>
  <c r="I11" i="2"/>
  <c r="J10" i="2" s="1"/>
  <c r="I8" i="2"/>
  <c r="J8" i="2" s="1"/>
  <c r="I12" i="2"/>
  <c r="I13" i="2"/>
  <c r="I14" i="2"/>
  <c r="J14" i="2" s="1"/>
  <c r="E53" i="1"/>
  <c r="E41" i="1"/>
  <c r="E40" i="1"/>
  <c r="E5" i="1"/>
  <c r="J12" i="2" l="1"/>
  <c r="J19" i="2" s="1"/>
  <c r="J26" i="2" s="1"/>
  <c r="E42" i="1"/>
  <c r="E17" i="1"/>
  <c r="E28" i="1"/>
  <c r="E25" i="1"/>
  <c r="E22" i="1"/>
  <c r="E30" i="1" l="1"/>
  <c r="E52" i="1"/>
  <c r="E23" i="1"/>
  <c r="E56" i="1" s="1"/>
  <c r="E54" i="1" l="1"/>
  <c r="E58" i="1"/>
</calcChain>
</file>

<file path=xl/sharedStrings.xml><?xml version="1.0" encoding="utf-8"?>
<sst xmlns="http://schemas.openxmlformats.org/spreadsheetml/2006/main" count="133" uniqueCount="110">
  <si>
    <t>unit cost</t>
    <phoneticPr fontId="1" type="noConversion"/>
  </si>
  <si>
    <t>Cost</t>
    <phoneticPr fontId="1" type="noConversion"/>
  </si>
  <si>
    <t>Industrial Building - Precast Concrete</t>
    <phoneticPr fontId="1" type="noConversion"/>
  </si>
  <si>
    <t>comment</t>
    <phoneticPr fontId="1" type="noConversion"/>
  </si>
  <si>
    <t>Forklifts - 6m</t>
    <phoneticPr fontId="1" type="noConversion"/>
  </si>
  <si>
    <t>Electric Pallet Jack</t>
    <phoneticPr fontId="1" type="noConversion"/>
  </si>
  <si>
    <t>Conveyors</t>
    <phoneticPr fontId="1" type="noConversion"/>
  </si>
  <si>
    <t>Machine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</si>
  <si>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</si>
  <si>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</si>
  <si>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</si>
  <si>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</si>
  <si>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M5</t>
    <phoneticPr fontId="1" type="noConversion"/>
  </si>
  <si>
    <t>M6</t>
    <phoneticPr fontId="1" type="noConversion"/>
  </si>
  <si>
    <t>M7</t>
    <phoneticPr fontId="1" type="noConversion"/>
  </si>
  <si>
    <t>M8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</si>
  <si>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</si>
  <si>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</si>
  <si>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</si>
  <si>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</si>
  <si>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 xml:space="preserve">Racks RMW </t>
    <phoneticPr fontId="1" type="noConversion"/>
  </si>
  <si>
    <t>Racks FPW</t>
    <phoneticPr fontId="1" type="noConversion"/>
  </si>
  <si>
    <t>Material Handling Equipment</t>
    <phoneticPr fontId="1" type="noConversion"/>
  </si>
  <si>
    <t>warhouse</t>
    <phoneticPr fontId="1" type="noConversion"/>
  </si>
  <si>
    <t>unit loads</t>
    <phoneticPr fontId="1" type="noConversion"/>
  </si>
  <si>
    <t>large plastic bin</t>
    <phoneticPr fontId="1" type="noConversion"/>
  </si>
  <si>
    <t>small plastic bin</t>
    <phoneticPr fontId="1" type="noConversion"/>
  </si>
  <si>
    <t>large Odette box</t>
    <phoneticPr fontId="1" type="noConversion"/>
  </si>
  <si>
    <t>small Odette box</t>
    <phoneticPr fontId="1" type="noConversion"/>
  </si>
  <si>
    <t>Receiving dock</t>
    <phoneticPr fontId="1" type="noConversion"/>
  </si>
  <si>
    <t>Shipping dock</t>
    <phoneticPr fontId="1" type="noConversion"/>
  </si>
  <si>
    <t>Building System</t>
    <phoneticPr fontId="1" type="noConversion"/>
  </si>
  <si>
    <t>Doors &amp; Protection Grid</t>
    <phoneticPr fontId="1" type="noConversion"/>
  </si>
  <si>
    <t>Industrial Door</t>
    <phoneticPr fontId="1" type="noConversion"/>
  </si>
  <si>
    <t>Emergency Exit Door</t>
    <phoneticPr fontId="1" type="noConversion"/>
  </si>
  <si>
    <t>Internal Wall</t>
    <phoneticPr fontId="1" type="noConversion"/>
  </si>
  <si>
    <t>Protection Grid</t>
    <phoneticPr fontId="1" type="noConversion"/>
  </si>
  <si>
    <t>DM</t>
    <phoneticPr fontId="1" type="noConversion"/>
  </si>
  <si>
    <t>Maintenance of auxiliary services and office spaces</t>
    <phoneticPr fontId="1" type="noConversion"/>
  </si>
  <si>
    <t>Selling &amp; administrative</t>
    <phoneticPr fontId="1" type="noConversion"/>
  </si>
  <si>
    <t>/</t>
    <phoneticPr fontId="1" type="noConversion"/>
  </si>
  <si>
    <t>M1</t>
    <phoneticPr fontId="1" type="noConversion"/>
  </si>
  <si>
    <t>M2</t>
    <phoneticPr fontId="1" type="noConversion"/>
  </si>
  <si>
    <t>M1 shared</t>
    <phoneticPr fontId="1" type="noConversion"/>
  </si>
  <si>
    <t># machine</t>
    <phoneticPr fontId="1" type="noConversion"/>
  </si>
  <si>
    <t>M3 shared</t>
    <phoneticPr fontId="1" type="noConversion"/>
  </si>
  <si>
    <t>working H/shift</t>
    <phoneticPr fontId="1" type="noConversion"/>
  </si>
  <si>
    <t>working #shift</t>
    <phoneticPr fontId="1" type="noConversion"/>
  </si>
  <si>
    <t>Set up time</t>
    <phoneticPr fontId="1" type="noConversion"/>
  </si>
  <si>
    <t># setup</t>
    <phoneticPr fontId="1" type="noConversion"/>
  </si>
  <si>
    <t>M8 D&amp;R</t>
    <phoneticPr fontId="1" type="noConversion"/>
  </si>
  <si>
    <t>M8 N</t>
    <phoneticPr fontId="1" type="noConversion"/>
  </si>
  <si>
    <t>machining hours</t>
    <phoneticPr fontId="1" type="noConversion"/>
  </si>
  <si>
    <t>/</t>
    <phoneticPr fontId="1" type="noConversion"/>
  </si>
  <si>
    <t>#</t>
    <phoneticPr fontId="1" type="noConversion"/>
  </si>
  <si>
    <t>Forklifts - 3m</t>
    <phoneticPr fontId="1" type="noConversion"/>
  </si>
  <si>
    <t>Forklift-3m</t>
    <phoneticPr fontId="1" type="noConversion"/>
  </si>
  <si>
    <t>Forklift-6m</t>
    <phoneticPr fontId="1" type="noConversion"/>
  </si>
  <si>
    <t>DL+O/H</t>
    <phoneticPr fontId="1" type="noConversion"/>
  </si>
  <si>
    <t>Dept</t>
    <phoneticPr fontId="1" type="noConversion"/>
  </si>
  <si>
    <t>M1</t>
    <phoneticPr fontId="1" type="noConversion"/>
  </si>
  <si>
    <t>M2</t>
    <phoneticPr fontId="1" type="noConversion"/>
  </si>
  <si>
    <t>M3M4M8</t>
    <phoneticPr fontId="1" type="noConversion"/>
  </si>
  <si>
    <t>M5M6M7</t>
    <phoneticPr fontId="1" type="noConversion"/>
  </si>
  <si>
    <t>C</t>
    <phoneticPr fontId="1" type="noConversion"/>
  </si>
  <si>
    <t>Area</t>
    <phoneticPr fontId="1" type="noConversion"/>
  </si>
  <si>
    <t>H</t>
    <phoneticPr fontId="1" type="noConversion"/>
  </si>
  <si>
    <t>FC</t>
    <phoneticPr fontId="1" type="noConversion"/>
  </si>
  <si>
    <t>VC</t>
    <phoneticPr fontId="1" type="noConversion"/>
  </si>
  <si>
    <t>CC</t>
    <phoneticPr fontId="1" type="noConversion"/>
  </si>
  <si>
    <t>Operation Costs- per year</t>
    <phoneticPr fontId="1" type="noConversion"/>
  </si>
  <si>
    <t>Hand Pallet Jack</t>
    <phoneticPr fontId="1" type="noConversion"/>
  </si>
  <si>
    <t>Total DL hours of workers</t>
    <phoneticPr fontId="1" type="noConversion"/>
  </si>
  <si>
    <t>Total DL hours of drivers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</si>
  <si>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</si>
  <si>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</si>
  <si>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</si>
  <si>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</si>
  <si>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</si>
  <si>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 &amp; D7</t>
    <phoneticPr fontId="1" type="noConversion"/>
  </si>
  <si>
    <t>DL hours</t>
    <phoneticPr fontId="1" type="noConversion"/>
  </si>
  <si>
    <t>Electrical Pallet Jack</t>
    <phoneticPr fontId="1" type="noConversion"/>
  </si>
  <si>
    <t>Hand Pallet Jack</t>
    <phoneticPr fontId="1" type="noConversion"/>
  </si>
  <si>
    <t>Machine - DL of Workers</t>
    <phoneticPr fontId="1" type="noConversion"/>
  </si>
  <si>
    <t>MHE - DL of Drivers</t>
    <phoneticPr fontId="1" type="noConversion"/>
  </si>
  <si>
    <t>Total DL hours</t>
    <phoneticPr fontId="1" type="noConversion"/>
  </si>
  <si>
    <t>/</t>
    <phoneticPr fontId="1" type="noConversion"/>
  </si>
  <si>
    <t>TOT of Building Cost</t>
    <phoneticPr fontId="1" type="noConversion"/>
  </si>
  <si>
    <t>TOT Cost of Machines</t>
    <phoneticPr fontId="1" type="noConversion"/>
  </si>
  <si>
    <t>TOT Cost of MHE</t>
    <phoneticPr fontId="1" type="noConversion"/>
  </si>
  <si>
    <t>TOT Cost of Unit Loads</t>
    <phoneticPr fontId="1" type="noConversion"/>
  </si>
  <si>
    <t>TOT Cost of Warhouse</t>
    <phoneticPr fontId="1" type="noConversion"/>
  </si>
  <si>
    <t>TOT Cost of Doors &amp; Protection Grid</t>
    <phoneticPr fontId="1" type="noConversion"/>
  </si>
  <si>
    <t>TOT Cost of Operation Cost</t>
    <phoneticPr fontId="1" type="noConversion"/>
  </si>
  <si>
    <t>BasketBall Field</t>
    <phoneticPr fontId="1" type="noConversion"/>
  </si>
  <si>
    <t>TOTAL Construction Cost (CC)</t>
    <phoneticPr fontId="1" type="noConversion"/>
  </si>
  <si>
    <t>COST</t>
    <phoneticPr fontId="1" type="noConversion"/>
  </si>
  <si>
    <t>REVENUE</t>
    <phoneticPr fontId="1" type="noConversion"/>
  </si>
  <si>
    <t>Annual revenue</t>
    <phoneticPr fontId="1" type="noConversion"/>
  </si>
  <si>
    <t>*traditional racks</t>
    <phoneticPr fontId="1" type="noConversion"/>
  </si>
  <si>
    <t>FC
*=Industrial Building * 2%</t>
    <phoneticPr fontId="1" type="noConversion"/>
  </si>
  <si>
    <t>TOTAL Varied Cost (VC)</t>
    <phoneticPr fontId="1" type="noConversion"/>
  </si>
  <si>
    <t>TOTAL Fixed Cost (FC)</t>
    <phoneticPr fontId="1" type="noConversion"/>
  </si>
  <si>
    <t>CC</t>
    <phoneticPr fontId="1" type="noConversion"/>
  </si>
  <si>
    <t>*Overhead mono-rail</t>
    <phoneticPr fontId="1" type="noConversion"/>
  </si>
  <si>
    <t>CC</t>
    <phoneticPr fontId="1" type="noConversion"/>
  </si>
  <si>
    <t>FC+VC</t>
    <phoneticPr fontId="1" type="noConversion"/>
  </si>
  <si>
    <t>Building</t>
    <phoneticPr fontId="1" type="noConversion"/>
  </si>
  <si>
    <t>land cost</t>
    <phoneticPr fontId="1" type="noConversion"/>
  </si>
  <si>
    <t>TOTAL 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</si>
</sst>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€-2]\ #,##0.00;[$€-2]\ \-#,##0.00"/>
    <numFmt numFmtId="177" formatCode="[$€-2]\ #,##0.00_);[Red]\([$€-2]\ #,##0.0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0"/>
      <color theme="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A968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thick">
        <color auto="1"/>
      </bottom>
      <diagonal/>
    </border>
    <border>
      <left/>
      <right style="double">
        <color auto="1"/>
      </right>
      <top/>
      <bottom style="thick">
        <color auto="1"/>
      </bottom>
      <diagonal/>
    </border>
    <border>
      <left style="double">
        <color auto="1"/>
      </left>
      <right/>
      <top style="thick">
        <color auto="1"/>
      </top>
      <bottom/>
      <diagonal/>
    </border>
    <border>
      <left/>
      <right style="double">
        <color auto="1"/>
      </right>
      <top style="thick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thick">
        <color auto="1"/>
      </top>
      <bottom style="thick">
        <color auto="1"/>
      </bottom>
      <diagonal/>
    </border>
    <border>
      <left/>
      <right style="double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176" fontId="0" fillId="0" borderId="0" xfId="0" applyNumberFormat="1"/>
    <xf numFmtId="0" fontId="0" fillId="0" borderId="0" xfId="0" applyAlignment="1">
      <alignment wrapText="1"/>
    </xf>
    <xf numFmtId="177" fontId="0" fillId="0" borderId="0" xfId="0" applyNumberFormat="1"/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1" xfId="0" applyBorder="1"/>
    <xf numFmtId="0" fontId="0" fillId="0" borderId="4" xfId="0" applyBorder="1" applyAlignment="1">
      <alignment horizontal="right"/>
    </xf>
    <xf numFmtId="0" fontId="0" fillId="0" borderId="1" xfId="0" applyFill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horizontal="right"/>
    </xf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27" xfId="0" applyFill="1" applyBorder="1"/>
    <xf numFmtId="0" fontId="0" fillId="0" borderId="28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4" borderId="20" xfId="0" applyFill="1" applyBorder="1" applyAlignment="1">
      <alignment horizontal="right"/>
    </xf>
    <xf numFmtId="0" fontId="0" fillId="4" borderId="31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176" fontId="0" fillId="0" borderId="0" xfId="0" applyNumberFormat="1" applyBorder="1"/>
    <xf numFmtId="0" fontId="0" fillId="0" borderId="0" xfId="0" applyBorder="1"/>
    <xf numFmtId="177" fontId="0" fillId="0" borderId="0" xfId="0" applyNumberFormat="1" applyBorder="1"/>
    <xf numFmtId="0" fontId="3" fillId="0" borderId="0" xfId="0" applyFont="1" applyBorder="1"/>
    <xf numFmtId="177" fontId="0" fillId="0" borderId="0" xfId="0" applyNumberFormat="1" applyBorder="1" applyAlignment="1">
      <alignment vertical="center"/>
    </xf>
    <xf numFmtId="176" fontId="0" fillId="0" borderId="19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77" fontId="0" fillId="0" borderId="19" xfId="0" applyNumberFormat="1" applyBorder="1" applyAlignment="1">
      <alignment horizontal="center" vertical="center"/>
    </xf>
    <xf numFmtId="176" fontId="0" fillId="0" borderId="36" xfId="0" applyNumberFormat="1" applyBorder="1"/>
    <xf numFmtId="0" fontId="0" fillId="0" borderId="36" xfId="0" applyBorder="1"/>
    <xf numFmtId="177" fontId="0" fillId="0" borderId="36" xfId="0" applyNumberFormat="1" applyBorder="1"/>
    <xf numFmtId="177" fontId="2" fillId="6" borderId="19" xfId="0" applyNumberFormat="1" applyFont="1" applyFill="1" applyBorder="1"/>
    <xf numFmtId="176" fontId="0" fillId="6" borderId="18" xfId="0" applyNumberFormat="1" applyFill="1" applyBorder="1"/>
    <xf numFmtId="0" fontId="4" fillId="6" borderId="18" xfId="0" applyFont="1" applyFill="1" applyBorder="1"/>
    <xf numFmtId="177" fontId="2" fillId="6" borderId="18" xfId="0" applyNumberFormat="1" applyFont="1" applyFill="1" applyBorder="1"/>
    <xf numFmtId="176" fontId="0" fillId="6" borderId="18" xfId="0" applyNumberFormat="1" applyFill="1" applyBorder="1" applyAlignment="1">
      <alignment vertical="center"/>
    </xf>
    <xf numFmtId="0" fontId="4" fillId="6" borderId="18" xfId="0" applyFont="1" applyFill="1" applyBorder="1" applyAlignment="1">
      <alignment vertical="center"/>
    </xf>
    <xf numFmtId="177" fontId="2" fillId="6" borderId="18" xfId="0" applyNumberFormat="1" applyFont="1" applyFill="1" applyBorder="1" applyAlignment="1">
      <alignment vertical="center"/>
    </xf>
    <xf numFmtId="177" fontId="0" fillId="0" borderId="37" xfId="0" applyNumberFormat="1" applyBorder="1"/>
    <xf numFmtId="0" fontId="0" fillId="0" borderId="41" xfId="0" applyBorder="1" applyAlignment="1">
      <alignment wrapText="1"/>
    </xf>
    <xf numFmtId="0" fontId="0" fillId="0" borderId="42" xfId="0" applyBorder="1" applyAlignment="1">
      <alignment horizontal="center" vertical="center"/>
    </xf>
    <xf numFmtId="0" fontId="0" fillId="2" borderId="43" xfId="0" applyFill="1" applyBorder="1" applyAlignment="1">
      <alignment wrapText="1"/>
    </xf>
    <xf numFmtId="0" fontId="0" fillId="0" borderId="44" xfId="0" applyBorder="1"/>
    <xf numFmtId="0" fontId="0" fillId="0" borderId="46" xfId="0" applyBorder="1"/>
    <xf numFmtId="0" fontId="0" fillId="6" borderId="42" xfId="0" applyFill="1" applyBorder="1" applyAlignment="1">
      <alignment horizontal="center"/>
    </xf>
    <xf numFmtId="0" fontId="0" fillId="2" borderId="47" xfId="0" applyFill="1" applyBorder="1" applyAlignment="1">
      <alignment wrapText="1"/>
    </xf>
    <xf numFmtId="0" fontId="0" fillId="6" borderId="48" xfId="0" applyFill="1" applyBorder="1" applyAlignment="1">
      <alignment horizontal="center"/>
    </xf>
    <xf numFmtId="0" fontId="0" fillId="6" borderId="48" xfId="0" applyFill="1" applyBorder="1" applyAlignment="1">
      <alignment horizontal="center" vertical="center"/>
    </xf>
    <xf numFmtId="0" fontId="0" fillId="0" borderId="44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6" xfId="0" applyBorder="1" applyAlignment="1">
      <alignment horizontal="center" vertical="center" wrapText="1"/>
    </xf>
    <xf numFmtId="0" fontId="0" fillId="0" borderId="50" xfId="0" applyBorder="1"/>
    <xf numFmtId="0" fontId="0" fillId="5" borderId="49" xfId="0" applyFill="1" applyBorder="1" applyAlignment="1">
      <alignment wrapText="1"/>
    </xf>
    <xf numFmtId="176" fontId="0" fillId="5" borderId="37" xfId="0" applyNumberFormat="1" applyFill="1" applyBorder="1"/>
    <xf numFmtId="0" fontId="0" fillId="5" borderId="37" xfId="0" applyFill="1" applyBorder="1"/>
    <xf numFmtId="177" fontId="0" fillId="5" borderId="37" xfId="0" applyNumberFormat="1" applyFill="1" applyBorder="1"/>
    <xf numFmtId="177" fontId="0" fillId="5" borderId="50" xfId="0" applyNumberFormat="1" applyFill="1" applyBorder="1"/>
    <xf numFmtId="176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6" borderId="41" xfId="0" applyFill="1" applyBorder="1" applyAlignment="1">
      <alignment vertical="center"/>
    </xf>
    <xf numFmtId="0" fontId="0" fillId="6" borderId="19" xfId="0" applyFill="1" applyBorder="1" applyAlignment="1">
      <alignment vertical="center"/>
    </xf>
    <xf numFmtId="0" fontId="0" fillId="0" borderId="51" xfId="0" applyBorder="1" applyAlignment="1">
      <alignment wrapText="1"/>
    </xf>
    <xf numFmtId="0" fontId="0" fillId="0" borderId="51" xfId="0" applyFill="1" applyBorder="1" applyAlignment="1">
      <alignment wrapText="1"/>
    </xf>
    <xf numFmtId="0" fontId="0" fillId="7" borderId="38" xfId="0" applyFill="1" applyBorder="1" applyAlignment="1">
      <alignment horizontal="center" wrapText="1"/>
    </xf>
    <xf numFmtId="0" fontId="0" fillId="7" borderId="39" xfId="0" applyFill="1" applyBorder="1" applyAlignment="1">
      <alignment horizontal="center" wrapText="1"/>
    </xf>
    <xf numFmtId="0" fontId="0" fillId="7" borderId="40" xfId="0" applyFill="1" applyBorder="1" applyAlignment="1">
      <alignment horizontal="center" wrapText="1"/>
    </xf>
    <xf numFmtId="0" fontId="0" fillId="7" borderId="43" xfId="0" applyFill="1" applyBorder="1" applyAlignment="1">
      <alignment horizontal="center" wrapText="1"/>
    </xf>
    <xf numFmtId="0" fontId="0" fillId="7" borderId="36" xfId="0" applyFill="1" applyBorder="1" applyAlignment="1">
      <alignment horizontal="center" wrapText="1"/>
    </xf>
    <xf numFmtId="0" fontId="0" fillId="7" borderId="44" xfId="0" applyFill="1" applyBorder="1" applyAlignment="1">
      <alignment horizontal="center" wrapText="1"/>
    </xf>
    <xf numFmtId="0" fontId="0" fillId="3" borderId="45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3" borderId="46" xfId="0" applyFill="1" applyBorder="1" applyAlignment="1">
      <alignment horizontal="center" wrapText="1"/>
    </xf>
    <xf numFmtId="0" fontId="0" fillId="6" borderId="41" xfId="0" applyFill="1" applyBorder="1" applyAlignment="1">
      <alignment horizontal="left" wrapText="1"/>
    </xf>
    <xf numFmtId="0" fontId="0" fillId="6" borderId="19" xfId="0" applyFill="1" applyBorder="1" applyAlignment="1">
      <alignment horizontal="left" wrapText="1"/>
    </xf>
    <xf numFmtId="0" fontId="0" fillId="0" borderId="45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49" xfId="0" applyBorder="1" applyAlignment="1">
      <alignment horizontal="left" wrapText="1"/>
    </xf>
    <xf numFmtId="0" fontId="0" fillId="0" borderId="37" xfId="0" applyBorder="1" applyAlignment="1">
      <alignment horizontal="left" wrapText="1"/>
    </xf>
    <xf numFmtId="0" fontId="0" fillId="2" borderId="43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4" borderId="33" xfId="0" applyFill="1" applyBorder="1" applyAlignment="1">
      <alignment horizontal="left"/>
    </xf>
    <xf numFmtId="0" fontId="0" fillId="4" borderId="34" xfId="0" applyFill="1" applyBorder="1" applyAlignment="1">
      <alignment horizontal="left"/>
    </xf>
    <xf numFmtId="0" fontId="0" fillId="4" borderId="35" xfId="0" applyFill="1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29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30" xfId="0" applyFill="1" applyBorder="1" applyAlignment="1">
      <alignment horizontal="left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" xfId="0" applyBorder="1" applyAlignment="1">
      <alignment horizontal="right" vertical="center"/>
    </xf>
    <xf numFmtId="0" fontId="0" fillId="0" borderId="1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323E1A"/>
      <color rgb="FFF8A968"/>
      <color rgb="FFF7944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1"/>
  <sheetViews>
    <sheetView showGridLines="0" topLeftCell="A64" zoomScale="90" zoomScaleNormal="90" workbookViewId="0">
      <selection activeCell="H11" sqref="H11"/>
    </sheetView>
  </sheetViews>
  <sheetFormatPr defaultRowHeight="13.5" x14ac:dyDescent="0.15"/>
  <cols>
    <col min="1" max="1" width="4" customWidth="1"/>
    <col min="2" max="2" width="14.625" style="2" customWidth="1"/>
    <col min="3" max="3" width="17.125" style="1" bestFit="1" customWidth="1"/>
    <col min="4" max="4" width="9.75" customWidth="1"/>
    <col min="5" max="5" width="19.25" style="3" bestFit="1" customWidth="1"/>
    <col min="6" max="6" width="19.5" customWidth="1"/>
  </cols>
  <sheetData>
    <row r="1" spans="2:6" ht="6.75" customHeight="1" thickBot="1" x14ac:dyDescent="0.2"/>
    <row r="2" spans="2:6" ht="14.25" thickTop="1" x14ac:dyDescent="0.15">
      <c r="B2" s="74" t="s">
        <v>96</v>
      </c>
      <c r="C2" s="75"/>
      <c r="D2" s="75"/>
      <c r="E2" s="75"/>
      <c r="F2" s="76"/>
    </row>
    <row r="3" spans="2:6" ht="14.25" thickBot="1" x14ac:dyDescent="0.2">
      <c r="B3" s="50"/>
      <c r="C3" s="36" t="s">
        <v>0</v>
      </c>
      <c r="D3" s="37" t="s">
        <v>54</v>
      </c>
      <c r="E3" s="38" t="s">
        <v>1</v>
      </c>
      <c r="F3" s="51" t="s">
        <v>3</v>
      </c>
    </row>
    <row r="4" spans="2:6" ht="14.25" thickTop="1" x14ac:dyDescent="0.15">
      <c r="B4" s="52" t="s">
        <v>7</v>
      </c>
      <c r="C4" s="39"/>
      <c r="D4" s="40"/>
      <c r="E4" s="41"/>
      <c r="F4" s="53"/>
    </row>
    <row r="5" spans="2:6" x14ac:dyDescent="0.15">
      <c r="B5" s="72" t="s">
        <v>8</v>
      </c>
      <c r="C5" s="31">
        <v>1350000</v>
      </c>
      <c r="D5" s="32">
        <v>7</v>
      </c>
      <c r="E5" s="33">
        <f>C5*D5</f>
        <v>9450000</v>
      </c>
      <c r="F5" s="54"/>
    </row>
    <row r="6" spans="2:6" x14ac:dyDescent="0.15">
      <c r="B6" s="72" t="s">
        <v>9</v>
      </c>
      <c r="C6" s="31">
        <v>1130000</v>
      </c>
      <c r="D6" s="32">
        <v>6</v>
      </c>
      <c r="E6" s="33">
        <f t="shared" ref="E6:E16" si="0">C6*D6</f>
        <v>6780000</v>
      </c>
      <c r="F6" s="54"/>
    </row>
    <row r="7" spans="2:6" x14ac:dyDescent="0.15">
      <c r="B7" s="72" t="s">
        <v>10</v>
      </c>
      <c r="C7" s="31">
        <v>570000</v>
      </c>
      <c r="D7" s="32">
        <v>3</v>
      </c>
      <c r="E7" s="33">
        <f t="shared" si="0"/>
        <v>1710000</v>
      </c>
      <c r="F7" s="54"/>
    </row>
    <row r="8" spans="2:6" x14ac:dyDescent="0.15">
      <c r="B8" s="72" t="s">
        <v>11</v>
      </c>
      <c r="C8" s="31">
        <v>310000</v>
      </c>
      <c r="D8" s="32">
        <v>1</v>
      </c>
      <c r="E8" s="33">
        <f t="shared" si="0"/>
        <v>310000</v>
      </c>
      <c r="F8" s="54"/>
    </row>
    <row r="9" spans="2:6" x14ac:dyDescent="0.15">
      <c r="B9" s="72" t="s">
        <v>12</v>
      </c>
      <c r="C9" s="31">
        <v>310000</v>
      </c>
      <c r="D9" s="32">
        <v>2</v>
      </c>
      <c r="E9" s="33">
        <f t="shared" si="0"/>
        <v>620000</v>
      </c>
      <c r="F9" s="54"/>
    </row>
    <row r="10" spans="2:6" x14ac:dyDescent="0.15">
      <c r="B10" s="72" t="s">
        <v>13</v>
      </c>
      <c r="C10" s="31">
        <v>160000</v>
      </c>
      <c r="D10" s="32">
        <v>1</v>
      </c>
      <c r="E10" s="33">
        <f t="shared" si="0"/>
        <v>160000</v>
      </c>
      <c r="F10" s="54"/>
    </row>
    <row r="11" spans="2:6" x14ac:dyDescent="0.15">
      <c r="B11" s="72" t="s">
        <v>14</v>
      </c>
      <c r="C11" s="31">
        <v>310000</v>
      </c>
      <c r="D11" s="32">
        <v>1</v>
      </c>
      <c r="E11" s="33">
        <f t="shared" si="0"/>
        <v>310000</v>
      </c>
      <c r="F11" s="54"/>
    </row>
    <row r="12" spans="2:6" x14ac:dyDescent="0.15">
      <c r="B12" s="72" t="s">
        <v>15</v>
      </c>
      <c r="C12" s="31">
        <v>570000</v>
      </c>
      <c r="D12" s="32">
        <v>3</v>
      </c>
      <c r="E12" s="33">
        <f t="shared" si="0"/>
        <v>1710000</v>
      </c>
      <c r="F12" s="54"/>
    </row>
    <row r="13" spans="2:6" x14ac:dyDescent="0.15">
      <c r="B13" s="72" t="s">
        <v>16</v>
      </c>
      <c r="C13" s="31">
        <v>7000</v>
      </c>
      <c r="D13" s="32">
        <v>8</v>
      </c>
      <c r="E13" s="33">
        <f t="shared" si="0"/>
        <v>56000</v>
      </c>
      <c r="F13" s="54"/>
    </row>
    <row r="14" spans="2:6" x14ac:dyDescent="0.15">
      <c r="B14" s="72" t="s">
        <v>17</v>
      </c>
      <c r="C14" s="31">
        <v>8000</v>
      </c>
      <c r="D14" s="32">
        <v>4</v>
      </c>
      <c r="E14" s="33">
        <f t="shared" si="0"/>
        <v>32000</v>
      </c>
      <c r="F14" s="54"/>
    </row>
    <row r="15" spans="2:6" x14ac:dyDescent="0.15">
      <c r="B15" s="72" t="s">
        <v>18</v>
      </c>
      <c r="C15" s="31">
        <v>8000</v>
      </c>
      <c r="D15" s="32">
        <v>8</v>
      </c>
      <c r="E15" s="33">
        <f t="shared" si="0"/>
        <v>64000</v>
      </c>
      <c r="F15" s="54"/>
    </row>
    <row r="16" spans="2:6" x14ac:dyDescent="0.15">
      <c r="B16" s="72" t="s">
        <v>19</v>
      </c>
      <c r="C16" s="31">
        <v>10000</v>
      </c>
      <c r="D16" s="32">
        <v>12</v>
      </c>
      <c r="E16" s="33">
        <f t="shared" si="0"/>
        <v>120000</v>
      </c>
      <c r="F16" s="54"/>
    </row>
    <row r="17" spans="2:6" ht="15.75" customHeight="1" thickBot="1" x14ac:dyDescent="0.2">
      <c r="B17" s="70" t="s">
        <v>88</v>
      </c>
      <c r="C17" s="71"/>
      <c r="D17" s="71"/>
      <c r="E17" s="42">
        <f>SUM(E5:E16)</f>
        <v>21322000</v>
      </c>
      <c r="F17" s="55" t="s">
        <v>69</v>
      </c>
    </row>
    <row r="18" spans="2:6" ht="15" thickTop="1" thickBot="1" x14ac:dyDescent="0.2">
      <c r="B18" s="56" t="s">
        <v>108</v>
      </c>
      <c r="C18" s="43">
        <v>300</v>
      </c>
      <c r="D18" s="44">
        <v>15213.09395</v>
      </c>
      <c r="E18" s="45">
        <f>C18*D18</f>
        <v>4563928.1850000005</v>
      </c>
      <c r="F18" s="57" t="s">
        <v>103</v>
      </c>
    </row>
    <row r="19" spans="2:6" ht="28.5" thickTop="1" thickBot="1" x14ac:dyDescent="0.2">
      <c r="B19" s="56" t="s">
        <v>94</v>
      </c>
      <c r="C19" s="46">
        <v>28000</v>
      </c>
      <c r="D19" s="47">
        <v>1</v>
      </c>
      <c r="E19" s="48">
        <f>C19*D19</f>
        <v>28000</v>
      </c>
      <c r="F19" s="58" t="s">
        <v>103</v>
      </c>
    </row>
    <row r="20" spans="2:6" ht="14.25" thickTop="1" x14ac:dyDescent="0.15">
      <c r="B20" s="52" t="s">
        <v>107</v>
      </c>
      <c r="C20" s="39"/>
      <c r="D20" s="40"/>
      <c r="E20" s="41"/>
      <c r="F20" s="53"/>
    </row>
    <row r="21" spans="2:6" ht="54" x14ac:dyDescent="0.15">
      <c r="B21" s="72" t="s">
        <v>2</v>
      </c>
      <c r="C21" s="31">
        <v>850</v>
      </c>
      <c r="D21" s="32">
        <v>6838.3958000000002</v>
      </c>
      <c r="E21" s="33">
        <f>C21*D21</f>
        <v>5812636.4300000006</v>
      </c>
      <c r="F21" s="54"/>
    </row>
    <row r="22" spans="2:6" ht="27" x14ac:dyDescent="0.15">
      <c r="B22" s="72" t="s">
        <v>31</v>
      </c>
      <c r="C22" s="31">
        <v>330</v>
      </c>
      <c r="D22" s="32">
        <v>6838.3958000000002</v>
      </c>
      <c r="E22" s="33">
        <f>C22*D22</f>
        <v>2256670.6140000001</v>
      </c>
      <c r="F22" s="54"/>
    </row>
    <row r="23" spans="2:6" ht="14.25" customHeight="1" thickBot="1" x14ac:dyDescent="0.2">
      <c r="B23" s="83" t="s">
        <v>87</v>
      </c>
      <c r="C23" s="84"/>
      <c r="D23" s="84"/>
      <c r="E23" s="42">
        <f>SUM(E21:E22)</f>
        <v>8069307.0440000007</v>
      </c>
      <c r="F23" s="55" t="s">
        <v>103</v>
      </c>
    </row>
    <row r="24" spans="2:6" ht="14.25" thickTop="1" x14ac:dyDescent="0.15">
      <c r="B24" s="89" t="s">
        <v>22</v>
      </c>
      <c r="C24" s="90"/>
      <c r="D24" s="40"/>
      <c r="E24" s="41"/>
      <c r="F24" s="53"/>
    </row>
    <row r="25" spans="2:6" ht="27" x14ac:dyDescent="0.15">
      <c r="B25" s="72" t="s">
        <v>5</v>
      </c>
      <c r="C25" s="31">
        <v>5900</v>
      </c>
      <c r="D25" s="32">
        <v>4</v>
      </c>
      <c r="E25" s="33">
        <f>C25*D25</f>
        <v>23600</v>
      </c>
      <c r="F25" s="54"/>
    </row>
    <row r="26" spans="2:6" ht="27" x14ac:dyDescent="0.15">
      <c r="B26" s="72" t="s">
        <v>71</v>
      </c>
      <c r="C26" s="31">
        <v>2000</v>
      </c>
      <c r="D26" s="32">
        <v>1</v>
      </c>
      <c r="E26" s="33">
        <f>C26*D26</f>
        <v>2000</v>
      </c>
      <c r="F26" s="54"/>
    </row>
    <row r="27" spans="2:6" x14ac:dyDescent="0.15">
      <c r="B27" s="72" t="s">
        <v>55</v>
      </c>
      <c r="C27" s="31">
        <v>24150</v>
      </c>
      <c r="D27" s="32">
        <v>1</v>
      </c>
      <c r="E27" s="33">
        <f>C27*D27</f>
        <v>24150</v>
      </c>
      <c r="F27" s="54"/>
    </row>
    <row r="28" spans="2:6" x14ac:dyDescent="0.15">
      <c r="B28" s="72" t="s">
        <v>4</v>
      </c>
      <c r="C28" s="31">
        <v>32250</v>
      </c>
      <c r="D28" s="34">
        <v>2</v>
      </c>
      <c r="E28" s="33">
        <f>C28*D28</f>
        <v>64500</v>
      </c>
      <c r="F28" s="54"/>
    </row>
    <row r="29" spans="2:6" x14ac:dyDescent="0.15">
      <c r="B29" s="72" t="s">
        <v>6</v>
      </c>
      <c r="C29" s="31">
        <v>900</v>
      </c>
      <c r="D29" s="32">
        <f>(36.6+2.4*3.14)*2</f>
        <v>88.272000000000006</v>
      </c>
      <c r="E29" s="33">
        <f>C29*D29</f>
        <v>79444.800000000003</v>
      </c>
      <c r="F29" s="54" t="s">
        <v>104</v>
      </c>
    </row>
    <row r="30" spans="2:6" ht="14.25" thickBot="1" x14ac:dyDescent="0.2">
      <c r="B30" s="83" t="s">
        <v>89</v>
      </c>
      <c r="C30" s="84"/>
      <c r="D30" s="84"/>
      <c r="E30" s="42">
        <f>SUM(E25:E29)</f>
        <v>193694.8</v>
      </c>
      <c r="F30" s="55" t="s">
        <v>103</v>
      </c>
    </row>
    <row r="31" spans="2:6" ht="14.25" thickTop="1" x14ac:dyDescent="0.15">
      <c r="B31" s="52" t="s">
        <v>24</v>
      </c>
      <c r="C31" s="39"/>
      <c r="D31" s="40"/>
      <c r="E31" s="41"/>
      <c r="F31" s="53"/>
    </row>
    <row r="32" spans="2:6" ht="27" x14ac:dyDescent="0.15">
      <c r="B32" s="72" t="s">
        <v>25</v>
      </c>
      <c r="C32" s="31">
        <v>80</v>
      </c>
      <c r="D32" s="32">
        <v>2904</v>
      </c>
      <c r="E32" s="33">
        <f>C32*D32</f>
        <v>232320</v>
      </c>
      <c r="F32" s="54"/>
    </row>
    <row r="33" spans="2:6" ht="27" x14ac:dyDescent="0.15">
      <c r="B33" s="72" t="s">
        <v>26</v>
      </c>
      <c r="C33" s="31">
        <v>60</v>
      </c>
      <c r="D33" s="32">
        <v>6</v>
      </c>
      <c r="E33" s="33">
        <f>C33*D33</f>
        <v>360</v>
      </c>
      <c r="F33" s="54"/>
    </row>
    <row r="34" spans="2:6" ht="27" x14ac:dyDescent="0.15">
      <c r="B34" s="72" t="s">
        <v>27</v>
      </c>
      <c r="C34" s="31">
        <v>32</v>
      </c>
      <c r="D34" s="32">
        <v>44</v>
      </c>
      <c r="E34" s="33">
        <f>C34*D34</f>
        <v>1408</v>
      </c>
      <c r="F34" s="54"/>
    </row>
    <row r="35" spans="2:6" ht="27" x14ac:dyDescent="0.15">
      <c r="B35" s="72" t="s">
        <v>28</v>
      </c>
      <c r="C35" s="31">
        <v>10</v>
      </c>
      <c r="D35" s="32">
        <f>8+8+4</f>
        <v>20</v>
      </c>
      <c r="E35" s="33">
        <f>C35*D35</f>
        <v>200</v>
      </c>
      <c r="F35" s="54"/>
    </row>
    <row r="36" spans="2:6" ht="15" customHeight="1" thickBot="1" x14ac:dyDescent="0.2">
      <c r="B36" s="83" t="s">
        <v>90</v>
      </c>
      <c r="C36" s="84"/>
      <c r="D36" s="84"/>
      <c r="E36" s="42">
        <f>SUM(E32:E35)</f>
        <v>234288</v>
      </c>
      <c r="F36" s="55" t="s">
        <v>103</v>
      </c>
    </row>
    <row r="37" spans="2:6" ht="14.25" thickTop="1" x14ac:dyDescent="0.15">
      <c r="B37" s="52" t="s">
        <v>23</v>
      </c>
      <c r="C37" s="39"/>
      <c r="D37" s="40"/>
      <c r="E37" s="41"/>
      <c r="F37" s="53"/>
    </row>
    <row r="38" spans="2:6" x14ac:dyDescent="0.15">
      <c r="B38" s="72" t="s">
        <v>20</v>
      </c>
      <c r="C38" s="31">
        <v>135</v>
      </c>
      <c r="D38" s="32">
        <v>144</v>
      </c>
      <c r="E38" s="33">
        <f>D38*C38</f>
        <v>19440</v>
      </c>
      <c r="F38" s="54" t="s">
        <v>99</v>
      </c>
    </row>
    <row r="39" spans="2:6" x14ac:dyDescent="0.15">
      <c r="B39" s="72" t="s">
        <v>21</v>
      </c>
      <c r="C39" s="31">
        <v>135</v>
      </c>
      <c r="D39" s="32">
        <v>2970</v>
      </c>
      <c r="E39" s="33">
        <f>C38*D39</f>
        <v>400950</v>
      </c>
      <c r="F39" s="54" t="s">
        <v>99</v>
      </c>
    </row>
    <row r="40" spans="2:6" x14ac:dyDescent="0.15">
      <c r="B40" s="72" t="s">
        <v>29</v>
      </c>
      <c r="C40" s="31">
        <v>3300</v>
      </c>
      <c r="D40" s="32">
        <v>1</v>
      </c>
      <c r="E40" s="33">
        <f>C40*D40</f>
        <v>3300</v>
      </c>
      <c r="F40" s="54"/>
    </row>
    <row r="41" spans="2:6" x14ac:dyDescent="0.15">
      <c r="B41" s="72" t="s">
        <v>30</v>
      </c>
      <c r="C41" s="31">
        <v>3300</v>
      </c>
      <c r="D41" s="32">
        <v>1</v>
      </c>
      <c r="E41" s="33">
        <f>C41*D41</f>
        <v>3300</v>
      </c>
      <c r="F41" s="54"/>
    </row>
    <row r="42" spans="2:6" ht="14.25" thickBot="1" x14ac:dyDescent="0.2">
      <c r="B42" s="83" t="s">
        <v>91</v>
      </c>
      <c r="C42" s="84"/>
      <c r="D42" s="84"/>
      <c r="E42" s="42">
        <f>SUM(E39:E41)</f>
        <v>407550</v>
      </c>
      <c r="F42" s="55" t="s">
        <v>103</v>
      </c>
    </row>
    <row r="43" spans="2:6" ht="14.25" thickTop="1" x14ac:dyDescent="0.15">
      <c r="B43" s="89" t="s">
        <v>32</v>
      </c>
      <c r="C43" s="90"/>
      <c r="D43" s="40"/>
      <c r="E43" s="41"/>
      <c r="F43" s="53"/>
    </row>
    <row r="44" spans="2:6" ht="27" x14ac:dyDescent="0.15">
      <c r="B44" s="72" t="s">
        <v>33</v>
      </c>
      <c r="C44" s="31">
        <v>13000</v>
      </c>
      <c r="D44" s="32">
        <v>7</v>
      </c>
      <c r="E44" s="33">
        <f>C44*D44</f>
        <v>91000</v>
      </c>
      <c r="F44" s="54"/>
    </row>
    <row r="45" spans="2:6" ht="27" x14ac:dyDescent="0.15">
      <c r="B45" s="72" t="s">
        <v>34</v>
      </c>
      <c r="C45" s="31">
        <v>820</v>
      </c>
      <c r="D45" s="32">
        <v>10</v>
      </c>
      <c r="E45" s="33">
        <f>C45*D45</f>
        <v>8200</v>
      </c>
      <c r="F45" s="54"/>
    </row>
    <row r="46" spans="2:6" x14ac:dyDescent="0.15">
      <c r="B46" s="72" t="s">
        <v>35</v>
      </c>
      <c r="C46" s="31">
        <v>190</v>
      </c>
      <c r="D46" s="34">
        <v>1547.11</v>
      </c>
      <c r="E46" s="33">
        <f>C46*D46</f>
        <v>293950.89999999997</v>
      </c>
      <c r="F46" s="54"/>
    </row>
    <row r="47" spans="2:6" ht="27" x14ac:dyDescent="0.15">
      <c r="B47" s="72" t="s">
        <v>36</v>
      </c>
      <c r="C47" s="31">
        <v>90</v>
      </c>
      <c r="D47" s="34">
        <v>313.55999999999995</v>
      </c>
      <c r="E47" s="33">
        <f>C47*D47</f>
        <v>28220.399999999994</v>
      </c>
      <c r="F47" s="54"/>
    </row>
    <row r="48" spans="2:6" ht="14.25" thickBot="1" x14ac:dyDescent="0.2">
      <c r="B48" s="83" t="s">
        <v>92</v>
      </c>
      <c r="C48" s="84"/>
      <c r="D48" s="84"/>
      <c r="E48" s="42">
        <f>SUM(E44:E47)</f>
        <v>421371.29999999993</v>
      </c>
      <c r="F48" s="55" t="s">
        <v>105</v>
      </c>
    </row>
    <row r="49" spans="2:6" ht="14.25" thickTop="1" x14ac:dyDescent="0.15">
      <c r="B49" s="89" t="s">
        <v>70</v>
      </c>
      <c r="C49" s="90"/>
      <c r="D49" s="40"/>
      <c r="E49" s="41"/>
      <c r="F49" s="59"/>
    </row>
    <row r="50" spans="2:6" x14ac:dyDescent="0.15">
      <c r="B50" s="73" t="s">
        <v>37</v>
      </c>
      <c r="C50" s="31">
        <v>1900</v>
      </c>
      <c r="D50" s="32">
        <v>2551</v>
      </c>
      <c r="E50" s="33">
        <f>C50*D50</f>
        <v>4846900</v>
      </c>
      <c r="F50" s="60" t="s">
        <v>68</v>
      </c>
    </row>
    <row r="51" spans="2:6" x14ac:dyDescent="0.15">
      <c r="B51" s="73" t="s">
        <v>58</v>
      </c>
      <c r="C51" s="31">
        <v>53.24</v>
      </c>
      <c r="D51" s="32">
        <f>246711+17633</f>
        <v>264344</v>
      </c>
      <c r="E51" s="33">
        <f>C51*D51</f>
        <v>14073674.560000001</v>
      </c>
      <c r="F51" s="60" t="s">
        <v>68</v>
      </c>
    </row>
    <row r="52" spans="2:6" ht="54" x14ac:dyDescent="0.15">
      <c r="B52" s="72" t="s">
        <v>38</v>
      </c>
      <c r="C52" s="68" t="s">
        <v>86</v>
      </c>
      <c r="D52" s="69" t="s">
        <v>40</v>
      </c>
      <c r="E52" s="35">
        <f>E21*0.02</f>
        <v>116252.72860000002</v>
      </c>
      <c r="F52" s="61" t="s">
        <v>100</v>
      </c>
    </row>
    <row r="53" spans="2:6" ht="27" x14ac:dyDescent="0.15">
      <c r="B53" s="72" t="s">
        <v>39</v>
      </c>
      <c r="C53" s="31">
        <v>1000000</v>
      </c>
      <c r="D53" s="32">
        <v>1</v>
      </c>
      <c r="E53" s="33">
        <f>C53*D53</f>
        <v>1000000</v>
      </c>
      <c r="F53" s="60" t="s">
        <v>67</v>
      </c>
    </row>
    <row r="54" spans="2:6" ht="14.25" thickBot="1" x14ac:dyDescent="0.2">
      <c r="B54" s="83" t="s">
        <v>93</v>
      </c>
      <c r="C54" s="84"/>
      <c r="D54" s="84"/>
      <c r="E54" s="42">
        <f>SUM(E50:E53)</f>
        <v>20036827.288600001</v>
      </c>
      <c r="F54" s="55" t="s">
        <v>106</v>
      </c>
    </row>
    <row r="55" spans="2:6" ht="14.25" thickTop="1" x14ac:dyDescent="0.15">
      <c r="B55" s="77" t="s">
        <v>109</v>
      </c>
      <c r="C55" s="78"/>
      <c r="D55" s="78"/>
      <c r="E55" s="78"/>
      <c r="F55" s="79"/>
    </row>
    <row r="56" spans="2:6" ht="16.5" customHeight="1" x14ac:dyDescent="0.15">
      <c r="B56" s="85" t="s">
        <v>95</v>
      </c>
      <c r="C56" s="86"/>
      <c r="D56" s="86"/>
      <c r="E56" s="33">
        <f>E17+E18+E19+E23+E30+E36+E42+E48</f>
        <v>35240139.328999996</v>
      </c>
      <c r="F56" s="54"/>
    </row>
    <row r="57" spans="2:6" ht="14.25" customHeight="1" x14ac:dyDescent="0.15">
      <c r="B57" s="85" t="s">
        <v>101</v>
      </c>
      <c r="C57" s="86"/>
      <c r="D57" s="86"/>
      <c r="E57" s="33">
        <f>E50+E51</f>
        <v>18920574.560000002</v>
      </c>
      <c r="F57" s="54"/>
    </row>
    <row r="58" spans="2:6" ht="14.25" thickBot="1" x14ac:dyDescent="0.2">
      <c r="B58" s="87" t="s">
        <v>102</v>
      </c>
      <c r="C58" s="88"/>
      <c r="D58" s="88"/>
      <c r="E58" s="49">
        <f>E52+E53</f>
        <v>1116252.7286</v>
      </c>
      <c r="F58" s="62"/>
    </row>
    <row r="59" spans="2:6" ht="14.25" thickTop="1" x14ac:dyDescent="0.15">
      <c r="B59" s="80" t="s">
        <v>97</v>
      </c>
      <c r="C59" s="81"/>
      <c r="D59" s="81"/>
      <c r="E59" s="81"/>
      <c r="F59" s="82"/>
    </row>
    <row r="60" spans="2:6" ht="14.25" thickBot="1" x14ac:dyDescent="0.2">
      <c r="B60" s="63" t="s">
        <v>98</v>
      </c>
      <c r="C60" s="64">
        <v>85</v>
      </c>
      <c r="D60" s="65">
        <f>230005*2</f>
        <v>460010</v>
      </c>
      <c r="E60" s="66">
        <f>C60*D60</f>
        <v>39100850</v>
      </c>
      <c r="F60" s="67"/>
    </row>
    <row r="61" spans="2:6" ht="14.25" thickTop="1" x14ac:dyDescent="0.15"/>
  </sheetData>
  <mergeCells count="15">
    <mergeCell ref="B2:F2"/>
    <mergeCell ref="B55:F55"/>
    <mergeCell ref="B59:F59"/>
    <mergeCell ref="B54:D54"/>
    <mergeCell ref="B56:D56"/>
    <mergeCell ref="B57:D57"/>
    <mergeCell ref="B58:D58"/>
    <mergeCell ref="B24:C24"/>
    <mergeCell ref="B43:C43"/>
    <mergeCell ref="B49:C49"/>
    <mergeCell ref="B23:D23"/>
    <mergeCell ref="B30:D30"/>
    <mergeCell ref="B36:D36"/>
    <mergeCell ref="B42:D42"/>
    <mergeCell ref="B48:D4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zoomScale="80" zoomScaleNormal="80" workbookViewId="0">
      <selection activeCell="M24" sqref="M24"/>
    </sheetView>
  </sheetViews>
  <sheetFormatPr defaultRowHeight="13.5" x14ac:dyDescent="0.15"/>
  <cols>
    <col min="2" max="2" width="9.625" customWidth="1"/>
    <col min="3" max="3" width="5.5" customWidth="1"/>
    <col min="4" max="4" width="7.75" customWidth="1"/>
    <col min="5" max="5" width="8.125" customWidth="1"/>
    <col min="6" max="6" width="8" customWidth="1"/>
    <col min="7" max="8" width="6.75" customWidth="1"/>
    <col min="9" max="9" width="10" customWidth="1"/>
    <col min="10" max="10" width="9" style="6"/>
  </cols>
  <sheetData>
    <row r="1" spans="2:12" ht="14.25" thickBot="1" x14ac:dyDescent="0.2"/>
    <row r="2" spans="2:12" ht="33" customHeight="1" thickTop="1" thickBot="1" x14ac:dyDescent="0.2">
      <c r="B2" s="103"/>
      <c r="C2" s="104"/>
      <c r="D2" s="11" t="s">
        <v>44</v>
      </c>
      <c r="E2" s="11" t="s">
        <v>46</v>
      </c>
      <c r="F2" s="11" t="s">
        <v>47</v>
      </c>
      <c r="G2" s="11" t="s">
        <v>48</v>
      </c>
      <c r="H2" s="11" t="s">
        <v>49</v>
      </c>
      <c r="I2" s="11" t="s">
        <v>52</v>
      </c>
      <c r="J2" s="12" t="s">
        <v>80</v>
      </c>
    </row>
    <row r="3" spans="2:12" ht="29.25" customHeight="1" thickTop="1" thickBot="1" x14ac:dyDescent="0.2">
      <c r="B3" s="97" t="s">
        <v>83</v>
      </c>
      <c r="C3" s="98"/>
      <c r="D3" s="98"/>
      <c r="E3" s="98"/>
      <c r="F3" s="98"/>
      <c r="G3" s="98"/>
      <c r="H3" s="98"/>
      <c r="I3" s="98"/>
      <c r="J3" s="99"/>
    </row>
    <row r="4" spans="2:12" x14ac:dyDescent="0.15">
      <c r="B4" s="14" t="s">
        <v>41</v>
      </c>
      <c r="C4" s="15" t="s">
        <v>74</v>
      </c>
      <c r="D4" s="17">
        <v>6</v>
      </c>
      <c r="E4" s="18">
        <v>7.5</v>
      </c>
      <c r="F4" s="18">
        <f>229*2</f>
        <v>458</v>
      </c>
      <c r="G4" s="18">
        <v>7.5</v>
      </c>
      <c r="H4" s="18">
        <v>1</v>
      </c>
      <c r="I4" s="18">
        <f>D4*E4*F4+G4*H4*D4</f>
        <v>20655</v>
      </c>
      <c r="J4" s="19">
        <f>I4</f>
        <v>20655</v>
      </c>
      <c r="L4" s="4">
        <v>7.5</v>
      </c>
    </row>
    <row r="5" spans="2:12" x14ac:dyDescent="0.15">
      <c r="B5" s="7" t="s">
        <v>42</v>
      </c>
      <c r="C5" s="120" t="s">
        <v>75</v>
      </c>
      <c r="D5" s="13">
        <v>6</v>
      </c>
      <c r="E5" s="8">
        <v>7.5</v>
      </c>
      <c r="F5" s="8">
        <f>229*2</f>
        <v>458</v>
      </c>
      <c r="G5" s="8">
        <v>7.5</v>
      </c>
      <c r="H5" s="8">
        <v>1</v>
      </c>
      <c r="I5" s="8">
        <f>D5*E5*F5+G5*H5*D5</f>
        <v>20655</v>
      </c>
      <c r="J5" s="9">
        <f t="shared" ref="J5:J8" si="0">I5</f>
        <v>20655</v>
      </c>
      <c r="L5" s="4">
        <v>7.5</v>
      </c>
    </row>
    <row r="6" spans="2:12" x14ac:dyDescent="0.15">
      <c r="B6" s="7" t="s">
        <v>43</v>
      </c>
      <c r="C6" s="120"/>
      <c r="D6" s="13">
        <v>1</v>
      </c>
      <c r="E6" s="8">
        <v>7.5</v>
      </c>
      <c r="F6" s="8">
        <f>4*4*22+3*4*1</f>
        <v>364</v>
      </c>
      <c r="G6" s="8">
        <v>7.5</v>
      </c>
      <c r="H6" s="8">
        <f>4*23</f>
        <v>92</v>
      </c>
      <c r="I6" s="8">
        <f>D6*E6*F6+G6*H6*D6</f>
        <v>3420</v>
      </c>
      <c r="J6" s="9">
        <f t="shared" si="0"/>
        <v>3420</v>
      </c>
      <c r="L6" s="4">
        <v>7.5</v>
      </c>
    </row>
    <row r="7" spans="2:12" x14ac:dyDescent="0.15">
      <c r="B7" s="7" t="s">
        <v>10</v>
      </c>
      <c r="C7" s="120" t="s">
        <v>76</v>
      </c>
      <c r="D7" s="13">
        <v>2</v>
      </c>
      <c r="E7" s="8">
        <v>7.5</v>
      </c>
      <c r="F7" s="8">
        <f t="shared" ref="F7:F18" si="1">229*2</f>
        <v>458</v>
      </c>
      <c r="G7" s="10">
        <v>1</v>
      </c>
      <c r="H7" s="10">
        <v>1</v>
      </c>
      <c r="I7" s="10">
        <f t="shared" ref="I7" si="2">D7*E7*F7+G7*H7*D7</f>
        <v>6872</v>
      </c>
      <c r="J7" s="9">
        <f t="shared" si="0"/>
        <v>6872</v>
      </c>
      <c r="L7" s="4">
        <v>7.5</v>
      </c>
    </row>
    <row r="8" spans="2:12" x14ac:dyDescent="0.15">
      <c r="B8" s="7" t="s">
        <v>45</v>
      </c>
      <c r="C8" s="120"/>
      <c r="D8" s="13">
        <v>1</v>
      </c>
      <c r="E8" s="8">
        <v>2.65</v>
      </c>
      <c r="F8" s="8">
        <f t="shared" si="1"/>
        <v>458</v>
      </c>
      <c r="G8" s="10">
        <v>1</v>
      </c>
      <c r="H8" s="10">
        <f>229*2</f>
        <v>458</v>
      </c>
      <c r="I8" s="10">
        <f>ROUNDUP(D8*E8*F8+G8*H8*D8,0)</f>
        <v>1672</v>
      </c>
      <c r="J8" s="9">
        <f t="shared" si="0"/>
        <v>1672</v>
      </c>
      <c r="L8" s="4">
        <v>2.65</v>
      </c>
    </row>
    <row r="9" spans="2:12" x14ac:dyDescent="0.15">
      <c r="B9" s="7" t="s">
        <v>11</v>
      </c>
      <c r="C9" s="120"/>
      <c r="D9" s="13">
        <v>1</v>
      </c>
      <c r="E9" s="8">
        <v>3.15</v>
      </c>
      <c r="F9" s="8">
        <f t="shared" si="1"/>
        <v>458</v>
      </c>
      <c r="G9" s="8">
        <v>1</v>
      </c>
      <c r="H9" s="8">
        <v>1</v>
      </c>
      <c r="I9" s="10">
        <f>ROUNDUP(D9*E9*F9+G9*H9*D9,0)</f>
        <v>1444</v>
      </c>
      <c r="J9" s="9">
        <f>I9</f>
        <v>1444</v>
      </c>
      <c r="L9" s="4">
        <v>3.15</v>
      </c>
    </row>
    <row r="10" spans="2:12" x14ac:dyDescent="0.15">
      <c r="B10" s="7" t="s">
        <v>50</v>
      </c>
      <c r="C10" s="120"/>
      <c r="D10" s="13">
        <v>2</v>
      </c>
      <c r="E10" s="8">
        <v>5.62</v>
      </c>
      <c r="F10" s="8">
        <f t="shared" si="1"/>
        <v>458</v>
      </c>
      <c r="G10" s="8">
        <v>1</v>
      </c>
      <c r="H10" s="8">
        <v>1</v>
      </c>
      <c r="I10" s="10">
        <f>ROUNDUP(D10*E10*F10+G10*H10*D10,0)</f>
        <v>5150</v>
      </c>
      <c r="J10" s="119">
        <f>MAX(I10:I11)</f>
        <v>5150</v>
      </c>
      <c r="L10" s="4">
        <v>4.49</v>
      </c>
    </row>
    <row r="11" spans="2:12" x14ac:dyDescent="0.15">
      <c r="B11" s="7" t="s">
        <v>51</v>
      </c>
      <c r="C11" s="120"/>
      <c r="D11" s="13">
        <v>1</v>
      </c>
      <c r="E11" s="8">
        <v>5.6</v>
      </c>
      <c r="F11" s="8">
        <f t="shared" si="1"/>
        <v>458</v>
      </c>
      <c r="G11" s="8">
        <v>1</v>
      </c>
      <c r="H11" s="8">
        <f>229*2</f>
        <v>458</v>
      </c>
      <c r="I11" s="10">
        <f>ROUNDUP(D11*E11*F11+G11*H11*D11,0)</f>
        <v>3023</v>
      </c>
      <c r="J11" s="119"/>
      <c r="L11" s="4">
        <v>5.62</v>
      </c>
    </row>
    <row r="12" spans="2:12" x14ac:dyDescent="0.15">
      <c r="B12" s="7" t="s">
        <v>12</v>
      </c>
      <c r="C12" s="120" t="s">
        <v>77</v>
      </c>
      <c r="D12" s="13">
        <v>2</v>
      </c>
      <c r="E12" s="8">
        <v>4.49</v>
      </c>
      <c r="F12" s="8">
        <f t="shared" si="1"/>
        <v>458</v>
      </c>
      <c r="G12" s="8">
        <v>1</v>
      </c>
      <c r="H12" s="8">
        <f>229*2</f>
        <v>458</v>
      </c>
      <c r="I12" s="10">
        <f t="shared" ref="I12:I18" si="3">ROUNDUP(D12*E12*F12+G12*H12*D12,0)</f>
        <v>5029</v>
      </c>
      <c r="J12" s="119">
        <f>MAX(I13,I12)</f>
        <v>5029</v>
      </c>
      <c r="L12" s="4">
        <v>4.49</v>
      </c>
    </row>
    <row r="13" spans="2:12" x14ac:dyDescent="0.15">
      <c r="B13" s="7" t="s">
        <v>14</v>
      </c>
      <c r="C13" s="120"/>
      <c r="D13" s="13">
        <v>1</v>
      </c>
      <c r="E13" s="8">
        <v>4.49</v>
      </c>
      <c r="F13" s="8">
        <f t="shared" si="1"/>
        <v>458</v>
      </c>
      <c r="G13" s="8">
        <v>1</v>
      </c>
      <c r="H13" s="8">
        <f>229*2</f>
        <v>458</v>
      </c>
      <c r="I13" s="10">
        <f t="shared" si="3"/>
        <v>2515</v>
      </c>
      <c r="J13" s="119"/>
      <c r="L13" s="4">
        <v>3.21</v>
      </c>
    </row>
    <row r="14" spans="2:12" x14ac:dyDescent="0.15">
      <c r="B14" s="7" t="s">
        <v>13</v>
      </c>
      <c r="C14" s="120"/>
      <c r="D14" s="13">
        <v>1</v>
      </c>
      <c r="E14" s="8">
        <v>3.21</v>
      </c>
      <c r="F14" s="8">
        <f t="shared" si="1"/>
        <v>458</v>
      </c>
      <c r="G14" s="8">
        <v>1</v>
      </c>
      <c r="H14" s="8">
        <f>229*2</f>
        <v>458</v>
      </c>
      <c r="I14" s="10">
        <f>ROUNDUP(D14*E14*F14+G14*H14*D14,0)</f>
        <v>1929</v>
      </c>
      <c r="J14" s="9">
        <f>I14</f>
        <v>1929</v>
      </c>
      <c r="L14" s="4">
        <v>4.49</v>
      </c>
    </row>
    <row r="15" spans="2:12" ht="14.25" thickBot="1" x14ac:dyDescent="0.2">
      <c r="B15" s="7" t="s">
        <v>19</v>
      </c>
      <c r="C15" s="16" t="s">
        <v>78</v>
      </c>
      <c r="D15" s="13">
        <v>12</v>
      </c>
      <c r="E15" s="8">
        <v>7.5</v>
      </c>
      <c r="F15" s="8">
        <f t="shared" si="1"/>
        <v>458</v>
      </c>
      <c r="G15" s="8">
        <v>0</v>
      </c>
      <c r="H15" s="8">
        <v>0</v>
      </c>
      <c r="I15" s="10">
        <f t="shared" si="3"/>
        <v>41220</v>
      </c>
      <c r="J15" s="9">
        <f>I15*3</f>
        <v>123660</v>
      </c>
      <c r="L15" s="5">
        <v>5.6</v>
      </c>
    </row>
    <row r="16" spans="2:12" ht="14.25" thickTop="1" x14ac:dyDescent="0.15">
      <c r="B16" s="7" t="s">
        <v>18</v>
      </c>
      <c r="C16" s="108" t="s">
        <v>79</v>
      </c>
      <c r="D16" s="13">
        <v>8</v>
      </c>
      <c r="E16" s="8">
        <v>5.85</v>
      </c>
      <c r="F16" s="8">
        <f t="shared" si="1"/>
        <v>458</v>
      </c>
      <c r="G16" s="8">
        <v>0</v>
      </c>
      <c r="H16" s="8">
        <v>0</v>
      </c>
      <c r="I16" s="10">
        <f t="shared" si="3"/>
        <v>21435</v>
      </c>
      <c r="J16" s="9">
        <f>I16</f>
        <v>21435</v>
      </c>
    </row>
    <row r="17" spans="2:10" x14ac:dyDescent="0.15">
      <c r="B17" s="7" t="s">
        <v>17</v>
      </c>
      <c r="C17" s="109"/>
      <c r="D17" s="13">
        <v>4</v>
      </c>
      <c r="E17" s="8">
        <v>4.75</v>
      </c>
      <c r="F17" s="8">
        <f t="shared" si="1"/>
        <v>458</v>
      </c>
      <c r="G17" s="8">
        <v>0</v>
      </c>
      <c r="H17" s="8">
        <v>0</v>
      </c>
      <c r="I17" s="10">
        <f t="shared" si="3"/>
        <v>8702</v>
      </c>
      <c r="J17" s="9">
        <f t="shared" ref="J17:J18" si="4">I17</f>
        <v>8702</v>
      </c>
    </row>
    <row r="18" spans="2:10" ht="14.25" thickBot="1" x14ac:dyDescent="0.2">
      <c r="B18" s="20" t="s">
        <v>16</v>
      </c>
      <c r="C18" s="110"/>
      <c r="D18" s="21">
        <v>8</v>
      </c>
      <c r="E18" s="22">
        <v>7.12</v>
      </c>
      <c r="F18" s="22">
        <f t="shared" si="1"/>
        <v>458</v>
      </c>
      <c r="G18" s="22">
        <v>0</v>
      </c>
      <c r="H18" s="22">
        <v>0</v>
      </c>
      <c r="I18" s="23">
        <f t="shared" si="3"/>
        <v>26088</v>
      </c>
      <c r="J18" s="24">
        <f t="shared" si="4"/>
        <v>26088</v>
      </c>
    </row>
    <row r="19" spans="2:10" ht="14.25" thickBot="1" x14ac:dyDescent="0.2">
      <c r="B19" s="94" t="s">
        <v>72</v>
      </c>
      <c r="C19" s="95"/>
      <c r="D19" s="95"/>
      <c r="E19" s="95"/>
      <c r="F19" s="95"/>
      <c r="G19" s="95"/>
      <c r="H19" s="95"/>
      <c r="I19" s="96"/>
      <c r="J19" s="28">
        <f>SUM(J4:J18)</f>
        <v>246711</v>
      </c>
    </row>
    <row r="20" spans="2:10" ht="15" thickTop="1" thickBot="1" x14ac:dyDescent="0.2">
      <c r="B20" s="100" t="s">
        <v>84</v>
      </c>
      <c r="C20" s="101"/>
      <c r="D20" s="101"/>
      <c r="E20" s="101"/>
      <c r="F20" s="101"/>
      <c r="G20" s="101"/>
      <c r="H20" s="101"/>
      <c r="I20" s="101"/>
      <c r="J20" s="102"/>
    </row>
    <row r="21" spans="2:10" ht="25.5" customHeight="1" x14ac:dyDescent="0.15">
      <c r="B21" s="111" t="s">
        <v>81</v>
      </c>
      <c r="C21" s="112"/>
      <c r="D21" s="17">
        <v>3</v>
      </c>
      <c r="E21" s="18">
        <v>7.5</v>
      </c>
      <c r="F21" s="18">
        <f>229*2</f>
        <v>458</v>
      </c>
      <c r="G21" s="25" t="s">
        <v>53</v>
      </c>
      <c r="H21" s="25" t="s">
        <v>53</v>
      </c>
      <c r="I21" s="18">
        <f>E21*F21*D21</f>
        <v>10305</v>
      </c>
      <c r="J21" s="19">
        <f>I21</f>
        <v>10305</v>
      </c>
    </row>
    <row r="22" spans="2:10" ht="27.75" customHeight="1" x14ac:dyDescent="0.15">
      <c r="B22" s="113" t="s">
        <v>82</v>
      </c>
      <c r="C22" s="114"/>
      <c r="D22" s="13">
        <v>2</v>
      </c>
      <c r="E22" s="8">
        <v>7.5</v>
      </c>
      <c r="F22" s="8">
        <f>229*2</f>
        <v>458</v>
      </c>
      <c r="G22" s="26" t="s">
        <v>53</v>
      </c>
      <c r="H22" s="26" t="s">
        <v>53</v>
      </c>
      <c r="I22" s="8">
        <f>E22*F22*D22</f>
        <v>6870</v>
      </c>
      <c r="J22" s="9">
        <f>I22</f>
        <v>6870</v>
      </c>
    </row>
    <row r="23" spans="2:10" x14ac:dyDescent="0.15">
      <c r="B23" s="115" t="s">
        <v>56</v>
      </c>
      <c r="C23" s="116"/>
      <c r="D23" s="13">
        <v>1</v>
      </c>
      <c r="E23" s="8">
        <v>1</v>
      </c>
      <c r="F23" s="8">
        <f>229*2</f>
        <v>458</v>
      </c>
      <c r="G23" s="26" t="s">
        <v>53</v>
      </c>
      <c r="H23" s="26" t="s">
        <v>53</v>
      </c>
      <c r="I23" s="8">
        <f>E23*F23*D23</f>
        <v>458</v>
      </c>
      <c r="J23" s="9">
        <f>I23</f>
        <v>458</v>
      </c>
    </row>
    <row r="24" spans="2:10" ht="14.25" thickBot="1" x14ac:dyDescent="0.2">
      <c r="B24" s="117" t="s">
        <v>57</v>
      </c>
      <c r="C24" s="118"/>
      <c r="D24" s="21">
        <v>2</v>
      </c>
      <c r="E24" s="22">
        <v>7.5</v>
      </c>
      <c r="F24" s="22">
        <f>229*2</f>
        <v>458</v>
      </c>
      <c r="G24" s="27" t="s">
        <v>40</v>
      </c>
      <c r="H24" s="27" t="s">
        <v>40</v>
      </c>
      <c r="I24" s="22">
        <f>F24*E24*D24</f>
        <v>6870</v>
      </c>
      <c r="J24" s="24">
        <f>I24</f>
        <v>6870</v>
      </c>
    </row>
    <row r="25" spans="2:10" ht="14.25" thickBot="1" x14ac:dyDescent="0.2">
      <c r="B25" s="105" t="s">
        <v>73</v>
      </c>
      <c r="C25" s="106"/>
      <c r="D25" s="106"/>
      <c r="E25" s="106"/>
      <c r="F25" s="106"/>
      <c r="G25" s="106"/>
      <c r="H25" s="106"/>
      <c r="I25" s="107"/>
      <c r="J25" s="29">
        <f>SUM(J21:J23)</f>
        <v>17633</v>
      </c>
    </row>
    <row r="26" spans="2:10" ht="15" thickTop="1" thickBot="1" x14ac:dyDescent="0.2">
      <c r="B26" s="91" t="s">
        <v>85</v>
      </c>
      <c r="C26" s="92"/>
      <c r="D26" s="92"/>
      <c r="E26" s="92"/>
      <c r="F26" s="92"/>
      <c r="G26" s="92"/>
      <c r="H26" s="92"/>
      <c r="I26" s="93"/>
      <c r="J26" s="30">
        <f>SUM(J19,J25)</f>
        <v>264344</v>
      </c>
    </row>
    <row r="27" spans="2:10" ht="14.25" thickTop="1" x14ac:dyDescent="0.15"/>
  </sheetData>
  <mergeCells count="16">
    <mergeCell ref="B26:I26"/>
    <mergeCell ref="B19:I19"/>
    <mergeCell ref="B3:J3"/>
    <mergeCell ref="B20:J20"/>
    <mergeCell ref="B2:C2"/>
    <mergeCell ref="B25:I25"/>
    <mergeCell ref="C16:C18"/>
    <mergeCell ref="B21:C21"/>
    <mergeCell ref="B22:C22"/>
    <mergeCell ref="B23:C23"/>
    <mergeCell ref="B24:C24"/>
    <mergeCell ref="J10:J11"/>
    <mergeCell ref="J12:J13"/>
    <mergeCell ref="C5:C6"/>
    <mergeCell ref="C7:C11"/>
    <mergeCell ref="C12:C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7" sqref="D17"/>
    </sheetView>
  </sheetViews>
  <sheetFormatPr defaultRowHeight="13.5" x14ac:dyDescent="0.15"/>
  <sheetData>
    <row r="1" spans="1:4" x14ac:dyDescent="0.15">
      <c r="A1" t="s">
        <v>59</v>
      </c>
      <c r="B1" t="s">
        <v>64</v>
      </c>
      <c r="C1" t="s">
        <v>66</v>
      </c>
      <c r="D1" t="s">
        <v>65</v>
      </c>
    </row>
    <row r="2" spans="1:4" x14ac:dyDescent="0.15">
      <c r="A2" t="s">
        <v>60</v>
      </c>
      <c r="B2">
        <f>(27.4+14.9)*2</f>
        <v>84.6</v>
      </c>
      <c r="C2">
        <v>1</v>
      </c>
      <c r="D2">
        <f>B2*C2</f>
        <v>84.6</v>
      </c>
    </row>
    <row r="3" spans="1:4" x14ac:dyDescent="0.15">
      <c r="A3" t="s">
        <v>61</v>
      </c>
      <c r="B3">
        <f>(20.4+38.9)*2</f>
        <v>118.6</v>
      </c>
      <c r="C3">
        <v>1</v>
      </c>
      <c r="D3">
        <f t="shared" ref="D3:D5" si="0">B3*C3</f>
        <v>118.6</v>
      </c>
    </row>
    <row r="4" spans="1:4" x14ac:dyDescent="0.15">
      <c r="A4" t="s">
        <v>62</v>
      </c>
      <c r="B4">
        <f>8.9+2.6+2.38+21.1+11.28+23.7</f>
        <v>69.960000000000008</v>
      </c>
      <c r="C4">
        <v>1</v>
      </c>
      <c r="D4">
        <f t="shared" si="0"/>
        <v>69.960000000000008</v>
      </c>
    </row>
    <row r="5" spans="1:4" x14ac:dyDescent="0.15">
      <c r="A5" t="s">
        <v>63</v>
      </c>
      <c r="B5">
        <f>8.8+8.9+11.3+7.6+2.5+1.3</f>
        <v>40.4</v>
      </c>
      <c r="C5">
        <v>1</v>
      </c>
      <c r="D5">
        <f t="shared" si="0"/>
        <v>40.4</v>
      </c>
    </row>
    <row r="6" spans="1:4" x14ac:dyDescent="0.15">
      <c r="D6">
        <f>SUM(D2:D5)</f>
        <v>313.55999999999995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Financial Report</vt:lpstr>
      <vt:lpstr>DL</vt:lpstr>
      <vt:lpstr>Protection Grid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2016-06-24T15:28:56Z</dcterms:modified>
</cp:coreProperties>
</file>