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gestao_crcr!$A$1:$H$2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gestao_crcr!$A$1:$Z$2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T67" i="5" s="1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T37" i="5" s="1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H30" i="5" s="1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P30" i="5"/>
  <c r="N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26" i="5" l="1"/>
  <c r="M30" i="5"/>
  <c r="T36" i="5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S26" i="5"/>
  <c r="U26" i="5" s="1"/>
  <c r="T28" i="5"/>
  <c r="S28" i="5"/>
  <c r="U28" i="5" s="1"/>
  <c r="T41" i="5"/>
  <c r="S41" i="5"/>
  <c r="S42" i="5"/>
  <c r="U42" i="5" s="1"/>
  <c r="T43" i="5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U80" i="5" s="1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11" i="5"/>
  <c r="U32" i="5"/>
  <c r="U36" i="5"/>
  <c r="U78" i="5"/>
  <c r="S10" i="5"/>
  <c r="L30" i="5"/>
  <c r="T13" i="5"/>
  <c r="U13" i="5" s="1"/>
  <c r="L7" i="5"/>
  <c r="T7" i="5" s="1"/>
  <c r="E30" i="5"/>
  <c r="S15" i="5"/>
  <c r="E7" i="5"/>
  <c r="U25" i="5" l="1"/>
  <c r="S30" i="5"/>
  <c r="T30" i="5"/>
  <c r="U43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s="1"/>
  <c r="U30" i="5" l="1"/>
  <c r="D60" i="5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9/01' AND '2018/09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ANDA'"/>
  </connection>
</connections>
</file>

<file path=xl/sharedStrings.xml><?xml version="1.0" encoding="utf-8"?>
<sst xmlns="http://schemas.openxmlformats.org/spreadsheetml/2006/main" count="6421" uniqueCount="694">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</sst>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4"/>
      <tableStyleElement type="headerRow" dxfId="1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37">
    <queryTableFields count="26">
      <queryTableField id="1" rowNumbers="1" tableColumnId="19"/>
      <queryTableField id="2" name="data_digitacao" tableColumnId="20"/>
      <queryTableField id="4" name="benificiario_id" tableColumnId="22"/>
      <queryTableField id="5" name="nome" tableColumnId="23"/>
      <queryTableField id="6" name="idade" tableColumnId="24"/>
      <queryTableField id="8" name="sexo" tableColumnId="26"/>
      <queryTableField id="12" name="data1" tableColumnId="30"/>
      <queryTableField id="18" name="ocb" tableColumnId="36"/>
      <queryTableField id="19" name="modificado" tableColumnId="1"/>
      <queryTableField id="20" name="servicosBross_id" tableColumnId="2"/>
      <queryTableField id="21" name="provincia" tableColumnId="3"/>
      <queryTableField id="22" name="destrito" tableColumnId="4"/>
      <queryTableField id="23" name="localidade" tableColumnId="5"/>
      <queryTableField id="24" name="bairro" tableColumnId="6"/>
      <queryTableField id="25" name="data" tableColumnId="7"/>
      <queryTableField id="26" name="actvista" tableColumnId="8"/>
      <queryTableField id="27" name="supervisor" tableColumnId="9"/>
      <queryTableField id="28" name="mes" tableColumnId="10"/>
      <queryTableField id="29" name="cd_agreg" tableColumnId="11"/>
      <queryTableField id="30" name="alimentacao" tableColumnId="12"/>
      <queryTableField id="31" name="educacao" tableColumnId="13"/>
      <queryTableField id="32" name="ajuda_legal" tableColumnId="14"/>
      <queryTableField id="33" name="saude" tableColumnId="15"/>
      <queryTableField id="34" name="Psico_Social" tableColumnId="16"/>
      <queryTableField id="35" name="apoio_financeiro" tableColumnId="17"/>
      <queryTableField id="36" name="apoio_habitacional" tableColumnId="18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172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71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70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9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8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67"/>
    <tableColumn id="21" uniqueName="21" name="id_presenca" queryTableFieldId="3"/>
    <tableColumn id="22" uniqueName="22" name="projecto" queryTableFieldId="4"/>
    <tableColumn id="23" uniqueName="23" name="data_inicio" queryTableFieldId="5" dataDxfId="166"/>
    <tableColumn id="24" uniqueName="24" name="data_fim" queryTableFieldId="6" dataDxfId="165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Z2" tableType="queryTable" insertRow="1" totalsRowShown="0">
  <autoFilter ref="A1:Z2"/>
  <tableColumns count="26">
    <tableColumn id="19" uniqueName="19" name="_NúmLinha" queryTableFieldId="1"/>
    <tableColumn id="20" uniqueName="20" name="data_digitacao" queryTableFieldId="2" dataDxfId="164"/>
    <tableColumn id="22" uniqueName="22" name="benificiario_id" queryTableFieldId="4"/>
    <tableColumn id="23" uniqueName="23" name="nome" queryTableFieldId="5"/>
    <tableColumn id="24" uniqueName="24" name="idade" queryTableFieldId="6"/>
    <tableColumn id="26" uniqueName="26" name="sexo" queryTableFieldId="8"/>
    <tableColumn id="30" uniqueName="30" name="data1" queryTableFieldId="12" dataDxfId="163"/>
    <tableColumn id="36" uniqueName="36" name="ocb" queryTableFieldId="18"/>
    <tableColumn id="1" uniqueName="1" name="modificado" queryTableFieldId="19"/>
    <tableColumn id="2" uniqueName="2" name="servicosBross_id" queryTableFieldId="20"/>
    <tableColumn id="3" uniqueName="3" name="provincia" queryTableFieldId="21"/>
    <tableColumn id="4" uniqueName="4" name="destrito" queryTableFieldId="22"/>
    <tableColumn id="5" uniqueName="5" name="localidade" queryTableFieldId="23"/>
    <tableColumn id="6" uniqueName="6" name="bairro" queryTableFieldId="24" dataDxfId="162"/>
    <tableColumn id="7" uniqueName="7" name="data" queryTableFieldId="25"/>
    <tableColumn id="8" uniqueName="8" name="actvista" queryTableFieldId="26"/>
    <tableColumn id="9" uniqueName="9" name="supervisor" queryTableFieldId="27"/>
    <tableColumn id="10" uniqueName="10" name="mes" queryTableFieldId="28"/>
    <tableColumn id="11" uniqueName="11" name="cd_agreg" queryTableFieldId="29"/>
    <tableColumn id="12" uniqueName="12" name="alimentacao" queryTableFieldId="30"/>
    <tableColumn id="13" uniqueName="13" name="educacao" queryTableFieldId="31"/>
    <tableColumn id="14" uniqueName="14" name="ajuda_legal" queryTableFieldId="32"/>
    <tableColumn id="15" uniqueName="15" name="saude" queryTableFieldId="33"/>
    <tableColumn id="16" uniqueName="16" name="Psico_Social" queryTableFieldId="34"/>
    <tableColumn id="17" uniqueName="17" name="apoio_financeiro" queryTableFieldId="35"/>
    <tableColumn id="18" uniqueName="18" name="apoio_habitacional" queryTableFieldId="36" dataDxfId="16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60"/>
    <tableColumn id="29" uniqueName="29" name="modificado" queryTableFieldId="3" dataDxfId="15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5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5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56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5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54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53"/>
    <tableColumn id="43" uniqueName="43" name="idade" queryTableFieldId="10"/>
    <tableColumn id="44" uniqueName="44" name="sexo" queryTableFieldId="11"/>
    <tableColumn id="45" uniqueName="45" name="dataPeriodoSeg" queryTableFieldId="12" dataDxfId="152"/>
    <tableColumn id="46" uniqueName="46" name="dataManutencao" queryTableFieldId="13" dataDxfId="151"/>
    <tableColumn id="47" uniqueName="47" name="dataGraduacao" queryTableFieldId="14" dataDxfId="150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149"/>
    <tableColumn id="53" uniqueName="53" name="apoioDireito" queryTableFieldId="20"/>
    <tableColumn id="54" uniqueName="54" name="realizado" queryTableFieldId="21"/>
    <tableColumn id="55" uniqueName="55" name="data_3" queryTableFieldId="22" dataDxfId="148"/>
    <tableColumn id="56" uniqueName="56" name="apoioPorReferenc" queryTableFieldId="23"/>
    <tableColumn id="57" uniqueName="57" name="completou" queryTableFieldId="24"/>
    <tableColumn id="58" uniqueName="58" name="data_4" queryTableFieldId="25" dataDxfId="147"/>
    <tableColumn id="59" uniqueName="59" name="acaoDaFamilia" queryTableFieldId="26"/>
    <tableColumn id="60" uniqueName="60" name="realizado_1" queryTableFieldId="27"/>
    <tableColumn id="61" uniqueName="61" name="data_5" queryTableFieldId="28" dataDxfId="146"/>
    <tableColumn id="62" uniqueName="62" name="comentarios" queryTableFieldId="29"/>
    <tableColumn id="63" uniqueName="63" name="membroCCPC" queryTableFieldId="30"/>
    <tableColumn id="64" uniqueName="64" name="data_6" queryTableFieldId="31" dataDxfId="145"/>
    <tableColumn id="65" uniqueName="65" name="gestorCaso" queryTableFieldId="32"/>
    <tableColumn id="66" uniqueName="66" name="data_7" queryTableFieldId="33" dataDxfId="1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143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42" priority="1">
      <formula>_xludf.ISBLANK(B2)</formula>
    </cfRule>
  </conditionalFormatting>
  <conditionalFormatting sqref="AS2">
    <cfRule type="expression" dxfId="141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opLeftCell="K1" workbookViewId="0">
      <selection activeCell="P8" sqref="P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40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Z2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26" width="7.42578125" customWidth="1"/>
    <col min="27" max="27" width="10.85546875" bestFit="1" customWidth="1"/>
    <col min="28" max="28" width="11.28515625" bestFit="1" customWidth="1"/>
    <col min="29" max="29" width="35" bestFit="1" customWidth="1"/>
    <col min="30" max="30" width="8.7109375" bestFit="1" customWidth="1"/>
    <col min="31" max="31" width="16.140625" bestFit="1" customWidth="1"/>
    <col min="32" max="32" width="9.7109375" bestFit="1" customWidth="1"/>
    <col min="33" max="33" width="11.5703125" bestFit="1" customWidth="1"/>
    <col min="34" max="34" width="10.42578125" bestFit="1" customWidth="1"/>
    <col min="35" max="35" width="11.85546875" bestFit="1" customWidth="1"/>
    <col min="36" max="36" width="11.42578125" bestFit="1" customWidth="1"/>
  </cols>
  <sheetData>
    <row r="1" spans="1:26" x14ac:dyDescent="0.25">
      <c r="A1" t="s">
        <v>263</v>
      </c>
      <c r="B1" t="s">
        <v>54</v>
      </c>
      <c r="C1" t="s">
        <v>53</v>
      </c>
      <c r="D1" t="s">
        <v>49</v>
      </c>
      <c r="E1" t="s">
        <v>46</v>
      </c>
      <c r="F1" t="s">
        <v>47</v>
      </c>
      <c r="G1" t="s">
        <v>70</v>
      </c>
      <c r="H1" t="s">
        <v>65</v>
      </c>
      <c r="I1" t="s">
        <v>87</v>
      </c>
      <c r="J1" t="s">
        <v>86</v>
      </c>
      <c r="K1" t="s">
        <v>42</v>
      </c>
      <c r="L1" t="s">
        <v>41</v>
      </c>
      <c r="M1" t="s">
        <v>39</v>
      </c>
      <c r="N1" t="s">
        <v>38</v>
      </c>
      <c r="O1" t="s">
        <v>7</v>
      </c>
      <c r="P1" t="s">
        <v>85</v>
      </c>
      <c r="Q1" t="s">
        <v>84</v>
      </c>
      <c r="R1" t="s">
        <v>83</v>
      </c>
      <c r="S1" t="s">
        <v>82</v>
      </c>
      <c r="T1" t="s">
        <v>81</v>
      </c>
      <c r="U1" t="s">
        <v>80</v>
      </c>
      <c r="V1" t="s">
        <v>79</v>
      </c>
      <c r="W1" t="s">
        <v>78</v>
      </c>
      <c r="X1" t="s">
        <v>77</v>
      </c>
      <c r="Y1" t="s">
        <v>76</v>
      </c>
      <c r="Z1" t="s">
        <v>75</v>
      </c>
    </row>
    <row r="2" spans="1:26" x14ac:dyDescent="0.25">
      <c r="B2" s="1"/>
      <c r="G2" s="1"/>
      <c r="N2" s="1"/>
      <c r="Z2" s="1"/>
    </row>
  </sheetData>
  <conditionalFormatting sqref="B2">
    <cfRule type="expression" dxfId="139" priority="1">
      <formula>_xludf.ISBLANK(B2)</formula>
    </cfRule>
  </conditionalFormatting>
  <conditionalFormatting sqref="C2">
    <cfRule type="expression" dxfId="138" priority="2">
      <formula>_xludf.ISBLANK(C2)</formula>
    </cfRule>
  </conditionalFormatting>
  <conditionalFormatting sqref="D2">
    <cfRule type="expression" dxfId="137" priority="3">
      <formula>_xludf.ISBLANK(D2)</formula>
    </cfRule>
  </conditionalFormatting>
  <conditionalFormatting sqref="E2">
    <cfRule type="expression" dxfId="136" priority="4">
      <formula>_xludf.ISBLANK(E2)</formula>
    </cfRule>
  </conditionalFormatting>
  <conditionalFormatting sqref="F2">
    <cfRule type="expression" dxfId="134" priority="6">
      <formula>_xludf.ISBLANK(F2)</formula>
    </cfRule>
  </conditionalFormatting>
  <conditionalFormatting sqref="G2">
    <cfRule type="expression" dxfId="130" priority="10">
      <formula>_xludf.ISBLANK(G2)</formula>
    </cfRule>
  </conditionalFormatting>
  <conditionalFormatting sqref="H2:Z2">
    <cfRule type="expression" dxfId="124" priority="16">
      <formula>_xludf.ISBLANK(H2)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123" priority="1">
      <formula>_xludf.ISBLANK(B2)</formula>
    </cfRule>
  </conditionalFormatting>
  <conditionalFormatting sqref="E2">
    <cfRule type="expression" dxfId="122" priority="2">
      <formula>_xludf.ISBLANK(E2)</formula>
    </cfRule>
  </conditionalFormatting>
  <conditionalFormatting sqref="F2">
    <cfRule type="expression" dxfId="121" priority="3">
      <formula>_xludf.ISBLANK(F2)</formula>
    </cfRule>
  </conditionalFormatting>
  <conditionalFormatting sqref="G2">
    <cfRule type="expression" dxfId="120" priority="4">
      <formula>_xludf.ISBLANK(G2)</formula>
    </cfRule>
  </conditionalFormatting>
  <conditionalFormatting sqref="H2">
    <cfRule type="expression" dxfId="119" priority="5">
      <formula>_xludf.ISBLANK(H2)</formula>
    </cfRule>
  </conditionalFormatting>
  <conditionalFormatting sqref="I2">
    <cfRule type="expression" dxfId="118" priority="6">
      <formula>_xludf.ISBLANK(I2)</formula>
    </cfRule>
  </conditionalFormatting>
  <conditionalFormatting sqref="J2">
    <cfRule type="expression" dxfId="117" priority="7">
      <formula>_xludf.ISBLANK(J2)</formula>
    </cfRule>
  </conditionalFormatting>
  <conditionalFormatting sqref="K2">
    <cfRule type="expression" dxfId="116" priority="8">
      <formula>_xludf.ISBLANK(K2)</formula>
    </cfRule>
  </conditionalFormatting>
  <conditionalFormatting sqref="L2">
    <cfRule type="expression" dxfId="115" priority="9">
      <formula>_xludf.ISBLANK(L2)</formula>
    </cfRule>
  </conditionalFormatting>
  <conditionalFormatting sqref="M2">
    <cfRule type="expression" dxfId="114" priority="10">
      <formula>_xludf.ISBLANK(M2)</formula>
    </cfRule>
  </conditionalFormatting>
  <conditionalFormatting sqref="O2">
    <cfRule type="expression" dxfId="113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112" priority="1">
      <formula>_xludf.ISBLANK(B2)</formula>
    </cfRule>
  </conditionalFormatting>
  <conditionalFormatting sqref="D2">
    <cfRule type="expression" dxfId="111" priority="2">
      <formula>_xludf.ISBLANK(D2)</formula>
    </cfRule>
  </conditionalFormatting>
  <conditionalFormatting sqref="E2">
    <cfRule type="expression" dxfId="110" priority="3">
      <formula>_xludf.ISBLANK(E2)</formula>
    </cfRule>
  </conditionalFormatting>
  <conditionalFormatting sqref="F2">
    <cfRule type="expression" dxfId="109" priority="4">
      <formula>_xludf.ISBLANK(F2)</formula>
    </cfRule>
  </conditionalFormatting>
  <conditionalFormatting sqref="G2">
    <cfRule type="expression" dxfId="108" priority="5">
      <formula>_xludf.ISBLANK(G2)</formula>
    </cfRule>
  </conditionalFormatting>
  <conditionalFormatting sqref="H2">
    <cfRule type="expression" dxfId="107" priority="6">
      <formula>_xludf.ISBLANK(H2)</formula>
    </cfRule>
  </conditionalFormatting>
  <conditionalFormatting sqref="I2">
    <cfRule type="expression" dxfId="106" priority="7">
      <formula>_xludf.ISBLANK(I2)</formula>
    </cfRule>
  </conditionalFormatting>
  <conditionalFormatting sqref="J2">
    <cfRule type="expression" dxfId="105" priority="8">
      <formula>_xludf.ISBLANK(J2)</formula>
    </cfRule>
  </conditionalFormatting>
  <conditionalFormatting sqref="K2">
    <cfRule type="expression" dxfId="104" priority="9">
      <formula>_xludf.ISBLANK(K2)</formula>
    </cfRule>
  </conditionalFormatting>
  <conditionalFormatting sqref="L2">
    <cfRule type="expression" dxfId="103" priority="10">
      <formula>_xludf.ISBLANK(L2)</formula>
    </cfRule>
  </conditionalFormatting>
  <conditionalFormatting sqref="M2">
    <cfRule type="expression" dxfId="102" priority="11">
      <formula>_xludf.ISBLANK(M2)</formula>
    </cfRule>
  </conditionalFormatting>
  <conditionalFormatting sqref="N2">
    <cfRule type="expression" dxfId="101" priority="12">
      <formula>_xludf.ISBLANK(N2)</formula>
    </cfRule>
  </conditionalFormatting>
  <conditionalFormatting sqref="O2">
    <cfRule type="expression" dxfId="100" priority="13">
      <formula>_xludf.ISBLANK(O2)</formula>
    </cfRule>
  </conditionalFormatting>
  <conditionalFormatting sqref="P2">
    <cfRule type="expression" dxfId="99" priority="14">
      <formula>_xludf.ISBLANK(P2)</formula>
    </cfRule>
  </conditionalFormatting>
  <conditionalFormatting sqref="Q2">
    <cfRule type="expression" dxfId="98" priority="15">
      <formula>_xludf.ISBLANK(Q2)</formula>
    </cfRule>
  </conditionalFormatting>
  <conditionalFormatting sqref="R2">
    <cfRule type="expression" dxfId="97" priority="16">
      <formula>_xludf.ISBLANK(R2)</formula>
    </cfRule>
  </conditionalFormatting>
  <conditionalFormatting sqref="S2">
    <cfRule type="expression" dxfId="96" priority="17">
      <formula>_xludf.ISBLANK(S2)</formula>
    </cfRule>
  </conditionalFormatting>
  <conditionalFormatting sqref="T2">
    <cfRule type="expression" dxfId="95" priority="18">
      <formula>_xludf.ISBLANK(T2)</formula>
    </cfRule>
  </conditionalFormatting>
  <conditionalFormatting sqref="U2">
    <cfRule type="expression" dxfId="94" priority="19">
      <formula>_xludf.ISBLANK(U2)</formula>
    </cfRule>
  </conditionalFormatting>
  <conditionalFormatting sqref="V2">
    <cfRule type="expression" dxfId="93" priority="20">
      <formula>_xludf.ISBLANK(V2)</formula>
    </cfRule>
  </conditionalFormatting>
  <conditionalFormatting sqref="W2">
    <cfRule type="expression" dxfId="92" priority="21">
      <formula>_xludf.ISBLANK(W2)</formula>
    </cfRule>
  </conditionalFormatting>
  <conditionalFormatting sqref="X2">
    <cfRule type="expression" dxfId="91" priority="22">
      <formula>_xludf.ISBLANK(X2)</formula>
    </cfRule>
  </conditionalFormatting>
  <conditionalFormatting sqref="Y2">
    <cfRule type="expression" dxfId="90" priority="23">
      <formula>_xludf.ISBLANK(Y2)</formula>
    </cfRule>
  </conditionalFormatting>
  <conditionalFormatting sqref="Z2">
    <cfRule type="expression" dxfId="89" priority="24">
      <formula>_xludf.ISBLANK(Z2)</formula>
    </cfRule>
  </conditionalFormatting>
  <conditionalFormatting sqref="AA2">
    <cfRule type="expression" dxfId="88" priority="25">
      <formula>_xludf.ISBLANK(AA2)</formula>
    </cfRule>
  </conditionalFormatting>
  <conditionalFormatting sqref="AB2">
    <cfRule type="expression" dxfId="87" priority="26">
      <formula>_xludf.ISBLANK(AB2)</formula>
    </cfRule>
  </conditionalFormatting>
  <conditionalFormatting sqref="AC2">
    <cfRule type="expression" dxfId="86" priority="27">
      <formula>_xludf.ISBLANK(AC2)</formula>
    </cfRule>
  </conditionalFormatting>
  <conditionalFormatting sqref="AD2">
    <cfRule type="expression" dxfId="85" priority="28">
      <formula>_xludf.ISBLANK(AD2)</formula>
    </cfRule>
  </conditionalFormatting>
  <conditionalFormatting sqref="AE2">
    <cfRule type="expression" dxfId="84" priority="29">
      <formula>_xludf.ISBLANK(AE2)</formula>
    </cfRule>
  </conditionalFormatting>
  <conditionalFormatting sqref="AF2">
    <cfRule type="expression" dxfId="83" priority="30">
      <formula>_xludf.ISBLANK(AF2)</formula>
    </cfRule>
  </conditionalFormatting>
  <conditionalFormatting sqref="AG2">
    <cfRule type="expression" dxfId="82" priority="31">
      <formula>_xludf.ISBLANK(AG2)</formula>
    </cfRule>
  </conditionalFormatting>
  <conditionalFormatting sqref="AH2">
    <cfRule type="expression" dxfId="81" priority="32">
      <formula>_xludf.ISBLANK(AH2)</formula>
    </cfRule>
  </conditionalFormatting>
  <conditionalFormatting sqref="AI2">
    <cfRule type="expression" dxfId="80" priority="33">
      <formula>_xludf.ISBLANK(AI2)</formula>
    </cfRule>
  </conditionalFormatting>
  <conditionalFormatting sqref="AJ2">
    <cfRule type="expression" dxfId="79" priority="34">
      <formula>_xludf.ISBLANK(AJ2)</formula>
    </cfRule>
  </conditionalFormatting>
  <conditionalFormatting sqref="AK2">
    <cfRule type="expression" dxfId="78" priority="35">
      <formula>_xludf.ISBLANK(AK2)</formula>
    </cfRule>
  </conditionalFormatting>
  <conditionalFormatting sqref="AL2">
    <cfRule type="expression" dxfId="77" priority="36">
      <formula>_xludf.ISBLANK(AL2)</formula>
    </cfRule>
  </conditionalFormatting>
  <conditionalFormatting sqref="AM2">
    <cfRule type="expression" dxfId="76" priority="37">
      <formula>_xludf.ISBLANK(AM2)</formula>
    </cfRule>
  </conditionalFormatting>
  <conditionalFormatting sqref="AN2">
    <cfRule type="expression" dxfId="75" priority="38">
      <formula>_xludf.ISBLANK(AN2)</formula>
    </cfRule>
  </conditionalFormatting>
  <conditionalFormatting sqref="AO2">
    <cfRule type="expression" dxfId="74" priority="39">
      <formula>_xludf.ISBLANK(AO2)</formula>
    </cfRule>
  </conditionalFormatting>
  <conditionalFormatting sqref="AP2">
    <cfRule type="expression" dxfId="73" priority="40">
      <formula>_xludf.ISBLANK(AP2)</formula>
    </cfRule>
  </conditionalFormatting>
  <conditionalFormatting sqref="AQ2">
    <cfRule type="expression" dxfId="72" priority="41">
      <formula>_xludf.ISBLANK(AQ2)</formula>
    </cfRule>
  </conditionalFormatting>
  <conditionalFormatting sqref="AR2">
    <cfRule type="expression" dxfId="71" priority="42">
      <formula>_xludf.ISBLANK(AR2)</formula>
    </cfRule>
  </conditionalFormatting>
  <conditionalFormatting sqref="AS2">
    <cfRule type="expression" dxfId="70" priority="43">
      <formula>_xludf.ISBLANK(AS2)</formula>
    </cfRule>
  </conditionalFormatting>
  <conditionalFormatting sqref="AT2">
    <cfRule type="expression" dxfId="69" priority="44">
      <formula>_xludf.ISBLANK(AT2)</formula>
    </cfRule>
  </conditionalFormatting>
  <conditionalFormatting sqref="AU2">
    <cfRule type="expression" dxfId="68" priority="45">
      <formula>_xludf.ISBLANK(AU2)</formula>
    </cfRule>
  </conditionalFormatting>
  <conditionalFormatting sqref="AV2">
    <cfRule type="expression" dxfId="67" priority="46">
      <formula>_xludf.ISBLANK(AV2)</formula>
    </cfRule>
  </conditionalFormatting>
  <conditionalFormatting sqref="AW2">
    <cfRule type="expression" dxfId="66" priority="47">
      <formula>_xludf.ISBLANK(AW2)</formula>
    </cfRule>
  </conditionalFormatting>
  <conditionalFormatting sqref="AX2">
    <cfRule type="expression" dxfId="65" priority="48">
      <formula>_xludf.ISBLANK(AX2)</formula>
    </cfRule>
  </conditionalFormatting>
  <conditionalFormatting sqref="AY2">
    <cfRule type="expression" dxfId="64" priority="49">
      <formula>_xludf.ISBLANK(AY2)</formula>
    </cfRule>
  </conditionalFormatting>
  <conditionalFormatting sqref="AZ2">
    <cfRule type="expression" dxfId="63" priority="50">
      <formula>_xludf.ISBLANK(AZ2)</formula>
    </cfRule>
  </conditionalFormatting>
  <conditionalFormatting sqref="BA2">
    <cfRule type="expression" dxfId="62" priority="51">
      <formula>_xludf.ISBLANK(BA2)</formula>
    </cfRule>
  </conditionalFormatting>
  <conditionalFormatting sqref="BB2">
    <cfRule type="expression" dxfId="61" priority="52">
      <formula>_xludf.ISBLANK(BB2)</formula>
    </cfRule>
  </conditionalFormatting>
  <conditionalFormatting sqref="BC2">
    <cfRule type="expression" dxfId="60" priority="53">
      <formula>_xludf.ISBLANK(BC2)</formula>
    </cfRule>
  </conditionalFormatting>
  <conditionalFormatting sqref="BD2">
    <cfRule type="expression" dxfId="59" priority="54">
      <formula>_xludf.ISBLANK(BD2)</formula>
    </cfRule>
  </conditionalFormatting>
  <conditionalFormatting sqref="BE2">
    <cfRule type="expression" dxfId="58" priority="55">
      <formula>_xludf.ISBLANK(BE2)</formula>
    </cfRule>
  </conditionalFormatting>
  <conditionalFormatting sqref="BG2">
    <cfRule type="expression" dxfId="57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activeCell="G4" sqref="G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56" priority="1">
      <formula>_xludf.ISBLANK(B2)</formula>
    </cfRule>
  </conditionalFormatting>
  <conditionalFormatting sqref="D2">
    <cfRule type="expression" dxfId="55" priority="2">
      <formula>_xludf.ISBLANK(D2)</formula>
    </cfRule>
  </conditionalFormatting>
  <conditionalFormatting sqref="E2">
    <cfRule type="expression" dxfId="54" priority="3">
      <formula>_xludf.ISBLANK(E2)</formula>
    </cfRule>
  </conditionalFormatting>
  <conditionalFormatting sqref="F2">
    <cfRule type="expression" dxfId="53" priority="4">
      <formula>_xludf.ISBLANK(F2)</formula>
    </cfRule>
  </conditionalFormatting>
  <conditionalFormatting sqref="G2">
    <cfRule type="expression" dxfId="52" priority="5">
      <formula>_xludf.ISBLANK(G2)</formula>
    </cfRule>
  </conditionalFormatting>
  <conditionalFormatting sqref="H2">
    <cfRule type="expression" dxfId="51" priority="6">
      <formula>_xludf.ISBLANK(H2)</formula>
    </cfRule>
  </conditionalFormatting>
  <conditionalFormatting sqref="I2">
    <cfRule type="expression" dxfId="50" priority="7">
      <formula>_xludf.ISBLANK(I2)</formula>
    </cfRule>
  </conditionalFormatting>
  <conditionalFormatting sqref="J2">
    <cfRule type="expression" dxfId="49" priority="8">
      <formula>_xludf.ISBLANK(J2)</formula>
    </cfRule>
  </conditionalFormatting>
  <conditionalFormatting sqref="K2">
    <cfRule type="expression" dxfId="48" priority="9">
      <formula>_xludf.ISBLANK(K2)</formula>
    </cfRule>
  </conditionalFormatting>
  <conditionalFormatting sqref="L2">
    <cfRule type="expression" dxfId="47" priority="10">
      <formula>_xludf.ISBLANK(L2)</formula>
    </cfRule>
  </conditionalFormatting>
  <conditionalFormatting sqref="M2">
    <cfRule type="expression" dxfId="46" priority="11">
      <formula>_xludf.ISBLANK(M2)</formula>
    </cfRule>
  </conditionalFormatting>
  <conditionalFormatting sqref="N2">
    <cfRule type="expression" dxfId="45" priority="12">
      <formula>_xludf.ISBLANK(N2)</formula>
    </cfRule>
  </conditionalFormatting>
  <conditionalFormatting sqref="O2">
    <cfRule type="expression" dxfId="44" priority="13">
      <formula>_xludf.ISBLANK(O2)</formula>
    </cfRule>
  </conditionalFormatting>
  <conditionalFormatting sqref="P2">
    <cfRule type="expression" dxfId="43" priority="14">
      <formula>_xludf.ISBLANK(P2)</formula>
    </cfRule>
  </conditionalFormatting>
  <conditionalFormatting sqref="Q2">
    <cfRule type="expression" dxfId="42" priority="15">
      <formula>_xludf.ISBLANK(Q2)</formula>
    </cfRule>
  </conditionalFormatting>
  <conditionalFormatting sqref="R2">
    <cfRule type="expression" dxfId="41" priority="16">
      <formula>_xludf.ISBLANK(R2)</formula>
    </cfRule>
  </conditionalFormatting>
  <conditionalFormatting sqref="S2">
    <cfRule type="expression" dxfId="40" priority="17">
      <formula>_xludf.ISBLANK(S2)</formula>
    </cfRule>
  </conditionalFormatting>
  <conditionalFormatting sqref="T2">
    <cfRule type="expression" dxfId="39" priority="18">
      <formula>_xludf.ISBLANK(T2)</formula>
    </cfRule>
  </conditionalFormatting>
  <conditionalFormatting sqref="U2">
    <cfRule type="expression" dxfId="38" priority="19">
      <formula>_xludf.ISBLANK(U2)</formula>
    </cfRule>
  </conditionalFormatting>
  <conditionalFormatting sqref="V2">
    <cfRule type="expression" dxfId="37" priority="20">
      <formula>_xludf.ISBLANK(V2)</formula>
    </cfRule>
  </conditionalFormatting>
  <conditionalFormatting sqref="W2">
    <cfRule type="expression" dxfId="36" priority="21">
      <formula>_xludf.ISBLANK(W2)</formula>
    </cfRule>
  </conditionalFormatting>
  <conditionalFormatting sqref="X2">
    <cfRule type="expression" dxfId="35" priority="22">
      <formula>_xludf.ISBLANK(X2)</formula>
    </cfRule>
  </conditionalFormatting>
  <conditionalFormatting sqref="Y2">
    <cfRule type="expression" dxfId="34" priority="23">
      <formula>_xludf.ISBLANK(Y2)</formula>
    </cfRule>
  </conditionalFormatting>
  <conditionalFormatting sqref="Z2">
    <cfRule type="expression" dxfId="33" priority="24">
      <formula>_xludf.ISBLANK(Z2)</formula>
    </cfRule>
  </conditionalFormatting>
  <conditionalFormatting sqref="AA2">
    <cfRule type="expression" dxfId="32" priority="25">
      <formula>_xludf.ISBLANK(AA2)</formula>
    </cfRule>
  </conditionalFormatting>
  <conditionalFormatting sqref="AB2">
    <cfRule type="expression" dxfId="31" priority="26">
      <formula>_xludf.ISBLANK(AB2)</formula>
    </cfRule>
  </conditionalFormatting>
  <conditionalFormatting sqref="AC2">
    <cfRule type="expression" dxfId="30" priority="27">
      <formula>_xludf.ISBLANK(AC2)</formula>
    </cfRule>
  </conditionalFormatting>
  <conditionalFormatting sqref="AD2">
    <cfRule type="expression" dxfId="29" priority="28">
      <formula>_xludf.ISBLANK(AD2)</formula>
    </cfRule>
  </conditionalFormatting>
  <conditionalFormatting sqref="AE2">
    <cfRule type="expression" dxfId="28" priority="29">
      <formula>_xludf.ISBLANK(AE2)</formula>
    </cfRule>
  </conditionalFormatting>
  <conditionalFormatting sqref="AF2">
    <cfRule type="expression" dxfId="27" priority="30">
      <formula>_xludf.ISBLANK(AF2)</formula>
    </cfRule>
  </conditionalFormatting>
  <conditionalFormatting sqref="AG2">
    <cfRule type="expression" dxfId="26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abSelected="1" topLeftCell="J1" workbookViewId="0">
      <selection activeCell="P15" sqref="P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">
    <cfRule type="expression" dxfId="25" priority="1">
      <formula>_xludf.ISBLANK(B2)</formula>
    </cfRule>
  </conditionalFormatting>
  <conditionalFormatting sqref="D2">
    <cfRule type="expression" dxfId="24" priority="2">
      <formula>_xludf.ISBLANK(D2)</formula>
    </cfRule>
  </conditionalFormatting>
  <conditionalFormatting sqref="F2">
    <cfRule type="expression" dxfId="23" priority="3">
      <formula>_xludf.ISBLANK(F2)</formula>
    </cfRule>
  </conditionalFormatting>
  <conditionalFormatting sqref="G2">
    <cfRule type="expression" dxfId="22" priority="4">
      <formula>_xludf.ISBLANK(G2)</formula>
    </cfRule>
  </conditionalFormatting>
  <conditionalFormatting sqref="H2">
    <cfRule type="expression" dxfId="21" priority="5">
      <formula>_xludf.ISBLANK(H2)</formula>
    </cfRule>
  </conditionalFormatting>
  <conditionalFormatting sqref="I2">
    <cfRule type="expression" dxfId="20" priority="6">
      <formula>_xludf.ISBLANK(I2)</formula>
    </cfRule>
  </conditionalFormatting>
  <conditionalFormatting sqref="J2">
    <cfRule type="expression" dxfId="19" priority="7">
      <formula>_xludf.ISBLANK(J2)</formula>
    </cfRule>
  </conditionalFormatting>
  <conditionalFormatting sqref="K2">
    <cfRule type="expression" dxfId="18" priority="8">
      <formula>_xludf.ISBLANK(K2)</formula>
    </cfRule>
  </conditionalFormatting>
  <conditionalFormatting sqref="L2">
    <cfRule type="expression" dxfId="17" priority="9">
      <formula>_xludf.ISBLANK(L2)</formula>
    </cfRule>
  </conditionalFormatting>
  <conditionalFormatting sqref="M2">
    <cfRule type="expression" dxfId="16" priority="10">
      <formula>_xludf.ISBLANK(M2)</formula>
    </cfRule>
  </conditionalFormatting>
  <conditionalFormatting sqref="N2">
    <cfRule type="expression" dxfId="15" priority="11">
      <formula>_xludf.ISBLANK(N2)</formula>
    </cfRule>
  </conditionalFormatting>
  <conditionalFormatting sqref="O2">
    <cfRule type="expression" dxfId="14" priority="12">
      <formula>_xludf.ISBLANK(O2)</formula>
    </cfRule>
  </conditionalFormatting>
  <conditionalFormatting sqref="P2">
    <cfRule type="expression" dxfId="13" priority="13">
      <formula>_xludf.ISBLANK(P2)</formula>
    </cfRule>
  </conditionalFormatting>
  <conditionalFormatting sqref="Q2">
    <cfRule type="expression" dxfId="12" priority="14">
      <formula>_xludf.ISBLANK(Q2)</formula>
    </cfRule>
  </conditionalFormatting>
  <conditionalFormatting sqref="R2">
    <cfRule type="expression" dxfId="11" priority="15">
      <formula>_xludf.ISBLANK(R2)</formula>
    </cfRule>
  </conditionalFormatting>
  <conditionalFormatting sqref="S2">
    <cfRule type="expression" dxfId="10" priority="16">
      <formula>_xludf.ISBLANK(S2)</formula>
    </cfRule>
  </conditionalFormatting>
  <conditionalFormatting sqref="T2">
    <cfRule type="expression" dxfId="9" priority="17">
      <formula>_xludf.ISBLANK(T2)</formula>
    </cfRule>
  </conditionalFormatting>
  <conditionalFormatting sqref="U2">
    <cfRule type="expression" dxfId="8" priority="18">
      <formula>_xludf.ISBLANK(U2)</formula>
    </cfRule>
  </conditionalFormatting>
  <conditionalFormatting sqref="V2">
    <cfRule type="expression" dxfId="7" priority="19">
      <formula>_xludf.ISBLANK(V2)</formula>
    </cfRule>
  </conditionalFormatting>
  <conditionalFormatting sqref="W2">
    <cfRule type="expression" dxfId="6" priority="20">
      <formula>_xludf.ISBLANK(W2)</formula>
    </cfRule>
  </conditionalFormatting>
  <conditionalFormatting sqref="X2">
    <cfRule type="expression" dxfId="5" priority="21">
      <formula>_xludf.ISBLANK(X2)</formula>
    </cfRule>
  </conditionalFormatting>
  <conditionalFormatting sqref="Y2">
    <cfRule type="expression" dxfId="4" priority="22">
      <formula>_xludf.ISBLANK(Y2)</formula>
    </cfRule>
  </conditionalFormatting>
  <conditionalFormatting sqref="Z2">
    <cfRule type="expression" dxfId="3" priority="23">
      <formula>_xludf.ISBLANK(Z2)</formula>
    </cfRule>
  </conditionalFormatting>
  <conditionalFormatting sqref="AA2">
    <cfRule type="expression" dxfId="2" priority="24">
      <formula>_xludf.ISBLANK(AA2)</formula>
    </cfRule>
  </conditionalFormatting>
  <conditionalFormatting sqref="AB2">
    <cfRule type="expression" dxfId="1" priority="25">
      <formula>_xludf.ISBLANK(AB2)</formula>
    </cfRule>
  </conditionalFormatting>
  <conditionalFormatting sqref="AC2">
    <cfRule type="expression" dxfId="0" priority="26">
      <formula>_xludf.ISBLANK(AC2)</formula>
    </cfRule>
  </conditionalFormatting>
  <dataValidations count="4"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C2 O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  <dataValidation allowBlank="1" showInputMessage="1" showErrorMessage="1" sqref="A1"/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498</v>
      </c>
      <c r="D2" s="503"/>
      <c r="E2" s="503"/>
      <c r="F2" s="503"/>
      <c r="G2" s="503"/>
      <c r="H2" s="503"/>
      <c r="I2" s="503"/>
      <c r="J2" s="503"/>
      <c r="K2" s="503"/>
      <c r="M2" s="512" t="s">
        <v>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164</v>
      </c>
      <c r="C4" s="449" t="s">
        <v>165</v>
      </c>
      <c r="D4" s="415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67" t="s">
        <v>168</v>
      </c>
      <c r="T4" s="501"/>
      <c r="U4" s="482" t="s">
        <v>169</v>
      </c>
    </row>
    <row r="5" spans="2:24" s="17" customFormat="1" ht="57.75" customHeight="1" thickBot="1" x14ac:dyDescent="0.7">
      <c r="B5" s="414"/>
      <c r="C5" s="434"/>
      <c r="D5" s="417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83"/>
      <c r="X5" s="31"/>
    </row>
    <row r="6" spans="2:24" s="44" customFormat="1" ht="105.6" customHeight="1" thickTop="1" thickBot="1" x14ac:dyDescent="0.5">
      <c r="B6" s="32" t="s">
        <v>178</v>
      </c>
      <c r="C6" s="487" t="s">
        <v>501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179</v>
      </c>
      <c r="C7" s="504" t="s">
        <v>502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180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181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182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183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184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185</v>
      </c>
      <c r="C13" s="487" t="s">
        <v>186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187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188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178</v>
      </c>
      <c r="C16" s="493" t="s">
        <v>189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190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58"/>
      <c r="C18" s="497" t="s">
        <v>242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193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164</v>
      </c>
      <c r="C22" s="449" t="s">
        <v>165</v>
      </c>
      <c r="D22" s="415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18" t="s">
        <v>168</v>
      </c>
      <c r="T22" s="501"/>
      <c r="U22" s="482" t="s">
        <v>169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83"/>
      <c r="X23" s="58"/>
    </row>
    <row r="24" spans="2:24" s="44" customFormat="1" ht="82.5" customHeight="1" thickTop="1" x14ac:dyDescent="0.45">
      <c r="B24" s="436" t="s">
        <v>195</v>
      </c>
      <c r="C24" s="472" t="s">
        <v>196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197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37"/>
      <c r="C26" s="476" t="s">
        <v>198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37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200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202</v>
      </c>
      <c r="D30" s="479"/>
      <c r="E30" s="201" t="e">
        <f>SUM(E31:E37)</f>
        <v>#REF!</v>
      </c>
      <c r="F30" s="202" t="e">
        <f t="shared" ref="F30:R30" si="6">SUM(F31:F37)</f>
        <v>#REF!</v>
      </c>
      <c r="G30" s="203" t="e">
        <f t="shared" si="6"/>
        <v>#REF!</v>
      </c>
      <c r="H30" s="204" t="e">
        <f t="shared" si="6"/>
        <v>#REF!</v>
      </c>
      <c r="I30" s="205" t="e">
        <f t="shared" si="6"/>
        <v>#REF!</v>
      </c>
      <c r="J30" s="202" t="e">
        <f t="shared" si="6"/>
        <v>#REF!</v>
      </c>
      <c r="K30" s="206" t="e">
        <f t="shared" si="6"/>
        <v>#REF!</v>
      </c>
      <c r="L30" s="207" t="e">
        <f t="shared" si="6"/>
        <v>#REF!</v>
      </c>
      <c r="M30" s="203" t="e">
        <f t="shared" si="6"/>
        <v>#REF!</v>
      </c>
      <c r="N30" s="202" t="e">
        <f t="shared" si="6"/>
        <v>#REF!</v>
      </c>
      <c r="O30" s="203" t="e">
        <f t="shared" si="6"/>
        <v>#REF!</v>
      </c>
      <c r="P30" s="204" t="e">
        <f t="shared" si="6"/>
        <v>#REF!</v>
      </c>
      <c r="Q30" s="205" t="e">
        <f t="shared" si="6"/>
        <v>#REF!</v>
      </c>
      <c r="R30" s="208" t="e">
        <f t="shared" si="6"/>
        <v>#REF!</v>
      </c>
      <c r="S30" s="106" t="e">
        <f t="shared" ref="S30:S37" si="7">SUM(L30:R30)</f>
        <v>#REF!</v>
      </c>
      <c r="T30" s="107" t="e">
        <f t="shared" ref="T30:T37" si="8">SUM(E30:K30)</f>
        <v>#REF!</v>
      </c>
      <c r="U30" s="108" t="e">
        <f t="shared" ref="U30:U37" si="9">SUM(S30:T30)</f>
        <v>#REF!</v>
      </c>
      <c r="X30" s="58"/>
    </row>
    <row r="31" spans="2:24" s="120" customFormat="1" ht="106.9" customHeight="1" thickTop="1" x14ac:dyDescent="0.45">
      <c r="B31" s="437"/>
      <c r="C31" s="480" t="s">
        <v>203</v>
      </c>
      <c r="D31" s="481"/>
      <c r="E31" s="209" t="e">
        <f>COUNTIFS(Folha11_Table1[idade],"0",Folha11_Table1[sexo],"F",#REF!,"Reabilitacao Nutricional",#REF!,"X")</f>
        <v>#REF!</v>
      </c>
      <c r="F31" s="210" t="e">
        <f>COUNTIFS(Folha11_Table1[idade],"&gt;0",Folha11_Table1[idade],"&lt;5",Folha11_Table1[sexo],"F",#REF!,"Reabilitacao Nutricional",#REF!,"X")</f>
        <v>#REF!</v>
      </c>
      <c r="G31" s="210" t="e">
        <f>COUNTIFS(Folha11_Table1[idade],"&gt;4",Folha11_Table1[idade],"&lt;10",Folha11_Table1[sexo],"F",#REF!,"Reabilitacao Nutricional",#REF!,"X")</f>
        <v>#REF!</v>
      </c>
      <c r="H31" s="210" t="e">
        <f>COUNTIFS(Folha11_Table1[idade],"&gt;9",Folha11_Table1[idade],"&lt;15",Folha11_Table1[sexo],"F",#REF!,"Reabilitacao Nutricional",#REF!,"X")</f>
        <v>#REF!</v>
      </c>
      <c r="I31" s="210" t="e">
        <f>COUNTIFS(Folha11_Table1[idade],"&gt;14",Folha11_Table1[idade],"&lt;18",Folha11_Table1[sexo],"F",#REF!,"Reabilitacao Nutricional",#REF!,"X")</f>
        <v>#REF!</v>
      </c>
      <c r="J31" s="210" t="e">
        <f>COUNTIFS(Folha11_Table1[idade],"&gt;17",Folha11_Table1[idade],"&lt;25",Folha11_Table1[sexo],"F",#REF!,"Reabilitacao Nutricional",#REF!,"X")</f>
        <v>#REF!</v>
      </c>
      <c r="K31" s="209" t="e">
        <f>COUNTIFS(Folha11_Table1[idade],"&gt;24",Folha11_Table1[sexo],"F",#REF!,"Reabilitacao Nutricional",#REF!,"X")</f>
        <v>#REF!</v>
      </c>
      <c r="L31" s="209" t="e">
        <f>COUNTIFS(Folha11_Table1[idade],"0",Folha11_Table1[sexo],"M",#REF!,"Reabilitacao Nutricional",#REF!,"X")</f>
        <v>#REF!</v>
      </c>
      <c r="M31" s="210" t="e">
        <f>COUNTIFS(Folha11_Table1[idade],"&gt;0",Folha11_Table1[idade],"&lt;5",Folha11_Table1[sexo],"M",#REF!,"Reabilitacao Nutricional",#REF!,"X")</f>
        <v>#REF!</v>
      </c>
      <c r="N31" s="210" t="e">
        <f>COUNTIFS(Folha11_Table1[idade],"&gt;4",Folha11_Table1[idade],"&lt;10",Folha11_Table1[sexo],"M",#REF!,"Reabilitacao Nutricional",#REF!,"X")</f>
        <v>#REF!</v>
      </c>
      <c r="O31" s="210" t="e">
        <f>COUNTIFS(Folha11_Table1[idade],"&gt;9",Folha11_Table1[idade],"&lt;15",Folha11_Table1[sexo],"M",#REF!,"Reabilitacao Nutricional",#REF!,"X")</f>
        <v>#REF!</v>
      </c>
      <c r="P31" s="210" t="e">
        <f>COUNTIFS(Folha11_Table1[idade],"&gt;14",Folha11_Table1[idade],"&lt;18",Folha11_Table1[sexo],"M",#REF!,"Reabilitacao Nutricional",#REF!,"X")</f>
        <v>#REF!</v>
      </c>
      <c r="Q31" s="210" t="e">
        <f>COUNTIFS(Folha11_Table1[idade],"&gt;17",Folha11_Table1[idade],"&lt;25",Folha11_Table1[sexo],"M",#REF!,"Reabilitacao Nutricional",#REF!,"X")</f>
        <v>#REF!</v>
      </c>
      <c r="R31" s="209" t="e">
        <f>COUNTIFS(Folha11_Table1[idade],"&gt;24",Folha11_Table1[sexo],"M",#REF!,"Reabilitacao Nutricional",#REF!,"X")</f>
        <v>#REF!</v>
      </c>
      <c r="S31" s="77" t="e">
        <f t="shared" si="7"/>
        <v>#REF!</v>
      </c>
      <c r="T31" s="185" t="e">
        <f t="shared" si="8"/>
        <v>#REF!</v>
      </c>
      <c r="U31" s="87" t="e">
        <f t="shared" si="9"/>
        <v>#REF!</v>
      </c>
    </row>
    <row r="32" spans="2:24" s="120" customFormat="1" ht="106.9" customHeight="1" x14ac:dyDescent="0.45">
      <c r="B32" s="437"/>
      <c r="C32" s="468" t="s">
        <v>204</v>
      </c>
      <c r="D32" s="469"/>
      <c r="E32" s="209" t="e">
        <f>COUNTIFS(Folha11_Table1[idade],"0",Folha11_Table1[sexo],"F",#REF!,"Testagem e aconselhamento para HIV",#REF!,"X")</f>
        <v>#REF!</v>
      </c>
      <c r="F32" s="210" t="e">
        <f>COUNTIFS(Folha11_Table1[idade],"&gt;0",Folha11_Table1[idade],"&lt;5",Folha11_Table1[sexo],"F",#REF!,"estagem e aconselhamento para HIV",#REF!,"X")</f>
        <v>#REF!</v>
      </c>
      <c r="G32" s="210" t="e">
        <f>COUNTIFS(Folha11_Table1[idade],"&gt;4",Folha11_Table1[idade],"&lt;10",Folha11_Table1[sexo],"F",#REF!,"estagem e aconselhamento para HIV",#REF!,"X")</f>
        <v>#REF!</v>
      </c>
      <c r="H32" s="210" t="e">
        <f>COUNTIFS(Folha11_Table1[idade],"&gt;9",Folha11_Table1[idade],"&lt;15",Folha11_Table1[sexo],"F",#REF!,"estagem e aconselhamento para HIV",#REF!,"X")</f>
        <v>#REF!</v>
      </c>
      <c r="I32" s="210" t="e">
        <f>COUNTIFS(Folha11_Table1[idade],"&gt;14",Folha11_Table1[idade],"&lt;18",Folha11_Table1[sexo],"F",#REF!,"estagem e aconselhamento para HIV",#REF!,"X")</f>
        <v>#REF!</v>
      </c>
      <c r="J32" s="210" t="e">
        <f>COUNTIFS(Folha11_Table1[idade],"&gt;17",Folha11_Table1[idade],"&lt;25",Folha11_Table1[sexo],"F",#REF!,"estagem e aconselhamento para HIV",#REF!,"X")</f>
        <v>#REF!</v>
      </c>
      <c r="K32" s="209" t="e">
        <f>COUNTIFS(Folha11_Table1[idade],"&gt;24",Folha11_Table1[sexo],"F",#REF!,"estagem e aconselhamento para HIV",#REF!,"X")</f>
        <v>#REF!</v>
      </c>
      <c r="L32" s="209" t="e">
        <f>COUNTIFS(Folha11_Table1[idade],"0",Folha11_Table1[sexo],"M",#REF!,"Testagem e aconselhamento para HIV",#REF!,"X")</f>
        <v>#REF!</v>
      </c>
      <c r="M32" s="210" t="e">
        <f>COUNTIFS(Folha11_Table1[idade],"&gt;0",Folha11_Table1[idade],"&lt;5",Folha11_Table1[sexo],"M",#REF!,"estagem e aconselhamento para HIV",#REF!,"X")</f>
        <v>#REF!</v>
      </c>
      <c r="N32" s="210" t="e">
        <f>COUNTIFS(Folha11_Table1[idade],"&gt;4",Folha11_Table1[idade],"&lt;10",Folha11_Table1[sexo],"M",#REF!,"estagem e aconselhamento para HIV",#REF!,"X")</f>
        <v>#REF!</v>
      </c>
      <c r="O32" s="210" t="e">
        <f>COUNTIFS(Folha11_Table1[idade],"&gt;9",Folha11_Table1[idade],"&lt;15",Folha11_Table1[sexo],"M",#REF!,"estagem e aconselhamento para HIV",#REF!,"X")</f>
        <v>#REF!</v>
      </c>
      <c r="P32" s="210" t="e">
        <f>COUNTIFS(Folha11_Table1[idade],"&gt;14",Folha11_Table1[idade],"&lt;18",Folha11_Table1[sexo],"M",#REF!,"estagem e aconselhamento para HIV",#REF!,"X")</f>
        <v>#REF!</v>
      </c>
      <c r="Q32" s="210" t="e">
        <f>COUNTIFS(Folha11_Table1[idade],"&gt;17",Folha11_Table1[idade],"&lt;25",Folha11_Table1[sexo],"M",#REF!,"estagem e aconselhamento para HIV",#REF!,"X")</f>
        <v>#REF!</v>
      </c>
      <c r="R32" s="209" t="e">
        <f>COUNTIFS(Folha11_Table1[idade],"&gt;24",Folha11_Table1[sexo],"M",#REF!,"estagem e aconselhamento para HIV",#REF!,"X")</f>
        <v>#REF!</v>
      </c>
      <c r="S32" s="77" t="e">
        <f t="shared" si="7"/>
        <v>#REF!</v>
      </c>
      <c r="T32" s="185" t="e">
        <f t="shared" si="8"/>
        <v>#REF!</v>
      </c>
      <c r="U32" s="87" t="e">
        <f t="shared" si="9"/>
        <v>#REF!</v>
      </c>
    </row>
    <row r="33" spans="2:21" s="120" customFormat="1" ht="106.9" customHeight="1" x14ac:dyDescent="0.45">
      <c r="B33" s="437"/>
      <c r="C33" s="468" t="s">
        <v>205</v>
      </c>
      <c r="D33" s="469"/>
      <c r="E33" s="209" t="e">
        <f>COUNTIFS(Folha11_Table1[idade],"0",Folha11_Table1[sexo],"F",#REF!,"Reiniciar o TARV",#REF!,"X")</f>
        <v>#REF!</v>
      </c>
      <c r="F33" s="210" t="e">
        <f>COUNTIFS(Folha11_Table1[idade],"&gt;0",Folha11_Table1[idade],"&lt;5",Folha11_Table1[sexo],"F",#REF!,"Reiniciar o TARV",#REF!,"X")</f>
        <v>#REF!</v>
      </c>
      <c r="G33" s="210" t="e">
        <f>COUNTIFS(Folha11_Table1[idade],"&gt;4",Folha11_Table1[idade],"&lt;10",Folha11_Table1[sexo],"F",#REF!,"Reiniciar o TARV",#REF!,"X")</f>
        <v>#REF!</v>
      </c>
      <c r="H33" s="210" t="e">
        <f>COUNTIFS(Folha11_Table1[idade],"&gt;9",Folha11_Table1[idade],"&lt;15",Folha11_Table1[sexo],"F",#REF!,"Reiniciar o TARV",#REF!,"X")</f>
        <v>#REF!</v>
      </c>
      <c r="I33" s="210" t="e">
        <f>COUNTIFS(Folha11_Table1[idade],"&gt;14",Folha11_Table1[idade],"&lt;18",Folha11_Table1[sexo],"F",#REF!,"Reiniciar o TARV",#REF!,"X")</f>
        <v>#REF!</v>
      </c>
      <c r="J33" s="210" t="e">
        <f>COUNTIFS(Folha11_Table1[idade],"&gt;17",Folha11_Table1[idade],"&lt;25",Folha11_Table1[sexo],"F",#REF!,"Reiniciar o TARV",#REF!,"X")</f>
        <v>#REF!</v>
      </c>
      <c r="K33" s="209" t="e">
        <f>COUNTIFS(Folha11_Table1[idade],"&gt;24",Folha11_Table1[sexo],"F",#REF!,"Reiniciar o TARV",#REF!,"X")</f>
        <v>#REF!</v>
      </c>
      <c r="L33" s="209" t="e">
        <f>COUNTIFS(Folha11_Table1[idade],"0",Folha11_Table1[sexo],"M",#REF!,"Reiniciar o TARV",#REF!,"X")</f>
        <v>#REF!</v>
      </c>
      <c r="M33" s="210" t="e">
        <f>COUNTIFS(Folha11_Table1[idade],"&gt;0",Folha11_Table1[idade],"&lt;5",Folha11_Table1[sexo],"M",#REF!,"Reiniciar o TARV",#REF!,"X")</f>
        <v>#REF!</v>
      </c>
      <c r="N33" s="210" t="e">
        <f>COUNTIFS(Folha11_Table1[idade],"&gt;4",Folha11_Table1[idade],"&lt;10",Folha11_Table1[sexo],"M",#REF!,"Reiniciar o TARV",#REF!,"X")</f>
        <v>#REF!</v>
      </c>
      <c r="O33" s="210" t="e">
        <f>COUNTIFS(Folha11_Table1[idade],"&gt;9",Folha11_Table1[idade],"&lt;15",Folha11_Table1[sexo],"M",#REF!,"Reiniciar o TARV",#REF!,"X")</f>
        <v>#REF!</v>
      </c>
      <c r="P33" s="210" t="e">
        <f>COUNTIFS(Folha11_Table1[idade],"&gt;14",Folha11_Table1[idade],"&lt;18",Folha11_Table1[sexo],"M",#REF!,"Reiniciar o TARV",#REF!,"X")</f>
        <v>#REF!</v>
      </c>
      <c r="Q33" s="210" t="e">
        <f>COUNTIFS(Folha11_Table1[idade],"&gt;17",Folha11_Table1[idade],"&lt;25",Folha11_Table1[sexo],"M",#REF!,"Reiniciar o TARV",#REF!,"X")</f>
        <v>#REF!</v>
      </c>
      <c r="R33" s="209" t="e">
        <f>COUNTIFS(Folha11_Table1[idade],"&gt;24",Folha11_Table1[sexo],"M",#REF!,"Reiniciar o TARV",#REF!,"X")</f>
        <v>#REF!</v>
      </c>
      <c r="S33" s="77" t="e">
        <f t="shared" si="7"/>
        <v>#REF!</v>
      </c>
      <c r="T33" s="185" t="e">
        <f t="shared" si="8"/>
        <v>#REF!</v>
      </c>
      <c r="U33" s="87" t="e">
        <f t="shared" si="9"/>
        <v>#REF!</v>
      </c>
    </row>
    <row r="34" spans="2:21" s="120" customFormat="1" ht="106.9" customHeight="1" x14ac:dyDescent="0.45">
      <c r="B34" s="437"/>
      <c r="C34" s="468" t="s">
        <v>206</v>
      </c>
      <c r="D34" s="469"/>
      <c r="E34" s="209" t="e">
        <f>COUNTIFS(Folha11_Table1[idade],"0",Folha11_Table1[sexo],"F",#REF!,"Intervencoes pos Violacao (VBG)",#REF!,"X")</f>
        <v>#REF!</v>
      </c>
      <c r="F34" s="210" t="e">
        <f>COUNTIFS(Folha11_Table1[idade],"&gt;0",Folha11_Table1[idade],"&lt;5",Folha11_Table1[sexo],"F",#REF!,"Intervencoes pos Violacao (VBG)",#REF!,"X")</f>
        <v>#REF!</v>
      </c>
      <c r="G34" s="211" t="e">
        <f>COUNTIFS(Folha11_Table1[idade],"&gt;4",Folha11_Table1[idade],"&lt;10",Folha11_Table1[sexo],"F",#REF!,"Intervencoes pos Violacao (VBG)",#REF!,"X")</f>
        <v>#REF!</v>
      </c>
      <c r="H34" s="212" t="e">
        <f>COUNTIFS(Folha11_Table1[idade],"&gt;9",Folha11_Table1[idade],"&lt;15",Folha11_Table1[sexo],"F",#REF!,"Intervencoes pos Violacao (VBG)",#REF!,"X")</f>
        <v>#REF!</v>
      </c>
      <c r="I34" s="213" t="e">
        <f>COUNTIFS(Folha11_Table1[idade],"&gt;14",Folha11_Table1[idade],"&lt;18",Folha11_Table1[sexo],"F",#REF!,"Intervencoes pos Violacao (VBG)",#REF!,"X")</f>
        <v>#REF!</v>
      </c>
      <c r="J34" s="212" t="e">
        <f>COUNTIFS(Folha11_Table1[idade],"&gt;17",Folha11_Table1[idade],"&lt;25",Folha11_Table1[sexo],"F",#REF!,"Intervencoes pos Violacao (VBG)",#REF!,"X")</f>
        <v>#REF!</v>
      </c>
      <c r="K34" s="214" t="e">
        <f>COUNTIFS(Folha11_Table1[idade],"&gt;=25",Folha11_Table1[sexo],"F",#REF!,"Intervencoes pos Violacao (VBG)",#REF!,"X")</f>
        <v>#REF!</v>
      </c>
      <c r="L34" s="85" t="e">
        <f>COUNTIFS(Folha11_Table1[idade],"0",Folha11_Table1[sexo],"M",#REF!,"Intervencoes pos Violacao (VBG)",#REF!,"X")</f>
        <v>#REF!</v>
      </c>
      <c r="M34" s="215" t="e">
        <f>COUNTIFS(Folha11_Table1[idade],"&gt;0",Folha11_Table1[idade],"&lt;5",Folha11_Table1[sexo],"M",#REF!,"Intervencoes pos Violacao (VBG)",#REF!,"X")</f>
        <v>#REF!</v>
      </c>
      <c r="N34" s="210" t="e">
        <f>COUNTIFS(Folha11_Table1[idade],"&gt;4",Folha11_Table1[idade],"&lt;10",Folha11_Table1[sexo],"M",#REF!,"ntervencoes pos Violacao (VBG)",#REF!,"X")</f>
        <v>#REF!</v>
      </c>
      <c r="O34" s="211" t="e">
        <f>COUNTIFS(Folha11_Table1[idade],"&gt;9",Folha11_Table1[idade],"&lt;15",Folha11_Table1[sexo],"M",#REF!,"Intervencoes pos Violacao (VBG)",#REF!,"X")</f>
        <v>#REF!</v>
      </c>
      <c r="P34" s="212" t="e">
        <f>COUNTIFS(Folha11_Table1[idade],"&gt;14",Folha11_Table1[idade],"&lt;18",Folha11_Table1[sexo],"M",#REF!,"Intervencoes pos Violacao (VBG)",#REF!,"X")</f>
        <v>#REF!</v>
      </c>
      <c r="Q34" s="213" t="e">
        <f>COUNTIFS(Folha11_Table1[idade],"&gt;17",Folha11_Table1[idade],"&lt;25",Folha11_Table1[sexo],"M",#REF!,"Intervencoes pos Violacao (VBG)",#REF!,"X")</f>
        <v>#REF!</v>
      </c>
      <c r="R34" s="216" t="e">
        <f>COUNTIFS(Folha11_Table1[idade],"&gt;=25",Folha11_Table1[sexo],"M",#REF!," Intervencoes pos Violacao (VBG)",#REF!,"X")</f>
        <v>#REF!</v>
      </c>
      <c r="S34" s="77" t="e">
        <f t="shared" si="7"/>
        <v>#REF!</v>
      </c>
      <c r="T34" s="185" t="e">
        <f t="shared" si="8"/>
        <v>#REF!</v>
      </c>
      <c r="U34" s="87" t="e">
        <f t="shared" si="9"/>
        <v>#REF!</v>
      </c>
    </row>
    <row r="35" spans="2:21" s="120" customFormat="1" ht="106.9" customHeight="1" x14ac:dyDescent="0.45">
      <c r="B35" s="437"/>
      <c r="C35" s="468" t="s">
        <v>207</v>
      </c>
      <c r="D35" s="469"/>
      <c r="E35" s="209" t="e">
        <f>COUNTIFS(Folha11_Table1[idade],"0",Folha11_Table1[sexo],"F",#REF!,"Planeamento Familiar (PF)",#REF!,"X")</f>
        <v>#REF!</v>
      </c>
      <c r="F35" s="210" t="e">
        <f>COUNTIFS(Folha11_Table1[idade],"&gt;0",Folha11_Table1[idade],"&lt;5",Folha11_Table1[sexo],"F",#REF!,"Planeamento Familiar (PF)",#REF!,"X")</f>
        <v>#REF!</v>
      </c>
      <c r="G35" s="211" t="e">
        <f>COUNTIFS(Folha11_Table1[idade],"&gt;4",Folha11_Table1[idade],"&lt;10",Folha11_Table1[sexo],"F",#REF!,"Planeamento Familiar (PF)",#REF!,"X")</f>
        <v>#REF!</v>
      </c>
      <c r="H35" s="212" t="e">
        <f>COUNTIFS(Folha11_Table1[idade],"&gt;9",Folha11_Table1[idade],"&lt;15",Folha11_Table1[sexo],"F",#REF!,"Planeamento Familiar (PF)",#REF!,"X")</f>
        <v>#REF!</v>
      </c>
      <c r="I35" s="213" t="e">
        <f>COUNTIFS(Folha11_Table1[idade],"&gt;14",Folha11_Table1[idade],"&lt;18",Folha11_Table1[sexo],"F",#REF!,"Planeamento Familiar (PF)",#REF!,"X")</f>
        <v>#REF!</v>
      </c>
      <c r="J35" s="212" t="e">
        <f>COUNTIFS(Folha11_Table1[idade],"&gt;17",Folha11_Table1[idade],"&lt;25",Folha11_Table1[sexo],"F",#REF!,"Planeamento Familiar (PF)",#REF!,"X")</f>
        <v>#REF!</v>
      </c>
      <c r="K35" s="214" t="e">
        <f>COUNTIFS(Folha11_Table1[idade],"&gt;=25",Folha11_Table1[sexo],"F",#REF!,"Planeamento Familiar (PF)",#REF!,"X")</f>
        <v>#REF!</v>
      </c>
      <c r="L35" s="209" t="e">
        <f>COUNTIFS(Folha11_Table1[idade],"0",Folha11_Table1[sexo],"M",#REF!,"Planeamento Familiar (PF)",#REF!,"X")</f>
        <v>#REF!</v>
      </c>
      <c r="M35" s="210" t="e">
        <f>COUNTIFS(Folha11_Table1[idade],"&gt;0",Folha11_Table1[idade],"&lt;5",Folha11_Table1[sexo],"M",#REF!,"Planeamento Familiar (PF)",#REF!,"X")</f>
        <v>#REF!</v>
      </c>
      <c r="N35" s="211" t="e">
        <f>COUNTIFS(Folha11_Table1[idade],"&gt;4",Folha11_Table1[idade],"&lt;10",Folha11_Table1[sexo],"M",#REF!,"Planeamento Familiar (PF)",#REF!,"X")</f>
        <v>#REF!</v>
      </c>
      <c r="O35" s="212" t="e">
        <f>COUNTIFS(Folha11_Table1[idade],"&gt;9",Folha11_Table1[idade],"&lt;15",Folha11_Table1[sexo],"M",#REF!,"Planeamento Familiar (PF)",#REF!,"X")</f>
        <v>#REF!</v>
      </c>
      <c r="P35" s="213" t="e">
        <f>COUNTIFS(Folha11_Table1[idade],"&gt;14",Folha11_Table1[idade],"&lt;18",Folha11_Table1[sexo],"M",#REF!,"Planeamento Familiar (PF)",#REF!,"X")</f>
        <v>#REF!</v>
      </c>
      <c r="Q35" s="212" t="e">
        <f>COUNTIFS(Folha11_Table1[idade],"&gt;17",Folha11_Table1[idade],"&lt;25",Folha11_Table1[sexo],"M",#REF!,"Planeamento Familiar (PF)",#REF!,"X")</f>
        <v>#REF!</v>
      </c>
      <c r="R35" s="214" t="e">
        <f>COUNTIFS(Folha11_Table1[idade],"&gt;=25",Folha11_Table1[sexo],"M",#REF!,"Planeamento Familiar (PF)",#REF!,"X")</f>
        <v>#REF!</v>
      </c>
      <c r="S35" s="77" t="e">
        <f t="shared" si="7"/>
        <v>#REF!</v>
      </c>
      <c r="T35" s="185" t="e">
        <f t="shared" si="8"/>
        <v>#REF!</v>
      </c>
      <c r="U35" s="87" t="e">
        <f t="shared" si="9"/>
        <v>#REF!</v>
      </c>
    </row>
    <row r="36" spans="2:21" s="120" customFormat="1" ht="106.9" customHeight="1" x14ac:dyDescent="0.45">
      <c r="B36" s="437"/>
      <c r="C36" s="468" t="s">
        <v>208</v>
      </c>
      <c r="D36" s="469"/>
      <c r="E36" s="209" t="e">
        <f>COUNTIFS(Folha11_Table1[idade],"0",Folha11_Table1[sexo],"F",#REF!,"Integracao escolar e Vocacional",#REF!,"X")</f>
        <v>#REF!</v>
      </c>
      <c r="F36" s="210" t="e">
        <f>COUNTIFS(Folha11_Table1[idade],"&gt;0",Folha11_Table1[idade],"&lt;5",Folha11_Table1[sexo],"F",#REF!,"Integracao escolar e Vocacional",#REF!,"X")</f>
        <v>#REF!</v>
      </c>
      <c r="G36" s="211" t="e">
        <f>COUNTIFS(Folha11_Table1[idade],"&gt;4",Folha11_Table1[idade],"&lt;10",Folha11_Table1[sexo],"F",#REF!,"Integracao escolar e Vocacional",#REF!,"X")</f>
        <v>#REF!</v>
      </c>
      <c r="H36" s="212" t="e">
        <f>COUNTIFS(Folha11_Table1[idade],"&gt;9",Folha11_Table1[idade],"&lt;15",Folha11_Table1[sexo],"F",#REF!,"Integracao escolar e Vocacional",#REF!,"X")</f>
        <v>#REF!</v>
      </c>
      <c r="I36" s="213" t="e">
        <f>COUNTIFS(Folha11_Table1[idade],"&gt;14",Folha11_Table1[idade],"&lt;18",Folha11_Table1[sexo],"F",#REF!,"Integracao escolar e Vocacional",#REF!,"X")</f>
        <v>#REF!</v>
      </c>
      <c r="J36" s="212" t="e">
        <f>COUNTIFS(Folha11_Table1[idade],"&gt;17",Folha11_Table1[idade],"&lt;25",Folha11_Table1[sexo],"F",#REF!,"Integracao escolar e Vocacional",#REF!,"X")</f>
        <v>#REF!</v>
      </c>
      <c r="K36" s="214" t="e">
        <f>COUNTIFS(Folha11_Table1[idade],"&gt;=25",Folha11_Table1[sexo],"F",#REF!,"Integracao escolar e Vocacional",#REF!,"X")</f>
        <v>#REF!</v>
      </c>
      <c r="L36" s="85" t="e">
        <f>COUNTIFS(Folha11_Table1[idade],"0",Folha11_Table1[sexo],"M",#REF!,"Integracao escolar e Vocacional",#REF!,"X")</f>
        <v>#REF!</v>
      </c>
      <c r="M36" s="215" t="e">
        <f>COUNTIFS(Folha11_Table1[idade],"&gt;0",Folha11_Table1[idade],"&lt;5",Folha11_Table1[sexo],"M",#REF!,"Integracao escolar e Vocacional",#REF!,"X")</f>
        <v>#REF!</v>
      </c>
      <c r="N36" s="210" t="e">
        <f>COUNTIFS(Folha11_Table1[idade],"&gt;4",Folha11_Table1[idade],"&lt;10",Folha11_Table1[sexo],"M",#REF!,"Integracao escolar e Vocacional",#REF!,"X")</f>
        <v>#REF!</v>
      </c>
      <c r="O36" s="211" t="e">
        <f>COUNTIFS(Folha11_Table1[idade],"&gt;9",Folha11_Table1[idade],"&lt;15",Folha11_Table1[sexo],"M",#REF!,"Integracao escolar e Vocacional",#REF!,"X")</f>
        <v>#REF!</v>
      </c>
      <c r="P36" s="212" t="e">
        <f>COUNTIFS(Folha11_Table1[idade],"&gt;14",Folha11_Table1[idade],"&lt;18",Folha11_Table1[sexo],"M",#REF!,"Integracao escolar e Vocacional",#REF!,"X")</f>
        <v>#REF!</v>
      </c>
      <c r="Q36" s="213" t="e">
        <f>COUNTIFS(Folha11_Table1[idade],"&gt;17",Folha11_Table1[idade],"&lt;25",Folha11_Table1[sexo],"M",#REF!,"Integracao escolar e Vocacional",#REF!,"X")</f>
        <v>#REF!</v>
      </c>
      <c r="R36" s="216" t="e">
        <f>COUNTIFS(Folha11_Table1[idade],"&gt;=25",Folha11_Table1[sexo],"M",#REF!,"Integracao escolar e Vocacional",#REF!,"X")</f>
        <v>#REF!</v>
      </c>
      <c r="S36" s="77" t="e">
        <f t="shared" si="7"/>
        <v>#REF!</v>
      </c>
      <c r="T36" s="185" t="e">
        <f t="shared" si="8"/>
        <v>#REF!</v>
      </c>
      <c r="U36" s="87" t="e">
        <f t="shared" si="9"/>
        <v>#REF!</v>
      </c>
    </row>
    <row r="37" spans="2:21" s="120" customFormat="1" ht="106.9" customHeight="1" thickBot="1" x14ac:dyDescent="0.5">
      <c r="B37" s="438"/>
      <c r="C37" s="470" t="s">
        <v>209</v>
      </c>
      <c r="D37" s="471"/>
      <c r="E37" s="209" t="e">
        <f>COUNTIFS(Folha11_Table1[idade],"0",Folha11_Table1[sexo],"F",#REF!,"Apoio Legal",#REF!,"X")</f>
        <v>#REF!</v>
      </c>
      <c r="F37" s="210" t="e">
        <f>COUNTIFS(Folha11_Table1[idade],"&gt;0",Folha11_Table1[idade],"&lt;5",Folha11_Table1[sexo],"F",#REF!,"Apoio Legal",#REF!,"X")</f>
        <v>#REF!</v>
      </c>
      <c r="G37" s="211" t="e">
        <f>COUNTIFS(Folha11_Table1[idade],"&gt;4",Folha11_Table1[idade],"&lt;10",Folha11_Table1[sexo],"F",#REF!,"Apoio Legal",#REF!,"X")</f>
        <v>#REF!</v>
      </c>
      <c r="H37" s="212" t="e">
        <f>COUNTIFS(Folha11_Table1[idade],"&gt;9",Folha11_Table1[idade],"&lt;15",Folha11_Table1[sexo],"F",#REF!,"Apoio Legal",#REF!,"X")</f>
        <v>#REF!</v>
      </c>
      <c r="I37" s="213" t="e">
        <f>COUNTIFS(Folha11_Table1[idade],"&gt;14",Folha11_Table1[idade],"&lt;18",Folha11_Table1[sexo],"F",#REF!,"Apoio Legal",#REF!,"X")</f>
        <v>#REF!</v>
      </c>
      <c r="J37" s="212" t="e">
        <f>COUNTIFS(Folha11_Table1[idade],"&gt;17",Folha11_Table1[idade],"&lt;25",Folha11_Table1[sexo],"F",#REF!,"Apoio Legal",#REF!,"X")</f>
        <v>#REF!</v>
      </c>
      <c r="K37" s="214" t="e">
        <f>COUNTIFS(Folha11_Table1[idade],"&gt;=25",Folha11_Table1[sexo],"F",#REF!,"Apoio Legal",#REF!,"X")</f>
        <v>#REF!</v>
      </c>
      <c r="L37" s="85" t="e">
        <f>COUNTIFS(Folha11_Table1[idade],"0",Folha11_Table1[sexo],"M",#REF!,"Apoio Legal",#REF!,"X")</f>
        <v>#REF!</v>
      </c>
      <c r="M37" s="215" t="e">
        <f>COUNTIFS(Folha11_Table1[idade],"&gt;0",Folha11_Table1[idade],"&lt;5",Folha11_Table1[sexo],"M",#REF!,"Apoio Legal",#REF!,"X")</f>
        <v>#REF!</v>
      </c>
      <c r="N37" s="210" t="e">
        <f>COUNTIFS(Folha11_Table1[idade],"&gt;4",Folha11_Table1[idade],"&lt;10",Folha11_Table1[sexo],"M",#REF!,"Apoio Legal",#REF!,"X")</f>
        <v>#REF!</v>
      </c>
      <c r="O37" s="211" t="e">
        <f>COUNTIFS(Folha11_Table1[idade],"&gt;9",Folha11_Table1[idade],"&lt;15",Folha11_Table1[sexo],"M",#REF!,"Apoio Legal",#REF!,"X")</f>
        <v>#REF!</v>
      </c>
      <c r="P37" s="212" t="e">
        <f>COUNTIFS(Folha11_Table1[idade],"&gt;14",Folha11_Table1[idade],"&lt;18",Folha11_Table1[sexo],"M",#REF!,"Apoio Legal",#REF!,"X")</f>
        <v>#REF!</v>
      </c>
      <c r="Q37" s="213" t="e">
        <f>COUNTIFS(Folha11_Table1[idade],"&gt;17",Folha11_Table1[idade],"&lt;25",Folha11_Table1[sexo],"M",#REF!,"Apoio Legal",#REF!,"X")</f>
        <v>#REF!</v>
      </c>
      <c r="R37" s="216" t="e">
        <f>COUNTIFS(Folha11_Table1[idade],"&gt;=25",Folha11_Table1[sexo],"M",#REF!,"Apoio Legal",#REF!,"X")</f>
        <v>#REF!</v>
      </c>
      <c r="S37" s="77" t="e">
        <f t="shared" si="7"/>
        <v>#REF!</v>
      </c>
      <c r="T37" s="185" t="e">
        <f t="shared" si="8"/>
        <v>#REF!</v>
      </c>
      <c r="U37" s="87" t="e">
        <f t="shared" si="9"/>
        <v>#REF!</v>
      </c>
    </row>
    <row r="38" spans="2:21" s="17" customFormat="1" ht="65.25" customHeight="1" thickTop="1" x14ac:dyDescent="0.65">
      <c r="B38" s="413" t="s">
        <v>164</v>
      </c>
      <c r="C38" s="449" t="s">
        <v>165</v>
      </c>
      <c r="D38" s="415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67" t="s">
        <v>168</v>
      </c>
      <c r="T38" s="419"/>
      <c r="U38" s="420" t="s">
        <v>169</v>
      </c>
    </row>
    <row r="39" spans="2:21" s="17" customFormat="1" ht="47.25" customHeight="1" thickBot="1" x14ac:dyDescent="0.7">
      <c r="B39" s="416"/>
      <c r="C39" s="434"/>
      <c r="D39" s="417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21"/>
    </row>
    <row r="40" spans="2:21" s="44" customFormat="1" ht="51" customHeight="1" thickTop="1" thickBot="1" x14ac:dyDescent="0.5">
      <c r="B40" s="456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212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213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214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57"/>
      <c r="C44" s="463" t="s">
        <v>215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216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164</v>
      </c>
      <c r="C46" s="449" t="s">
        <v>165</v>
      </c>
      <c r="D46" s="415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18" t="s">
        <v>168</v>
      </c>
      <c r="T46" s="419"/>
      <c r="U46" s="420" t="s">
        <v>169</v>
      </c>
    </row>
    <row r="47" spans="2:21" s="17" customFormat="1" ht="49.15" customHeight="1" thickBot="1" x14ac:dyDescent="0.7">
      <c r="B47" s="416"/>
      <c r="C47" s="434"/>
      <c r="D47" s="417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21"/>
    </row>
    <row r="48" spans="2:21" s="17" customFormat="1" ht="49.15" customHeight="1" thickTop="1" thickBot="1" x14ac:dyDescent="0.7">
      <c r="B48" s="436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243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37"/>
      <c r="C50" s="425" t="s">
        <v>244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37"/>
      <c r="C51" s="452" t="s">
        <v>245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246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219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247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248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249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164</v>
      </c>
      <c r="C57" s="432" t="s">
        <v>165</v>
      </c>
      <c r="D57" s="433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18" t="s">
        <v>168</v>
      </c>
      <c r="T57" s="419"/>
      <c r="U57" s="435" t="s">
        <v>169</v>
      </c>
    </row>
    <row r="58" spans="2:21" s="17" customFormat="1" ht="61.15" customHeight="1" thickBot="1" x14ac:dyDescent="0.7">
      <c r="B58" s="416"/>
      <c r="C58" s="434"/>
      <c r="D58" s="417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21"/>
    </row>
    <row r="59" spans="2:21" s="17" customFormat="1" ht="61.15" customHeight="1" thickTop="1" thickBot="1" x14ac:dyDescent="0.7">
      <c r="B59" s="436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250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223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225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227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228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251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230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252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231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164</v>
      </c>
      <c r="C73" s="413" t="s">
        <v>165</v>
      </c>
      <c r="D73" s="415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18" t="s">
        <v>168</v>
      </c>
      <c r="T73" s="419"/>
      <c r="U73" s="420" t="s">
        <v>169</v>
      </c>
    </row>
    <row r="74" spans="2:21" s="17" customFormat="1" ht="62.45" customHeight="1" thickBot="1" x14ac:dyDescent="0.7">
      <c r="B74" s="414"/>
      <c r="C74" s="416"/>
      <c r="D74" s="417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21"/>
    </row>
    <row r="75" spans="2:21" s="17" customFormat="1" ht="62.45" customHeight="1" thickTop="1" thickBot="1" x14ac:dyDescent="0.7">
      <c r="B75" s="422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238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239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240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241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