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eLivro" defaultThemeVersion="164011"/>
  <mc:AlternateContent xmlns:mc="http://schemas.openxmlformats.org/markup-compatibility/2006">
    <mc:Choice Requires="x15">
      <x15ac:absPath xmlns:x15ac="http://schemas.microsoft.com/office/spreadsheetml/2010/11/ac" url="C:\xampp\htdocs\WEI\relatorios\Ubeba\Mensal\Dezembro\"/>
    </mc:Choice>
  </mc:AlternateContent>
  <bookViews>
    <workbookView xWindow="0" yWindow="0" windowWidth="19200" windowHeight="7050" activeTab="6"/>
  </bookViews>
  <sheets>
    <sheet name="reg_ben" sheetId="17" r:id="rId1"/>
    <sheet name="presenca" sheetId="23" r:id="rId2"/>
    <sheet name="gestao_crcr" sheetId="26" r:id="rId3"/>
    <sheet name="servicos_bross" sheetId="27" r:id="rId4"/>
    <sheet name="mac" sheetId="28" r:id="rId5"/>
    <sheet name="planoacao" sheetId="29" r:id="rId6"/>
    <sheet name="lista_covs" sheetId="16" r:id="rId7"/>
    <sheet name="Relatorio_Mensal" sheetId="5" r:id="rId8"/>
    <sheet name="SaveToDB_Data" sheetId="18" state="veryHidden" r:id="rId9"/>
    <sheet name="SaveToDB_LoadedID" sheetId="19" state="veryHidden" r:id="rId10"/>
    <sheet name="SaveToDB_UpdatedID" sheetId="20" state="veryHidden" r:id="rId11"/>
    <sheet name="SaveToDB_Lists" sheetId="21" state="veryHidden" r:id="rId12"/>
  </sheets>
  <definedNames>
    <definedName name="_xlnm.Print_Area" localSheetId="2">gestao_crcr!$A$1:$R$10</definedName>
    <definedName name="_xlnm.Print_Area" localSheetId="6">lista_covs!$A$1:$AC$22</definedName>
    <definedName name="_xlnm.Print_Area" localSheetId="4">mac!$A$1:$BG$11</definedName>
    <definedName name="_xlnm.Print_Area" localSheetId="5">planoacao!$A$1:$AG$10</definedName>
    <definedName name="_xlnm.Print_Area" localSheetId="1">presenca!$A$1:$R$19</definedName>
    <definedName name="_xlnm.Print_Area" localSheetId="3">servicos_bross!$A$1:$Z$15</definedName>
    <definedName name="DadosExternos_1" localSheetId="2" hidden="1">gestao_crcr!$A$1:$R$10</definedName>
    <definedName name="DadosExternos_1" localSheetId="6" hidden="1">lista_covs!$A$1:$AC$22</definedName>
    <definedName name="DadosExternos_1" localSheetId="4" hidden="1">mac!$A$1:$BG$11</definedName>
    <definedName name="DadosExternos_1" localSheetId="5" hidden="1">planoacao!$A$1:$AG$10</definedName>
    <definedName name="DadosExternos_1" localSheetId="1" hidden="1">presenca!$A$1:$R$19</definedName>
    <definedName name="DadosExternos_1" localSheetId="0" hidden="1">reg_ben!$A$1:$BB$21</definedName>
    <definedName name="DadosExternos_1" localSheetId="3" hidden="1">servicos_bross!$A$1:$Z$15</definedName>
    <definedName name="DadosExternos_2" localSheetId="0" hidden="1">reg_ben!#REF!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81" i="5" l="1"/>
  <c r="Q81" i="5"/>
  <c r="P81" i="5"/>
  <c r="O81" i="5"/>
  <c r="N81" i="5"/>
  <c r="M81" i="5"/>
  <c r="L81" i="5"/>
  <c r="K81" i="5"/>
  <c r="J81" i="5"/>
  <c r="I81" i="5"/>
  <c r="H81" i="5"/>
  <c r="G81" i="5"/>
  <c r="T81" i="5" s="1"/>
  <c r="F81" i="5"/>
  <c r="E81" i="5"/>
  <c r="R80" i="5"/>
  <c r="Q80" i="5"/>
  <c r="P80" i="5"/>
  <c r="O80" i="5"/>
  <c r="N80" i="5"/>
  <c r="M80" i="5"/>
  <c r="S80" i="5" s="1"/>
  <c r="L80" i="5"/>
  <c r="K80" i="5"/>
  <c r="J80" i="5"/>
  <c r="I80" i="5"/>
  <c r="H80" i="5"/>
  <c r="G80" i="5"/>
  <c r="F80" i="5"/>
  <c r="E80" i="5"/>
  <c r="R79" i="5"/>
  <c r="Q79" i="5"/>
  <c r="P79" i="5"/>
  <c r="O79" i="5"/>
  <c r="N79" i="5"/>
  <c r="M79" i="5"/>
  <c r="L79" i="5"/>
  <c r="K79" i="5"/>
  <c r="J79" i="5"/>
  <c r="I79" i="5"/>
  <c r="H79" i="5"/>
  <c r="G79" i="5"/>
  <c r="T79" i="5" s="1"/>
  <c r="F79" i="5"/>
  <c r="E79" i="5"/>
  <c r="R78" i="5"/>
  <c r="Q78" i="5"/>
  <c r="P78" i="5"/>
  <c r="O78" i="5"/>
  <c r="N78" i="5"/>
  <c r="M78" i="5"/>
  <c r="L78" i="5"/>
  <c r="K78" i="5"/>
  <c r="J78" i="5"/>
  <c r="I78" i="5"/>
  <c r="H78" i="5"/>
  <c r="G78" i="5"/>
  <c r="F78" i="5"/>
  <c r="E78" i="5"/>
  <c r="R72" i="5"/>
  <c r="Q72" i="5"/>
  <c r="P72" i="5"/>
  <c r="O72" i="5"/>
  <c r="N72" i="5"/>
  <c r="M72" i="5"/>
  <c r="L72" i="5"/>
  <c r="K72" i="5"/>
  <c r="J72" i="5"/>
  <c r="I72" i="5"/>
  <c r="H72" i="5"/>
  <c r="G72" i="5"/>
  <c r="T72" i="5" s="1"/>
  <c r="F72" i="5"/>
  <c r="E72" i="5"/>
  <c r="R71" i="5"/>
  <c r="Q71" i="5"/>
  <c r="P71" i="5"/>
  <c r="O71" i="5"/>
  <c r="N71" i="5"/>
  <c r="M71" i="5"/>
  <c r="L71" i="5"/>
  <c r="K71" i="5"/>
  <c r="J71" i="5"/>
  <c r="I71" i="5"/>
  <c r="H71" i="5"/>
  <c r="G71" i="5"/>
  <c r="F71" i="5"/>
  <c r="E71" i="5"/>
  <c r="R70" i="5"/>
  <c r="Q70" i="5"/>
  <c r="P70" i="5"/>
  <c r="O70" i="5"/>
  <c r="N70" i="5"/>
  <c r="M70" i="5"/>
  <c r="L70" i="5"/>
  <c r="K70" i="5"/>
  <c r="J70" i="5"/>
  <c r="I70" i="5"/>
  <c r="H70" i="5"/>
  <c r="G70" i="5"/>
  <c r="T70" i="5" s="1"/>
  <c r="F70" i="5"/>
  <c r="E70" i="5"/>
  <c r="R68" i="5"/>
  <c r="Q68" i="5"/>
  <c r="P68" i="5"/>
  <c r="O68" i="5"/>
  <c r="N68" i="5"/>
  <c r="M68" i="5"/>
  <c r="L68" i="5"/>
  <c r="K68" i="5"/>
  <c r="J68" i="5"/>
  <c r="I68" i="5"/>
  <c r="H68" i="5"/>
  <c r="G68" i="5"/>
  <c r="F68" i="5"/>
  <c r="E68" i="5"/>
  <c r="R67" i="5"/>
  <c r="Q67" i="5"/>
  <c r="P67" i="5"/>
  <c r="O67" i="5"/>
  <c r="N67" i="5"/>
  <c r="M67" i="5"/>
  <c r="L67" i="5"/>
  <c r="K67" i="5"/>
  <c r="J67" i="5"/>
  <c r="I67" i="5"/>
  <c r="H67" i="5"/>
  <c r="G67" i="5"/>
  <c r="F67" i="5"/>
  <c r="E67" i="5"/>
  <c r="R66" i="5"/>
  <c r="Q66" i="5"/>
  <c r="P66" i="5"/>
  <c r="O66" i="5"/>
  <c r="N66" i="5"/>
  <c r="M66" i="5"/>
  <c r="L66" i="5"/>
  <c r="K66" i="5"/>
  <c r="J66" i="5"/>
  <c r="I66" i="5"/>
  <c r="H66" i="5"/>
  <c r="G66" i="5"/>
  <c r="F66" i="5"/>
  <c r="E66" i="5"/>
  <c r="R64" i="5"/>
  <c r="Q64" i="5"/>
  <c r="P64" i="5"/>
  <c r="O64" i="5"/>
  <c r="N64" i="5"/>
  <c r="M64" i="5"/>
  <c r="L64" i="5"/>
  <c r="K64" i="5"/>
  <c r="J64" i="5"/>
  <c r="I64" i="5"/>
  <c r="H64" i="5"/>
  <c r="G64" i="5"/>
  <c r="T64" i="5" s="1"/>
  <c r="F64" i="5"/>
  <c r="E64" i="5"/>
  <c r="R62" i="5"/>
  <c r="Q62" i="5"/>
  <c r="P62" i="5"/>
  <c r="O62" i="5"/>
  <c r="N62" i="5"/>
  <c r="M62" i="5"/>
  <c r="L62" i="5"/>
  <c r="K62" i="5"/>
  <c r="J62" i="5"/>
  <c r="I62" i="5"/>
  <c r="H62" i="5"/>
  <c r="G62" i="5"/>
  <c r="F62" i="5"/>
  <c r="E62" i="5"/>
  <c r="R61" i="5"/>
  <c r="Q61" i="5"/>
  <c r="P61" i="5"/>
  <c r="O61" i="5"/>
  <c r="N61" i="5"/>
  <c r="M61" i="5"/>
  <c r="L61" i="5"/>
  <c r="K61" i="5"/>
  <c r="J61" i="5"/>
  <c r="I61" i="5"/>
  <c r="H61" i="5"/>
  <c r="G61" i="5"/>
  <c r="T61" i="5" s="1"/>
  <c r="F61" i="5"/>
  <c r="E61" i="5"/>
  <c r="R56" i="5"/>
  <c r="Q56" i="5"/>
  <c r="P56" i="5"/>
  <c r="O56" i="5"/>
  <c r="N56" i="5"/>
  <c r="M56" i="5"/>
  <c r="L56" i="5"/>
  <c r="K56" i="5"/>
  <c r="J56" i="5"/>
  <c r="I56" i="5"/>
  <c r="H56" i="5"/>
  <c r="G56" i="5"/>
  <c r="F56" i="5"/>
  <c r="E56" i="5"/>
  <c r="R55" i="5"/>
  <c r="Q55" i="5"/>
  <c r="P55" i="5"/>
  <c r="O55" i="5"/>
  <c r="N55" i="5"/>
  <c r="M55" i="5"/>
  <c r="L55" i="5"/>
  <c r="K55" i="5"/>
  <c r="J55" i="5"/>
  <c r="I55" i="5"/>
  <c r="H55" i="5"/>
  <c r="G55" i="5"/>
  <c r="T55" i="5" s="1"/>
  <c r="F55" i="5"/>
  <c r="E55" i="5"/>
  <c r="R54" i="5"/>
  <c r="Q54" i="5"/>
  <c r="P54" i="5"/>
  <c r="O54" i="5"/>
  <c r="N54" i="5"/>
  <c r="M54" i="5"/>
  <c r="L54" i="5"/>
  <c r="K54" i="5"/>
  <c r="J54" i="5"/>
  <c r="I54" i="5"/>
  <c r="H54" i="5"/>
  <c r="G54" i="5"/>
  <c r="F54" i="5"/>
  <c r="E54" i="5"/>
  <c r="R53" i="5"/>
  <c r="Q53" i="5"/>
  <c r="P53" i="5"/>
  <c r="O53" i="5"/>
  <c r="N53" i="5"/>
  <c r="M53" i="5"/>
  <c r="L53" i="5"/>
  <c r="K53" i="5"/>
  <c r="J53" i="5"/>
  <c r="I53" i="5"/>
  <c r="H53" i="5"/>
  <c r="G53" i="5"/>
  <c r="T53" i="5" s="1"/>
  <c r="F53" i="5"/>
  <c r="E53" i="5"/>
  <c r="R52" i="5"/>
  <c r="Q52" i="5"/>
  <c r="P52" i="5"/>
  <c r="O52" i="5"/>
  <c r="N52" i="5"/>
  <c r="M52" i="5"/>
  <c r="L52" i="5"/>
  <c r="K52" i="5"/>
  <c r="J52" i="5"/>
  <c r="I52" i="5"/>
  <c r="H52" i="5"/>
  <c r="G52" i="5"/>
  <c r="F52" i="5"/>
  <c r="E52" i="5"/>
  <c r="R51" i="5"/>
  <c r="Q51" i="5"/>
  <c r="P51" i="5"/>
  <c r="O51" i="5"/>
  <c r="N51" i="5"/>
  <c r="M51" i="5"/>
  <c r="L51" i="5"/>
  <c r="K51" i="5"/>
  <c r="J51" i="5"/>
  <c r="I51" i="5"/>
  <c r="H51" i="5"/>
  <c r="G51" i="5"/>
  <c r="T51" i="5" s="1"/>
  <c r="F51" i="5"/>
  <c r="E51" i="5"/>
  <c r="R50" i="5"/>
  <c r="Q50" i="5"/>
  <c r="P50" i="5"/>
  <c r="O50" i="5"/>
  <c r="N50" i="5"/>
  <c r="M50" i="5"/>
  <c r="L50" i="5"/>
  <c r="K50" i="5"/>
  <c r="J50" i="5"/>
  <c r="I50" i="5"/>
  <c r="H50" i="5"/>
  <c r="G50" i="5"/>
  <c r="F50" i="5"/>
  <c r="E50" i="5"/>
  <c r="R49" i="5"/>
  <c r="Q49" i="5"/>
  <c r="P49" i="5"/>
  <c r="O49" i="5"/>
  <c r="N49" i="5"/>
  <c r="M49" i="5"/>
  <c r="L49" i="5"/>
  <c r="K49" i="5"/>
  <c r="J49" i="5"/>
  <c r="I49" i="5"/>
  <c r="H49" i="5"/>
  <c r="G49" i="5"/>
  <c r="T49" i="5" s="1"/>
  <c r="F49" i="5"/>
  <c r="E49" i="5"/>
  <c r="R45" i="5"/>
  <c r="Q45" i="5"/>
  <c r="P45" i="5"/>
  <c r="O45" i="5"/>
  <c r="N45" i="5"/>
  <c r="M45" i="5"/>
  <c r="L45" i="5"/>
  <c r="K45" i="5"/>
  <c r="J45" i="5"/>
  <c r="I45" i="5"/>
  <c r="H45" i="5"/>
  <c r="G45" i="5"/>
  <c r="F45" i="5"/>
  <c r="E45" i="5"/>
  <c r="R44" i="5"/>
  <c r="Q44" i="5"/>
  <c r="P44" i="5"/>
  <c r="O44" i="5"/>
  <c r="N44" i="5"/>
  <c r="M44" i="5"/>
  <c r="L44" i="5"/>
  <c r="K44" i="5"/>
  <c r="J44" i="5"/>
  <c r="I44" i="5"/>
  <c r="H44" i="5"/>
  <c r="G44" i="5"/>
  <c r="T44" i="5" s="1"/>
  <c r="F44" i="5"/>
  <c r="E44" i="5"/>
  <c r="R43" i="5"/>
  <c r="Q43" i="5"/>
  <c r="P43" i="5"/>
  <c r="O43" i="5"/>
  <c r="N43" i="5"/>
  <c r="M43" i="5"/>
  <c r="L43" i="5"/>
  <c r="K43" i="5"/>
  <c r="J43" i="5"/>
  <c r="I43" i="5"/>
  <c r="H43" i="5"/>
  <c r="G43" i="5"/>
  <c r="F43" i="5"/>
  <c r="E43" i="5"/>
  <c r="R42" i="5"/>
  <c r="Q42" i="5"/>
  <c r="P42" i="5"/>
  <c r="O42" i="5"/>
  <c r="N42" i="5"/>
  <c r="M42" i="5"/>
  <c r="L42" i="5"/>
  <c r="K42" i="5"/>
  <c r="J42" i="5"/>
  <c r="I42" i="5"/>
  <c r="H42" i="5"/>
  <c r="G42" i="5"/>
  <c r="T42" i="5" s="1"/>
  <c r="F42" i="5"/>
  <c r="E42" i="5"/>
  <c r="R41" i="5"/>
  <c r="Q41" i="5"/>
  <c r="P41" i="5"/>
  <c r="O41" i="5"/>
  <c r="N41" i="5"/>
  <c r="M41" i="5"/>
  <c r="L41" i="5"/>
  <c r="K41" i="5"/>
  <c r="J41" i="5"/>
  <c r="I41" i="5"/>
  <c r="H41" i="5"/>
  <c r="G41" i="5"/>
  <c r="F41" i="5"/>
  <c r="E41" i="5"/>
  <c r="R37" i="5"/>
  <c r="Q37" i="5"/>
  <c r="P37" i="5"/>
  <c r="O37" i="5"/>
  <c r="S37" i="5" s="1"/>
  <c r="N37" i="5"/>
  <c r="M37" i="5"/>
  <c r="L37" i="5"/>
  <c r="K37" i="5"/>
  <c r="J37" i="5"/>
  <c r="I37" i="5"/>
  <c r="H37" i="5"/>
  <c r="G37" i="5"/>
  <c r="F37" i="5"/>
  <c r="E37" i="5"/>
  <c r="R36" i="5"/>
  <c r="Q36" i="5"/>
  <c r="P36" i="5"/>
  <c r="O36" i="5"/>
  <c r="N36" i="5"/>
  <c r="M36" i="5"/>
  <c r="S36" i="5" s="1"/>
  <c r="L36" i="5"/>
  <c r="K36" i="5"/>
  <c r="J36" i="5"/>
  <c r="I36" i="5"/>
  <c r="H36" i="5"/>
  <c r="G36" i="5"/>
  <c r="F36" i="5"/>
  <c r="E36" i="5"/>
  <c r="R35" i="5"/>
  <c r="Q35" i="5"/>
  <c r="P35" i="5"/>
  <c r="O35" i="5"/>
  <c r="S35" i="5" s="1"/>
  <c r="N35" i="5"/>
  <c r="M35" i="5"/>
  <c r="L35" i="5"/>
  <c r="K35" i="5"/>
  <c r="J35" i="5"/>
  <c r="I35" i="5"/>
  <c r="H35" i="5"/>
  <c r="G35" i="5"/>
  <c r="T35" i="5" s="1"/>
  <c r="F35" i="5"/>
  <c r="E35" i="5"/>
  <c r="R34" i="5"/>
  <c r="Q34" i="5"/>
  <c r="P34" i="5"/>
  <c r="O34" i="5"/>
  <c r="N34" i="5"/>
  <c r="M34" i="5"/>
  <c r="S34" i="5" s="1"/>
  <c r="L34" i="5"/>
  <c r="K34" i="5"/>
  <c r="J34" i="5"/>
  <c r="I34" i="5"/>
  <c r="H34" i="5"/>
  <c r="G34" i="5"/>
  <c r="F34" i="5"/>
  <c r="E34" i="5"/>
  <c r="T34" i="5" s="1"/>
  <c r="R33" i="5"/>
  <c r="Q33" i="5"/>
  <c r="P33" i="5"/>
  <c r="O33" i="5"/>
  <c r="S33" i="5" s="1"/>
  <c r="N33" i="5"/>
  <c r="M33" i="5"/>
  <c r="L33" i="5"/>
  <c r="K33" i="5"/>
  <c r="J33" i="5"/>
  <c r="I33" i="5"/>
  <c r="H33" i="5"/>
  <c r="G33" i="5"/>
  <c r="T33" i="5" s="1"/>
  <c r="F33" i="5"/>
  <c r="E33" i="5"/>
  <c r="R32" i="5"/>
  <c r="Q32" i="5"/>
  <c r="Q30" i="5" s="1"/>
  <c r="P32" i="5"/>
  <c r="O32" i="5"/>
  <c r="N32" i="5"/>
  <c r="M32" i="5"/>
  <c r="S32" i="5" s="1"/>
  <c r="L32" i="5"/>
  <c r="K32" i="5"/>
  <c r="J32" i="5"/>
  <c r="I32" i="5"/>
  <c r="I30" i="5" s="1"/>
  <c r="H32" i="5"/>
  <c r="G32" i="5"/>
  <c r="F32" i="5"/>
  <c r="E32" i="5"/>
  <c r="T32" i="5" s="1"/>
  <c r="R31" i="5"/>
  <c r="Q31" i="5"/>
  <c r="P31" i="5"/>
  <c r="O31" i="5"/>
  <c r="S31" i="5" s="1"/>
  <c r="N31" i="5"/>
  <c r="M31" i="5"/>
  <c r="L31" i="5"/>
  <c r="K31" i="5"/>
  <c r="K30" i="5" s="1"/>
  <c r="J31" i="5"/>
  <c r="I31" i="5"/>
  <c r="H31" i="5"/>
  <c r="G31" i="5"/>
  <c r="T31" i="5" s="1"/>
  <c r="F31" i="5"/>
  <c r="E31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R26" i="5"/>
  <c r="Q26" i="5"/>
  <c r="P26" i="5"/>
  <c r="O26" i="5"/>
  <c r="N26" i="5"/>
  <c r="M26" i="5"/>
  <c r="L26" i="5"/>
  <c r="K26" i="5"/>
  <c r="J26" i="5"/>
  <c r="I26" i="5"/>
  <c r="H26" i="5"/>
  <c r="G26" i="5"/>
  <c r="T26" i="5" s="1"/>
  <c r="F26" i="5"/>
  <c r="E26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R24" i="5"/>
  <c r="Q24" i="5"/>
  <c r="P24" i="5"/>
  <c r="K24" i="5"/>
  <c r="J24" i="5"/>
  <c r="I24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R15" i="5"/>
  <c r="Q15" i="5"/>
  <c r="Q13" i="5" s="1"/>
  <c r="Q6" i="5" s="1"/>
  <c r="P15" i="5"/>
  <c r="P13" i="5" s="1"/>
  <c r="P6" i="5" s="1"/>
  <c r="O15" i="5"/>
  <c r="N15" i="5"/>
  <c r="N13" i="5" s="1"/>
  <c r="N6" i="5" s="1"/>
  <c r="M15" i="5"/>
  <c r="L15" i="5"/>
  <c r="K15" i="5"/>
  <c r="J15" i="5"/>
  <c r="I15" i="5"/>
  <c r="I13" i="5" s="1"/>
  <c r="I6" i="5" s="1"/>
  <c r="H15" i="5"/>
  <c r="G15" i="5"/>
  <c r="F15" i="5"/>
  <c r="F13" i="5" s="1"/>
  <c r="E15" i="5"/>
  <c r="E13" i="5" s="1"/>
  <c r="E6" i="5" s="1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R11" i="5"/>
  <c r="Q11" i="5"/>
  <c r="P11" i="5"/>
  <c r="O11" i="5"/>
  <c r="N11" i="5"/>
  <c r="M11" i="5"/>
  <c r="M7" i="5" s="1"/>
  <c r="L11" i="5"/>
  <c r="K11" i="5"/>
  <c r="J11" i="5"/>
  <c r="I11" i="5"/>
  <c r="H11" i="5"/>
  <c r="G11" i="5"/>
  <c r="F11" i="5"/>
  <c r="E11" i="5"/>
  <c r="T11" i="5" s="1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R8" i="5"/>
  <c r="Q8" i="5"/>
  <c r="P8" i="5"/>
  <c r="O8" i="5"/>
  <c r="O7" i="5" s="1"/>
  <c r="N8" i="5"/>
  <c r="M8" i="5"/>
  <c r="L8" i="5"/>
  <c r="K8" i="5"/>
  <c r="K7" i="5" s="1"/>
  <c r="J8" i="5"/>
  <c r="I8" i="5"/>
  <c r="H8" i="5"/>
  <c r="G8" i="5"/>
  <c r="F8" i="5"/>
  <c r="E8" i="5"/>
  <c r="T67" i="5"/>
  <c r="T37" i="5"/>
  <c r="P30" i="5"/>
  <c r="H30" i="5"/>
  <c r="N30" i="5"/>
  <c r="M30" i="5"/>
  <c r="R13" i="5"/>
  <c r="R6" i="5" s="1"/>
  <c r="O13" i="5"/>
  <c r="O6" i="5" s="1"/>
  <c r="K13" i="5"/>
  <c r="K6" i="5" s="1"/>
  <c r="J13" i="5"/>
  <c r="J6" i="5" s="1"/>
  <c r="G13" i="5"/>
  <c r="G6" i="5" s="1"/>
  <c r="L13" i="5"/>
  <c r="L6" i="5" s="1"/>
  <c r="H13" i="5"/>
  <c r="H6" i="5" s="1"/>
  <c r="P7" i="5"/>
  <c r="T36" i="5" l="1"/>
  <c r="F30" i="5"/>
  <c r="J30" i="5"/>
  <c r="R30" i="5"/>
  <c r="G30" i="5"/>
  <c r="U33" i="5"/>
  <c r="U35" i="5"/>
  <c r="S24" i="5"/>
  <c r="J7" i="5"/>
  <c r="N7" i="5"/>
  <c r="R7" i="5"/>
  <c r="T10" i="5"/>
  <c r="H7" i="5"/>
  <c r="S9" i="5"/>
  <c r="S12" i="5"/>
  <c r="T15" i="5"/>
  <c r="M13" i="5"/>
  <c r="F6" i="5" s="1"/>
  <c r="S6" i="5" s="1"/>
  <c r="T8" i="5"/>
  <c r="T9" i="5"/>
  <c r="U9" i="5" s="1"/>
  <c r="T12" i="5"/>
  <c r="U12" i="5" s="1"/>
  <c r="I7" i="5"/>
  <c r="Q7" i="5"/>
  <c r="S17" i="5"/>
  <c r="U17" i="5" s="1"/>
  <c r="T24" i="5"/>
  <c r="U24" i="5" s="1"/>
  <c r="T17" i="5"/>
  <c r="T20" i="5"/>
  <c r="T25" i="5"/>
  <c r="S25" i="5"/>
  <c r="U25" i="5" s="1"/>
  <c r="S26" i="5"/>
  <c r="U26" i="5" s="1"/>
  <c r="T28" i="5"/>
  <c r="S28" i="5"/>
  <c r="U28" i="5" s="1"/>
  <c r="T41" i="5"/>
  <c r="S41" i="5"/>
  <c r="S42" i="5"/>
  <c r="U42" i="5" s="1"/>
  <c r="T43" i="5"/>
  <c r="U43" i="5" s="1"/>
  <c r="S43" i="5"/>
  <c r="S44" i="5"/>
  <c r="U44" i="5" s="1"/>
  <c r="T45" i="5"/>
  <c r="S45" i="5"/>
  <c r="U45" i="5" s="1"/>
  <c r="S49" i="5"/>
  <c r="U49" i="5" s="1"/>
  <c r="T50" i="5"/>
  <c r="S50" i="5"/>
  <c r="S51" i="5"/>
  <c r="U51" i="5" s="1"/>
  <c r="T52" i="5"/>
  <c r="S52" i="5"/>
  <c r="S53" i="5"/>
  <c r="U53" i="5" s="1"/>
  <c r="T54" i="5"/>
  <c r="S54" i="5"/>
  <c r="S55" i="5"/>
  <c r="U55" i="5" s="1"/>
  <c r="T56" i="5"/>
  <c r="S56" i="5"/>
  <c r="S61" i="5"/>
  <c r="U61" i="5" s="1"/>
  <c r="T62" i="5"/>
  <c r="S62" i="5"/>
  <c r="S64" i="5"/>
  <c r="U64" i="5" s="1"/>
  <c r="T66" i="5"/>
  <c r="S66" i="5"/>
  <c r="S67" i="5"/>
  <c r="U67" i="5" s="1"/>
  <c r="S68" i="5"/>
  <c r="T68" i="5"/>
  <c r="S70" i="5"/>
  <c r="U70" i="5" s="1"/>
  <c r="S71" i="5"/>
  <c r="T71" i="5"/>
  <c r="S72" i="5"/>
  <c r="U72" i="5" s="1"/>
  <c r="T78" i="5"/>
  <c r="S78" i="5"/>
  <c r="S79" i="5"/>
  <c r="U79" i="5" s="1"/>
  <c r="T80" i="5"/>
  <c r="S81" i="5"/>
  <c r="U81" i="5" s="1"/>
  <c r="S20" i="5"/>
  <c r="U20" i="5" s="1"/>
  <c r="U31" i="5"/>
  <c r="G7" i="5"/>
  <c r="S11" i="5"/>
  <c r="S8" i="5"/>
  <c r="U8" i="5" s="1"/>
  <c r="O30" i="5"/>
  <c r="F7" i="5"/>
  <c r="S13" i="5"/>
  <c r="U37" i="5"/>
  <c r="U34" i="5"/>
  <c r="U56" i="5"/>
  <c r="U80" i="5"/>
  <c r="U11" i="5"/>
  <c r="U32" i="5"/>
  <c r="U36" i="5"/>
  <c r="U78" i="5"/>
  <c r="S10" i="5"/>
  <c r="L30" i="5"/>
  <c r="S30" i="5" s="1"/>
  <c r="T13" i="5"/>
  <c r="U13" i="5" s="1"/>
  <c r="L7" i="5"/>
  <c r="T7" i="5" s="1"/>
  <c r="E30" i="5"/>
  <c r="T30" i="5" s="1"/>
  <c r="S15" i="5"/>
  <c r="E7" i="5"/>
  <c r="U54" i="5" l="1"/>
  <c r="U68" i="5"/>
  <c r="U66" i="5"/>
  <c r="U62" i="5"/>
  <c r="U52" i="5"/>
  <c r="U50" i="5"/>
  <c r="U41" i="5"/>
  <c r="U15" i="5"/>
  <c r="U10" i="5"/>
  <c r="M6" i="5"/>
  <c r="T6" i="5" s="1"/>
  <c r="U71" i="5"/>
  <c r="S7" i="5"/>
  <c r="U7" i="5" s="1"/>
  <c r="U30" i="5"/>
  <c r="U6" i="5"/>
  <c r="D60" i="5" l="1"/>
  <c r="D29" i="5"/>
  <c r="D27" i="5"/>
  <c r="D21" i="5"/>
  <c r="U21" i="5" s="1"/>
  <c r="D77" i="5" l="1"/>
  <c r="D76" i="5"/>
  <c r="D69" i="5"/>
  <c r="D65" i="5"/>
</calcChain>
</file>

<file path=xl/connections.xml><?xml version="1.0" encoding="utf-8"?>
<connections xmlns="http://schemas.openxmlformats.org/spreadsheetml/2006/main">
  <connection id="1" name="Ligação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reg_ben` WHERE `data_digitacao` BETWEEN '2018/12/01' AND '2018/12/30' AND nome_da_cbo='Udeba'"/>
  </connection>
  <connection id="2" name="Ligação1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presenca` WHERE `data_digitacao` BETWEEN '2018/12/01' AND '2018/12/30' AND parceiro='Udeba'"/>
  </connection>
  <connection id="3" name="Ligação2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12/01' AND '2018/12/30' AND ocb='Udeba'"/>
  </connection>
  <connection id="4" name="Ligação3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servicos_bross` WHERE `data_digitacao` BETWEEN '2018/12/01' AND '2018/12/30' AND ocb='Udeba'"/>
  </connection>
  <connection id="5" name="Ligação4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mac` WHERE `data_digitacao` BETWEEN '2018/12/01' AND '2018/12/30' AND nome_ocb='Udeba'"/>
  </connection>
  <connection id="6" name="Ligação5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planoacao` WHERE `data_digitacao` BETWEEN '2018/12/01' AND '2018/12/30' AND nomeOCB='Udeba'"/>
  </connection>
  <connection id="7" name="Ligação6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lista_covs` WHERE `data_digitacao` BETWEEN '2018/12/01' AND '2018/12/30' AND nomeOCB='Udeba'"/>
  </connection>
</connections>
</file>

<file path=xl/sharedStrings.xml><?xml version="1.0" encoding="utf-8"?>
<sst xmlns="http://schemas.openxmlformats.org/spreadsheetml/2006/main" count="9049" uniqueCount="850">
  <si>
    <t>1-4</t>
  </si>
  <si>
    <t>CH00001</t>
  </si>
  <si>
    <t>Domingos Jose sulo</t>
  </si>
  <si>
    <t>M</t>
  </si>
  <si>
    <t>Manica</t>
  </si>
  <si>
    <t>5653356356</t>
  </si>
  <si>
    <t>Chimoio</t>
  </si>
  <si>
    <t>25 de junho</t>
  </si>
  <si>
    <t>876543875</t>
  </si>
  <si>
    <t>Sim</t>
  </si>
  <si>
    <t>Posetivo</t>
  </si>
  <si>
    <t>Kubatsirana</t>
  </si>
  <si>
    <t>Inqueridor</t>
  </si>
  <si>
    <t>FCC</t>
  </si>
  <si>
    <t>mae</t>
  </si>
  <si>
    <t>N</t>
  </si>
  <si>
    <t>Natalia</t>
  </si>
  <si>
    <t>0</t>
  </si>
  <si>
    <t>f</t>
  </si>
  <si>
    <t>n</t>
  </si>
  <si>
    <t>CH001</t>
  </si>
  <si>
    <t>bbb</t>
  </si>
  <si>
    <t>ddnd</t>
  </si>
  <si>
    <t>db</t>
  </si>
  <si>
    <t>Arturito</t>
  </si>
  <si>
    <t>Mariazinha</t>
  </si>
  <si>
    <t>Igor</t>
  </si>
  <si>
    <t>Valdo</t>
  </si>
  <si>
    <t>Gito</t>
  </si>
  <si>
    <t>dkjd</t>
  </si>
  <si>
    <t>bdbjd</t>
  </si>
  <si>
    <t>codigo_digitador</t>
  </si>
  <si>
    <t>data_</t>
  </si>
  <si>
    <t>contacto</t>
  </si>
  <si>
    <t>posicao</t>
  </si>
  <si>
    <t>nome_tecnico_cbo</t>
  </si>
  <si>
    <t>data</t>
  </si>
  <si>
    <t>contacto_</t>
  </si>
  <si>
    <t>outros</t>
  </si>
  <si>
    <t>nome_do_pograma</t>
  </si>
  <si>
    <t>nome_da_cbo</t>
  </si>
  <si>
    <t>funcao</t>
  </si>
  <si>
    <t>prenchido_por</t>
  </si>
  <si>
    <t>observacao</t>
  </si>
  <si>
    <t>historial_familiar</t>
  </si>
  <si>
    <t>Longitude</t>
  </si>
  <si>
    <t>Latitude</t>
  </si>
  <si>
    <t>tipo_habitacao</t>
  </si>
  <si>
    <t>tipo_casa</t>
  </si>
  <si>
    <t>chefe_familia</t>
  </si>
  <si>
    <t>orfao_de</t>
  </si>
  <si>
    <t>em_tratamento_tarv</t>
  </si>
  <si>
    <t>data_Teste</t>
  </si>
  <si>
    <t>resultado</t>
  </si>
  <si>
    <t>compartilhar_resultado</t>
  </si>
  <si>
    <t>teste_HIV</t>
  </si>
  <si>
    <t>nome_Escola</t>
  </si>
  <si>
    <t>ultimo_ano_escolar</t>
  </si>
  <si>
    <t>se_nao_estudante_porque</t>
  </si>
  <si>
    <t>n_identificacao_turma</t>
  </si>
  <si>
    <t>turma</t>
  </si>
  <si>
    <t>classe</t>
  </si>
  <si>
    <t>nome_da_escola</t>
  </si>
  <si>
    <t>estudante</t>
  </si>
  <si>
    <t>Contato</t>
  </si>
  <si>
    <t>ponto_referencia</t>
  </si>
  <si>
    <t>quarterao</t>
  </si>
  <si>
    <t>bairro</t>
  </si>
  <si>
    <t>localidade</t>
  </si>
  <si>
    <t>posto_administrativo</t>
  </si>
  <si>
    <t>destrito</t>
  </si>
  <si>
    <t>provincia</t>
  </si>
  <si>
    <t>tipo_Identificacao</t>
  </si>
  <si>
    <t>num_Identificacao</t>
  </si>
  <si>
    <t>naturalidade</t>
  </si>
  <si>
    <t>idade</t>
  </si>
  <si>
    <t>sexo</t>
  </si>
  <si>
    <t>data_Nasc</t>
  </si>
  <si>
    <t>nome</t>
  </si>
  <si>
    <t>cod_beneficiario</t>
  </si>
  <si>
    <t>cod_agregado</t>
  </si>
  <si>
    <t>cod_inquiridor</t>
  </si>
  <si>
    <t>benificiario_id</t>
  </si>
  <si>
    <t>data_digitacao</t>
  </si>
  <si>
    <t>Wei</t>
  </si>
  <si>
    <t>numero</t>
  </si>
  <si>
    <t>proveniencia</t>
  </si>
  <si>
    <t>organizacao</t>
  </si>
  <si>
    <t>actividade</t>
  </si>
  <si>
    <t>parceiro</t>
  </si>
  <si>
    <t>distrito</t>
  </si>
  <si>
    <t>data_fim</t>
  </si>
  <si>
    <t>data_inicio</t>
  </si>
  <si>
    <t>projecto</t>
  </si>
  <si>
    <t>id_presenca</t>
  </si>
  <si>
    <t>2017-12-22</t>
  </si>
  <si>
    <t>ocb</t>
  </si>
  <si>
    <t>contacto1</t>
  </si>
  <si>
    <t>referido2</t>
  </si>
  <si>
    <t>data2</t>
  </si>
  <si>
    <t>contrRecebida</t>
  </si>
  <si>
    <t>data1</t>
  </si>
  <si>
    <t>referido1</t>
  </si>
  <si>
    <t>bairo</t>
  </si>
  <si>
    <t>dataNasc</t>
  </si>
  <si>
    <t>reference_id</t>
  </si>
  <si>
    <t>Nao aplicavel</t>
  </si>
  <si>
    <t xml:space="preserve"> Manica</t>
  </si>
  <si>
    <t xml:space="preserve"> 25 de junho</t>
  </si>
  <si>
    <t xml:space="preserve"> CBG737473</t>
  </si>
  <si>
    <t xml:space="preserve"> Domingos Jose sulo</t>
  </si>
  <si>
    <t>apoio_habitacional</t>
  </si>
  <si>
    <t>apoio_financeiro</t>
  </si>
  <si>
    <t>Psico_Social</t>
  </si>
  <si>
    <t>saude</t>
  </si>
  <si>
    <t>ajuda_legal</t>
  </si>
  <si>
    <t>educacao</t>
  </si>
  <si>
    <t>alimentacao</t>
  </si>
  <si>
    <t>cd_agreg</t>
  </si>
  <si>
    <t>mes</t>
  </si>
  <si>
    <t>supervisor</t>
  </si>
  <si>
    <t>actvista</t>
  </si>
  <si>
    <t>servicosBross_id</t>
  </si>
  <si>
    <t>modificado</t>
  </si>
  <si>
    <t>data_7</t>
  </si>
  <si>
    <t>gestorCaso</t>
  </si>
  <si>
    <t>data_6</t>
  </si>
  <si>
    <t>membroCCPC</t>
  </si>
  <si>
    <t>comentarios</t>
  </si>
  <si>
    <t>data_5</t>
  </si>
  <si>
    <t>realizado_1</t>
  </si>
  <si>
    <t>acaoDaFamilia</t>
  </si>
  <si>
    <t>data_4</t>
  </si>
  <si>
    <t>completou</t>
  </si>
  <si>
    <t>apoioPorReferenc</t>
  </si>
  <si>
    <t>data_3</t>
  </si>
  <si>
    <t>realizado</t>
  </si>
  <si>
    <t>apoioDireito</t>
  </si>
  <si>
    <t>data_2</t>
  </si>
  <si>
    <t>necessidadesResolvidas</t>
  </si>
  <si>
    <t>pontuacao</t>
  </si>
  <si>
    <t>necessidadePrioritarea</t>
  </si>
  <si>
    <t>areaServico</t>
  </si>
  <si>
    <t>dataGraduacao</t>
  </si>
  <si>
    <t>dataManutencao</t>
  </si>
  <si>
    <t>dataPeriodoSeg</t>
  </si>
  <si>
    <t>codBen</t>
  </si>
  <si>
    <t>nomeCrianca</t>
  </si>
  <si>
    <t>nomeOCB</t>
  </si>
  <si>
    <t>nomeMembroCCPC</t>
  </si>
  <si>
    <t>planoAcao_id</t>
  </si>
  <si>
    <t>sim</t>
  </si>
  <si>
    <t>dataAval</t>
  </si>
  <si>
    <t>plano_acao</t>
  </si>
  <si>
    <t>fort_economico</t>
  </si>
  <si>
    <t>apoio_social</t>
  </si>
  <si>
    <t>habitacao</t>
  </si>
  <si>
    <t>protecao_legal</t>
  </si>
  <si>
    <t>aliment_nutricao</t>
  </si>
  <si>
    <t>fort_economico_33</t>
  </si>
  <si>
    <t>fort_economico_32</t>
  </si>
  <si>
    <t>apoio_social_31</t>
  </si>
  <si>
    <t>apoio_social_30</t>
  </si>
  <si>
    <t>apoio_social_29</t>
  </si>
  <si>
    <t>apoio_social_28</t>
  </si>
  <si>
    <t>apoio_social_27</t>
  </si>
  <si>
    <t>apoio_social_26</t>
  </si>
  <si>
    <t>apoio_social_25</t>
  </si>
  <si>
    <t>apoio_social_24</t>
  </si>
  <si>
    <t>apoio_social_23</t>
  </si>
  <si>
    <t>habitacao_22</t>
  </si>
  <si>
    <t>protecao_apoio_21</t>
  </si>
  <si>
    <t>protecao_apoio_20</t>
  </si>
  <si>
    <t>protecao_apoio_19</t>
  </si>
  <si>
    <t>protecao_apoio_18</t>
  </si>
  <si>
    <t>educacao_17</t>
  </si>
  <si>
    <t>educacao_16</t>
  </si>
  <si>
    <t>educacao_15</t>
  </si>
  <si>
    <t>educacao_14</t>
  </si>
  <si>
    <t>educacao_13</t>
  </si>
  <si>
    <t>educacao_12</t>
  </si>
  <si>
    <t>educacao_11</t>
  </si>
  <si>
    <t>educacao_10</t>
  </si>
  <si>
    <t>alimentacao_nutricao_9</t>
  </si>
  <si>
    <t>alimentacao_nutricao_8</t>
  </si>
  <si>
    <t>saude_7</t>
  </si>
  <si>
    <t>saude_6</t>
  </si>
  <si>
    <t>saude_5</t>
  </si>
  <si>
    <t>saude_4</t>
  </si>
  <si>
    <t>saude_3</t>
  </si>
  <si>
    <t>saude_2</t>
  </si>
  <si>
    <t>saude_1</t>
  </si>
  <si>
    <t>situacao_crianca</t>
  </si>
  <si>
    <t>tarv</t>
  </si>
  <si>
    <t>hiv</t>
  </si>
  <si>
    <t>nome_ocb</t>
  </si>
  <si>
    <t>nome_lider</t>
  </si>
  <si>
    <t>nome_voluntario</t>
  </si>
  <si>
    <t>nome_cuidador</t>
  </si>
  <si>
    <t>cd_ident</t>
  </si>
  <si>
    <t>MAC_id</t>
  </si>
  <si>
    <t>Codigo</t>
  </si>
  <si>
    <t xml:space="preserve">Indicador </t>
  </si>
  <si>
    <t>FEMENINO</t>
  </si>
  <si>
    <t>MASCULINO</t>
  </si>
  <si>
    <t>Total : Sexo</t>
  </si>
  <si>
    <t>Total</t>
  </si>
  <si>
    <t>&lt;1</t>
  </si>
  <si>
    <t>5-9</t>
  </si>
  <si>
    <t>10-14</t>
  </si>
  <si>
    <t>15-17</t>
  </si>
  <si>
    <t>18-24</t>
  </si>
  <si>
    <t>&gt;=25</t>
  </si>
  <si>
    <t>Masc.</t>
  </si>
  <si>
    <t>Fem.</t>
  </si>
  <si>
    <t>OVC_SERV_DSD</t>
  </si>
  <si>
    <t>OVC_KNOWNSTAT_DSD/TA-SDI</t>
  </si>
  <si>
    <r>
      <t>Sero estado Conhecido:
Resultado HIV+</t>
    </r>
    <r>
      <rPr>
        <b/>
        <sz val="26"/>
        <color indexed="8"/>
        <rFont val="Calibri"/>
        <family val="2"/>
      </rPr>
      <t xml:space="preserve"> </t>
    </r>
    <r>
      <rPr>
        <b/>
        <sz val="26"/>
        <color indexed="10"/>
        <rFont val="Calibri"/>
        <family val="2"/>
      </rPr>
      <t>[E]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neste MES</t>
    </r>
  </si>
  <si>
    <t xml:space="preserve">Sero estado Conhecido:
Resultado HIV+ e em Tratamento
</t>
  </si>
  <si>
    <r>
      <t xml:space="preserve">Sero estado Conhecido:
Resultado HIV-   </t>
    </r>
    <r>
      <rPr>
        <b/>
        <sz val="26"/>
        <color indexed="10"/>
        <rFont val="Calibri"/>
        <family val="2"/>
      </rPr>
      <t xml:space="preserve"> [F]</t>
    </r>
  </si>
  <si>
    <r>
      <t>Sero estado Conhecido:
Resultado Indeterminado</t>
    </r>
    <r>
      <rPr>
        <b/>
        <sz val="26"/>
        <color indexed="10"/>
        <rFont val="Calibri"/>
        <family val="2"/>
      </rPr>
      <t xml:space="preserve"> [G]</t>
    </r>
    <r>
      <rPr>
        <b/>
        <sz val="26"/>
        <color indexed="8"/>
        <rFont val="Calibri"/>
        <family val="2"/>
      </rPr>
      <t xml:space="preserve">
</t>
    </r>
  </si>
  <si>
    <t>N° de beneficiarios que nao quiseram revelar o seu seroestado por varios motivos</t>
  </si>
  <si>
    <t>OVC_ACTIVE</t>
  </si>
  <si>
    <r>
      <t xml:space="preserve">Nº de Beneficiarios Activos das criancas e adultos afectados pelo o HIV/SIDA, apoiados pelo o Projecto </t>
    </r>
    <r>
      <rPr>
        <b/>
        <sz val="24"/>
        <color indexed="10"/>
        <rFont val="Calibri"/>
        <family val="2"/>
      </rPr>
      <t xml:space="preserve">[A]  </t>
    </r>
    <r>
      <rPr>
        <b/>
        <i/>
        <sz val="18"/>
        <color indexed="10"/>
        <rFont val="Calibri"/>
        <family val="2"/>
      </rPr>
      <t>Calculado Automaticamente</t>
    </r>
  </si>
  <si>
    <r>
      <t xml:space="preserve">Nº de Beneficiários Activos que transitaram do período anterior FY17 </t>
    </r>
    <r>
      <rPr>
        <b/>
        <sz val="26"/>
        <color indexed="10"/>
        <rFont val="Calibri"/>
        <family val="2"/>
      </rPr>
      <t>(Trimestre Passado)</t>
    </r>
  </si>
  <si>
    <r>
      <t xml:space="preserve">Nº de Beneficiários </t>
    </r>
    <r>
      <rPr>
        <b/>
        <sz val="26"/>
        <color indexed="8"/>
        <rFont val="Calibri"/>
        <family val="2"/>
      </rPr>
      <t xml:space="preserve">Activos que entraram </t>
    </r>
    <r>
      <rPr>
        <b/>
        <sz val="26"/>
        <color indexed="10"/>
        <rFont val="Calibri"/>
        <family val="2"/>
      </rPr>
      <t>(neste MES)</t>
    </r>
  </si>
  <si>
    <r>
      <t xml:space="preserve">Graduado do Programa    </t>
    </r>
    <r>
      <rPr>
        <b/>
        <sz val="26"/>
        <color indexed="10"/>
        <rFont val="Calibri"/>
        <family val="2"/>
      </rPr>
      <t>[B]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Ate no final deste MES</t>
    </r>
  </si>
  <si>
    <r>
      <t xml:space="preserve">Transferido para outros ONGs que nao tem o apoio financeiro da USAID </t>
    </r>
    <r>
      <rPr>
        <b/>
        <sz val="26"/>
        <color indexed="10"/>
        <rFont val="Calibri"/>
        <family val="2"/>
      </rPr>
      <t>[C]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Ate no final deste MES</t>
    </r>
  </si>
  <si>
    <t>PEPFAR GEND_NORM:</t>
  </si>
  <si>
    <t>Nº de beneficiarios apoiados na area de Violencia Baseada no Genero</t>
  </si>
  <si>
    <t>Nº de individuos que completaram uma intervençao de normas de VBG no contexto de HIV/SIDA</t>
  </si>
  <si>
    <t xml:space="preserve">Nº de sessões sobre as normas de genero no contexto de HIV/SIDA realizados
</t>
  </si>
  <si>
    <t>IR1. Coordenação Reforçada e Harmonização de Serviços de Cuidado, Proteção e Apoio às famílias das COVs a Nível Distrital e Comunitário.</t>
  </si>
  <si>
    <t># de membros do governo treinados em sistema de referencia e ligacao dos beneficarios para os SDSMAS e LIPS</t>
  </si>
  <si>
    <t xml:space="preserve">Nº de COVs e cuidadores que foram visitadas nas casa onde residem
(Todas as criancas deve ter o MAC e o plano de acao preenchido) </t>
  </si>
  <si>
    <t>Nº de COVs e cuidadores com plano de acção desenvolvidos para as COVs</t>
  </si>
  <si>
    <t xml:space="preserve">
# de encontros trimestrais e multisectoriais realizadas no ambito de coordenacao das actividades de COVs</t>
  </si>
  <si>
    <t># de benficiários treinados por cada tema de treinamento (VBG, Educação, VSLA, referência)</t>
  </si>
  <si>
    <t># de treinamentos realizados nas diferentes áreas (no acto de reporte deve especificar o tipo de treinamento, seja de VBG, Mentores, VSLA, gestao de caso, educacao parental etc).</t>
  </si>
  <si>
    <t>Nº  total de referencias contra referencia recebidos</t>
  </si>
  <si>
    <t>Nº de beneficiarios com referências contra referencias dadas as COVs e seus cuidadores para area de Saude: reabilitacao nutricional</t>
  </si>
  <si>
    <t xml:space="preserve">Nº de beneficiarios com referências contra referencias dadas as COVs e seus cuidadores para area de SAUDE:SAAJ - Testagem e aconselhamento para HIV </t>
  </si>
  <si>
    <t>Nº de beneficiarios com referências contra referencias dadas as COVs e seus cuidadores para area de SAUDESaude: Reiniciar o TARV</t>
  </si>
  <si>
    <t>Nº de beneficiarios com referências contra referencias dadas as COVs e seus cuidadores para area de SAUDE: Intervencoes pos Violacao (VBG)</t>
  </si>
  <si>
    <t>Nº de beneficiarios com referências contra referencias dadas as COVs e seus cuidadores para area de SAUDE: Planeamento Familiar (PF)</t>
  </si>
  <si>
    <t>Nº de beneficiarios com referências contra referencias dadas as COVs e seus cuidadores para area EDUCACIONAL: Integracao escolar e Vocacional</t>
  </si>
  <si>
    <t>Nº de beneficiarios com referências contra referencias dadas as COVs e seus cuidadores para area SOCIALl:Apoio Legal</t>
  </si>
  <si>
    <t>RI2. Acesso à educação melhorado e resultados de aprendizagem melhorados para COVs</t>
  </si>
  <si>
    <t xml:space="preserve">Nº de Criancas benefiando em apoio  educacional / e ou vocacional: </t>
  </si>
  <si>
    <t>Nº de COVs (3-5anos) inscritos nos centros de DPI &amp; que participa nas actividades de pre escola</t>
  </si>
  <si>
    <t>Nº de alunos beneficiados nas Escolas Primária (Block Grants)</t>
  </si>
  <si>
    <t>Nº de alunos beneficiados nas Escolas Secundárias  (Block Grants)</t>
  </si>
  <si>
    <t xml:space="preserve">Nº de membros dos conselhos das escolas e representantes dos pais treinados para fazer o coorte de COVs/RAMJ </t>
  </si>
  <si>
    <t>Nº de COVs/RAMJ avaliados atraves dos coortes para recolher dados das matriculas, retencao, desempenho escolar e taxas de transição.</t>
  </si>
  <si>
    <t>RI3. Acesso Melhorado aos Provedores de Cuidados de Saúde e Apoio Nutricional para COVs e Provedores de Cuidado</t>
  </si>
  <si>
    <t xml:space="preserve">Nº de membros comunitarios treinados para dar suporte relacionada a saúde para as COVs e seus agregados Familiar </t>
  </si>
  <si>
    <t>Nº de COVs e cuidadores que abandonaram o TARV e que foram referidos para reiniciar o TARV na US</t>
  </si>
  <si>
    <t>RI4. Mecanismos de Resiliência Melhorados para COVs e Provedores de Cuidados</t>
  </si>
  <si>
    <t xml:space="preserve">Educação Parental </t>
  </si>
  <si>
    <t xml:space="preserve">N° de grupos de Educação Parental </t>
  </si>
  <si>
    <t># de parceiros (homens) alcancados atraves de mentores homens</t>
  </si>
  <si>
    <t xml:space="preserve">Nº de COVs participando nas actividades dos Bens sociais (Social Asset building) </t>
  </si>
  <si>
    <r>
      <t>N° de COVs que participam nos Clubes dos direito da Crianca (CRC</t>
    </r>
    <r>
      <rPr>
        <b/>
        <sz val="26"/>
        <color theme="1"/>
        <rFont val="Calibri"/>
        <family val="2"/>
        <scheme val="minor"/>
      </rPr>
      <t xml:space="preserve">) </t>
    </r>
  </si>
  <si>
    <t>N° de Clubes dos direitos da criança (CRC) existente</t>
  </si>
  <si>
    <t>N° de COVs recebendo o apoio psicosocial (APS)</t>
  </si>
  <si>
    <t>N° de COVs recebendo apoio em Habilidades para Vida</t>
  </si>
  <si>
    <t>N° de centros infantis existentes</t>
  </si>
  <si>
    <t xml:space="preserve">Nº de educadores formados em DPI </t>
  </si>
  <si>
    <t>Nº de beneficiarios Apoiados atraves de Apoio Legal</t>
  </si>
  <si>
    <t>Masculino</t>
  </si>
  <si>
    <t>Femenino</t>
  </si>
  <si>
    <t xml:space="preserve">RI5. Estado Socio económico Melhorado das famílias das COVs </t>
  </si>
  <si>
    <t xml:space="preserve">Nº dos benefiarios apoiadas atraves de fortalecimento economico </t>
  </si>
  <si>
    <t>Nº de grupos de poupança  (VSLAs) criadas</t>
  </si>
  <si>
    <t>Nº de grupos de emponderamento  (YES CLUBs) criadas</t>
  </si>
  <si>
    <t>Nº de Covs que participaram nas sessoes de educacao Vocacional (Culinaria, VSLA, actividade agricola etc)</t>
  </si>
  <si>
    <t>Nº  de membros de YES Clubes ligado a treinamento vocacional</t>
  </si>
  <si>
    <t>VSLA (poupança)- Nº de beneficiarios apoiados atraves dos VSLAs</t>
  </si>
  <si>
    <t>Nº  de beneficiarios que participam nos YES Clubs (Clubes de Fortalecimento Economico para Jovens)</t>
  </si>
  <si>
    <t>Grupos de poupanca (VSLAs) criadas</t>
  </si>
  <si>
    <r>
      <t>Abandono sem Graduar do programa</t>
    </r>
    <r>
      <rPr>
        <b/>
        <sz val="26"/>
        <color indexed="8"/>
        <rFont val="Calibri"/>
        <family val="2"/>
      </rPr>
      <t xml:space="preserve"> </t>
    </r>
  </si>
  <si>
    <t>Nº  de COVs identificados nas comunidades e rastreiados para mal nutricao (DAG e DAM)</t>
  </si>
  <si>
    <t>Nº de COVs com mal nutricao identificados nas comunidades e referidos para as Unidades Sanitarias</t>
  </si>
  <si>
    <t>Nº de Cuidadores que participaram nas sessoes de debates sobre HIV e revelacao do seroestado</t>
  </si>
  <si>
    <t>Nº de COVs e cuidadores eligiveis que se beneficiaram em servicos de saude</t>
  </si>
  <si>
    <t>Nº de COVs com mal nutricao referidos para realizar o teste de HIV</t>
  </si>
  <si>
    <t>Nº de COVs apoiadas com o Pacote de nutricao</t>
  </si>
  <si>
    <t>Nº de Cuidadores que estao a receber sessoes sobre reabilitacao nutricional</t>
  </si>
  <si>
    <t>N° de Cuidadores que participam nas sessoes de educacao parental</t>
  </si>
  <si>
    <t>PPREV: N° de COVs recebendo educacao sobre saude sexual reprodutiva (ASRH) / palestras sobre o HIV</t>
  </si>
  <si>
    <t>Nº de Criancas em centros infantis (orfanatos, escolinhas e centros infantis)</t>
  </si>
  <si>
    <t>Sessoes sobre as normas de genero no contexto de HIV/SIDA realizados</t>
  </si>
  <si>
    <t>Transferido para outros ONGs que nao tem o apoio financeiro da USAID</t>
  </si>
  <si>
    <t>Encontros trimestrais e multisectoriais realizadas no ambito de coordenacao das actividades de COVs</t>
  </si>
  <si>
    <t>Treinamentos realizados nas diferentes areas (no acto de reporte deve especificar o tipo de treinamento, seja de VBG, Mentores, VSLA, gestao de caso, educacao parental etc).</t>
  </si>
  <si>
    <t>Clubes dos direitos da crianca(CRC)existente</t>
  </si>
  <si>
    <t>Grupos de emponderamento (YES CLUBs) criadas</t>
  </si>
  <si>
    <t>F</t>
  </si>
  <si>
    <t>Benficiarios que receberam subcidio escolar nas escolas Secundaria</t>
  </si>
  <si>
    <t>COVs com mal nutricao identificados nas comunidades e referidos para as Unidades Sanitarias</t>
  </si>
  <si>
    <t>Maior que 25</t>
  </si>
  <si>
    <t>Cuidadores que estÃ£o a receber sessÃµes sobre reabilitaÃ§Ã£o nutricional</t>
  </si>
  <si>
    <t>Claudio Augusto Sulo</t>
  </si>
  <si>
    <t>Gondola</t>
  </si>
  <si>
    <t>COVs identificados nas comunidades e rastreiados para mal nutricao (DAG e DAM)</t>
  </si>
  <si>
    <t>WEI</t>
  </si>
  <si>
    <t>Mariana do Ceu Arlindo</t>
  </si>
  <si>
    <t>1998-08-16</t>
  </si>
  <si>
    <t>848750184</t>
  </si>
  <si>
    <t>Santagua</t>
  </si>
  <si>
    <t>Reabilitacao Nutricional</t>
  </si>
  <si>
    <t>X</t>
  </si>
  <si>
    <t>Sulo</t>
  </si>
  <si>
    <t>456789</t>
  </si>
  <si>
    <t>sulo</t>
  </si>
  <si>
    <t>2013-06-11</t>
  </si>
  <si>
    <t>Testagem e aconselhamento para HIV</t>
  </si>
  <si>
    <t>Reiniciar o TARV</t>
  </si>
  <si>
    <t>Intervencoes pos Violacao (VBG)</t>
  </si>
  <si>
    <t>Planeamento Familiar (PF)</t>
  </si>
  <si>
    <t>Apoio Legal</t>
  </si>
  <si>
    <t>R</t>
  </si>
  <si>
    <t>Zambezia</t>
  </si>
  <si>
    <t xml:space="preserve"> Quelimane</t>
  </si>
  <si>
    <t xml:space="preserve"> Santagua</t>
  </si>
  <si>
    <t xml:space="preserve"> Mariana do Ceu Arlindo</t>
  </si>
  <si>
    <t xml:space="preserve"> ZQUH 11124</t>
  </si>
  <si>
    <t>Quelimane</t>
  </si>
  <si>
    <t xml:space="preserve"> Icidua</t>
  </si>
  <si>
    <t xml:space="preserve"> Madino Inacio</t>
  </si>
  <si>
    <t xml:space="preserve"> ZQUH5573</t>
  </si>
  <si>
    <t>Nao</t>
  </si>
  <si>
    <t>ID</t>
  </si>
  <si>
    <t>date</t>
  </si>
  <si>
    <t>int</t>
  </si>
  <si>
    <t>varchar</t>
  </si>
  <si>
    <t>text</t>
  </si>
  <si>
    <t>Start Last Connect to DB values</t>
  </si>
  <si>
    <t>wei</t>
  </si>
  <si>
    <t>Driver=MySQL ODBC 3.51 Driver</t>
  </si>
  <si>
    <t>End Last Connect to DB values</t>
  </si>
  <si>
    <t/>
  </si>
  <si>
    <t>_NúmLinha</t>
  </si>
  <si>
    <t>Start ListObjects</t>
  </si>
  <si>
    <t>Folha2_Table1</t>
  </si>
  <si>
    <t>wei.reg_ben</t>
  </si>
  <si>
    <t>CUSTOMCODE</t>
  </si>
  <si>
    <t>End ListObjects</t>
  </si>
  <si>
    <t>wei.presenca</t>
  </si>
  <si>
    <t>Folha8_Table1</t>
  </si>
  <si>
    <t>enum</t>
  </si>
  <si>
    <t>wei.gestao_crcr</t>
  </si>
  <si>
    <t>Folha11_Table1</t>
  </si>
  <si>
    <t>Folha12_Table1</t>
  </si>
  <si>
    <t>wei.servicos_bross</t>
  </si>
  <si>
    <t>Folha13_Table1</t>
  </si>
  <si>
    <t>wei.mac</t>
  </si>
  <si>
    <t>Folha14_Table1</t>
  </si>
  <si>
    <t>wei.planoacao</t>
  </si>
  <si>
    <t>listaCovs_id</t>
  </si>
  <si>
    <t>codigo_escola</t>
  </si>
  <si>
    <t>nome_escola</t>
  </si>
  <si>
    <t>tipo_escola</t>
  </si>
  <si>
    <t>nome_diretor</t>
  </si>
  <si>
    <t>lip</t>
  </si>
  <si>
    <t>nome_aluno</t>
  </si>
  <si>
    <t>genero</t>
  </si>
  <si>
    <t>ano1</t>
  </si>
  <si>
    <t>classe_2016</t>
  </si>
  <si>
    <t>ano2</t>
  </si>
  <si>
    <t>classe_2017</t>
  </si>
  <si>
    <t>ano3</t>
  </si>
  <si>
    <t>classe_2018</t>
  </si>
  <si>
    <t>repitente</t>
  </si>
  <si>
    <t>I_matricula</t>
  </si>
  <si>
    <t>M_escolares</t>
  </si>
  <si>
    <t>U_escolar</t>
  </si>
  <si>
    <t>P_guarda</t>
  </si>
  <si>
    <t>P_cdc</t>
  </si>
  <si>
    <t>Estado_do_aluno</t>
  </si>
  <si>
    <t>gestao_crcr</t>
  </si>
  <si>
    <t>BASE TABLE</t>
  </si>
  <si>
    <t>lista_covs</t>
  </si>
  <si>
    <t>wei.lista_covs</t>
  </si>
  <si>
    <t>mac</t>
  </si>
  <si>
    <t>planoacao</t>
  </si>
  <si>
    <t>presenca</t>
  </si>
  <si>
    <t>reg_ben</t>
  </si>
  <si>
    <t>servicos_bross</t>
  </si>
  <si>
    <t>Sofala</t>
  </si>
  <si>
    <t>undefined</t>
  </si>
  <si>
    <t>nao aplicavel</t>
  </si>
  <si>
    <t>2016</t>
  </si>
  <si>
    <t>4</t>
  </si>
  <si>
    <t>2017</t>
  </si>
  <si>
    <t>2018</t>
  </si>
  <si>
    <t>2021</t>
  </si>
  <si>
    <t>ch009</t>
  </si>
  <si>
    <t>samora machel</t>
  </si>
  <si>
    <t>ES</t>
  </si>
  <si>
    <t>876554443</t>
  </si>
  <si>
    <t>Claudio Augusto sulo</t>
  </si>
  <si>
    <t>10</t>
  </si>
  <si>
    <t>11</t>
  </si>
  <si>
    <t>12</t>
  </si>
  <si>
    <t>Activo</t>
  </si>
  <si>
    <t>849084365</t>
  </si>
  <si>
    <t>ssio</t>
  </si>
  <si>
    <t>Jose Augusto sulo</t>
  </si>
  <si>
    <t>Transferido</t>
  </si>
  <si>
    <t>Morro da FumaÃ§a1</t>
  </si>
  <si>
    <t>88830-0001</t>
  </si>
  <si>
    <t>helton edgar2</t>
  </si>
  <si>
    <t>EP1</t>
  </si>
  <si>
    <t>helton edgar1</t>
  </si>
  <si>
    <t>8717273621</t>
  </si>
  <si>
    <t>wei1</t>
  </si>
  <si>
    <t>7</t>
  </si>
  <si>
    <t>Gaza</t>
  </si>
  <si>
    <t>ddd</t>
  </si>
  <si>
    <t>Maputo</t>
  </si>
  <si>
    <t>ss</t>
  </si>
  <si>
    <t>dxd</t>
  </si>
  <si>
    <t>njmn</t>
  </si>
  <si>
    <t>Inhambane</t>
  </si>
  <si>
    <t>dd</t>
  </si>
  <si>
    <t>kjk</t>
  </si>
  <si>
    <t>lista_covs_Table1</t>
  </si>
  <si>
    <t>Start Fields of object [wei.dblogin.users] on server [MySql.localhost]</t>
  </si>
  <si>
    <t>user_id</t>
  </si>
  <si>
    <t>user_name</t>
  </si>
  <si>
    <t>user_email</t>
  </si>
  <si>
    <t>user_pass</t>
  </si>
  <si>
    <t>nivel</t>
  </si>
  <si>
    <t>area_actuacao</t>
  </si>
  <si>
    <t>cod_digitador</t>
  </si>
  <si>
    <t>joining_date</t>
  </si>
  <si>
    <t>CURRENT_TIMESTAMP</t>
  </si>
  <si>
    <t>timestamp</t>
  </si>
  <si>
    <t>End Fields of object [wei.dblogin.users] on server [MySql.localhost]</t>
  </si>
  <si>
    <t>Start Fields of object [dblogin.dblogin.users] on server [MySql.localhost]</t>
  </si>
  <si>
    <t>End Fields of object [dblogin.dblogin.users] on server [MySql.localhost]</t>
  </si>
  <si>
    <t>dblogin</t>
  </si>
  <si>
    <t>Start Objects of query object [dblogin.dblogin] on server [MySql.localhost]</t>
  </si>
  <si>
    <t>dee</t>
  </si>
  <si>
    <t>dblogin.dee</t>
  </si>
  <si>
    <t>employee</t>
  </si>
  <si>
    <t>dblogin.employee</t>
  </si>
  <si>
    <t>empresa</t>
  </si>
  <si>
    <t>dblogin.empresa</t>
  </si>
  <si>
    <t>experiencia_proficional</t>
  </si>
  <si>
    <t>dblogin.experiencia_proficional</t>
  </si>
  <si>
    <t>formacao_academica</t>
  </si>
  <si>
    <t>dblogin.formacao_academica</t>
  </si>
  <si>
    <t>provincias</t>
  </si>
  <si>
    <t>dblogin.provincias</t>
  </si>
  <si>
    <t>users</t>
  </si>
  <si>
    <t>dblogin.users</t>
  </si>
  <si>
    <t>usuario</t>
  </si>
  <si>
    <t>dblogin.usuario</t>
  </si>
  <si>
    <t>vagas</t>
  </si>
  <si>
    <t>dblogin.vagas</t>
  </si>
  <si>
    <t>End Objects of query object [dblogin.dblogin] on server [MySql.localhost]</t>
  </si>
  <si>
    <t>Start Column Properties of object [wei.lista_covs]</t>
  </si>
  <si>
    <t>ListObjectName</t>
  </si>
  <si>
    <t>ShowTotals</t>
  </si>
  <si>
    <t>TableStyle.Name</t>
  </si>
  <si>
    <t>TableStyleMedium2</t>
  </si>
  <si>
    <t>ShowTableStyleColumnStripes</t>
  </si>
  <si>
    <t>ShowTableStyleFirstColumn</t>
  </si>
  <si>
    <t>ShowShowTableStyleLastColumn</t>
  </si>
  <si>
    <t>ShowTableStyleRowStripes</t>
  </si>
  <si>
    <t>_RowNum</t>
  </si>
  <si>
    <t>EntireColumn.Hidden</t>
  </si>
  <si>
    <t>Address</t>
  </si>
  <si>
    <t>$A$2</t>
  </si>
  <si>
    <t>ColumnWidth</t>
  </si>
  <si>
    <t>NumberFormat</t>
  </si>
  <si>
    <t>General</t>
  </si>
  <si>
    <t>$B$2</t>
  </si>
  <si>
    <t>m/d/yyyy</t>
  </si>
  <si>
    <t>Validation.Type</t>
  </si>
  <si>
    <t>Validation.Operator</t>
  </si>
  <si>
    <t>Validation.Formula1</t>
  </si>
  <si>
    <t>12/31/1899</t>
  </si>
  <si>
    <t>Validation.AlertStyle</t>
  </si>
  <si>
    <t>Validation.IgnoreBlank</t>
  </si>
  <si>
    <t>Validation.InCellDropdown</t>
  </si>
  <si>
    <t>Validation.ShowInput</t>
  </si>
  <si>
    <t>Validation.ShowError</t>
  </si>
  <si>
    <t>$C$2</t>
  </si>
  <si>
    <t>-2147483648</t>
  </si>
  <si>
    <t>Validation.Formula2</t>
  </si>
  <si>
    <t>2147483647</t>
  </si>
  <si>
    <t>$D$2</t>
  </si>
  <si>
    <t>45</t>
  </si>
  <si>
    <t>$E$2</t>
  </si>
  <si>
    <t>$F$2</t>
  </si>
  <si>
    <t>$G$2</t>
  </si>
  <si>
    <t>$H$2</t>
  </si>
  <si>
    <t>$I$2</t>
  </si>
  <si>
    <t>$J$2</t>
  </si>
  <si>
    <t>$K$2</t>
  </si>
  <si>
    <t>$L$2</t>
  </si>
  <si>
    <t>$M$2</t>
  </si>
  <si>
    <t>$N$2</t>
  </si>
  <si>
    <t>$O$2</t>
  </si>
  <si>
    <t>$P$2</t>
  </si>
  <si>
    <t>$Q$2</t>
  </si>
  <si>
    <t>$R$2</t>
  </si>
  <si>
    <t>$S$2</t>
  </si>
  <si>
    <t>$T$2</t>
  </si>
  <si>
    <t>$U$2</t>
  </si>
  <si>
    <t>$V$2</t>
  </si>
  <si>
    <t>$W$2</t>
  </si>
  <si>
    <t>$X$2</t>
  </si>
  <si>
    <t>$Y$2</t>
  </si>
  <si>
    <t>$Z$2</t>
  </si>
  <si>
    <t>$AA$2</t>
  </si>
  <si>
    <t>$AB$2</t>
  </si>
  <si>
    <t>$AC$2</t>
  </si>
  <si>
    <t>FormatConditions(1).AppliesTo.Address</t>
  </si>
  <si>
    <t>$B$2:$B$21</t>
  </si>
  <si>
    <t>FormatConditions(1).Type</t>
  </si>
  <si>
    <t>FormatConditions(1).Priority</t>
  </si>
  <si>
    <t>FormatConditions(1).Formula1</t>
  </si>
  <si>
    <t>=ISBLANK(B2)</t>
  </si>
  <si>
    <t>FormatConditions(1).Interior.Color</t>
  </si>
  <si>
    <t>$D$2:$D$21</t>
  </si>
  <si>
    <t>=ISBLANK(D2)</t>
  </si>
  <si>
    <t>$F$2:$F$21</t>
  </si>
  <si>
    <t>=ISBLANK(F2)</t>
  </si>
  <si>
    <t>$G$2:$G$21</t>
  </si>
  <si>
    <t>=ISBLANK(G2)</t>
  </si>
  <si>
    <t>$H$2:$H$21</t>
  </si>
  <si>
    <t>=ISBLANK(H2)</t>
  </si>
  <si>
    <t>$I$2:$I$21</t>
  </si>
  <si>
    <t>=ISBLANK(I2)</t>
  </si>
  <si>
    <t>$J$2:$J$21</t>
  </si>
  <si>
    <t>=ISBLANK(J2)</t>
  </si>
  <si>
    <t>$K$2:$K$21</t>
  </si>
  <si>
    <t>=ISBLANK(K2)</t>
  </si>
  <si>
    <t>$L$2:$L$21</t>
  </si>
  <si>
    <t>=ISBLANK(L2)</t>
  </si>
  <si>
    <t>$M$2:$M$21</t>
  </si>
  <si>
    <t>=ISBLANK(M2)</t>
  </si>
  <si>
    <t>$N$2:$N$21</t>
  </si>
  <si>
    <t>=ISBLANK(N2)</t>
  </si>
  <si>
    <t>$O$2:$O$21</t>
  </si>
  <si>
    <t>=ISBLANK(O2)</t>
  </si>
  <si>
    <t>$P$2:$P$21</t>
  </si>
  <si>
    <t>=ISBLANK(P2)</t>
  </si>
  <si>
    <t>$Q$2:$Q$21</t>
  </si>
  <si>
    <t>=ISBLANK(Q2)</t>
  </si>
  <si>
    <t>$R$2:$R$21</t>
  </si>
  <si>
    <t>=ISBLANK(R2)</t>
  </si>
  <si>
    <t>$S$2:$S$21</t>
  </si>
  <si>
    <t>=ISBLANK(S2)</t>
  </si>
  <si>
    <t>$T$2:$T$21</t>
  </si>
  <si>
    <t>=ISBLANK(T2)</t>
  </si>
  <si>
    <t>$U$2:$U$21</t>
  </si>
  <si>
    <t>=ISBLANK(U2)</t>
  </si>
  <si>
    <t>$V$2:$V$21</t>
  </si>
  <si>
    <t>=ISBLANK(V2)</t>
  </si>
  <si>
    <t>$W$2:$W$21</t>
  </si>
  <si>
    <t>=ISBLANK(W2)</t>
  </si>
  <si>
    <t>$X$2:$X$21</t>
  </si>
  <si>
    <t>=ISBLANK(X2)</t>
  </si>
  <si>
    <t>$Y$2:$Y$21</t>
  </si>
  <si>
    <t>=ISBLANK(Y2)</t>
  </si>
  <si>
    <t>$Z$2:$Z$21</t>
  </si>
  <si>
    <t>=ISBLANK(Z2)</t>
  </si>
  <si>
    <t>$AA$2:$AA$21</t>
  </si>
  <si>
    <t>=ISBLANK(AA2)</t>
  </si>
  <si>
    <t>$AB$2:$AB$21</t>
  </si>
  <si>
    <t>=ISBLANK(AB2)</t>
  </si>
  <si>
    <t>$AC$2:$AC$21</t>
  </si>
  <si>
    <t>=ISBLANK(AC2)</t>
  </si>
  <si>
    <t>ActiveWindow.DisplayGridlines</t>
  </si>
  <si>
    <t>ActiveWindow.FreezePanes</t>
  </si>
  <si>
    <t>ActiveWindow.Split</t>
  </si>
  <si>
    <t>ActiveWindow.SplitRow</t>
  </si>
  <si>
    <t>ActiveWindow.SplitColumn</t>
  </si>
  <si>
    <t>PageSetup.Orientation</t>
  </si>
  <si>
    <t>PageSetup.FitToPagesWide</t>
  </si>
  <si>
    <t>PageSetup.FitToPagesTall</t>
  </si>
  <si>
    <t>End Column Properties of object [wei.lista_covs]</t>
  </si>
  <si>
    <t>Start Column Properties of object [wei.reg_ben]</t>
  </si>
  <si>
    <t>$AD$2</t>
  </si>
  <si>
    <t>$AE$2</t>
  </si>
  <si>
    <t>$AF$2</t>
  </si>
  <si>
    <t>$AG$2</t>
  </si>
  <si>
    <t>$AH$2</t>
  </si>
  <si>
    <t>$AI$2</t>
  </si>
  <si>
    <t>$AJ$2</t>
  </si>
  <si>
    <t>$AK$2</t>
  </si>
  <si>
    <t>$AL$2</t>
  </si>
  <si>
    <t>$AM$2</t>
  </si>
  <si>
    <t>$AN$2</t>
  </si>
  <si>
    <t>$AO$2</t>
  </si>
  <si>
    <t>$AP$2</t>
  </si>
  <si>
    <t>$AQ$2</t>
  </si>
  <si>
    <t>$AR$2</t>
  </si>
  <si>
    <t>$AS$2</t>
  </si>
  <si>
    <t>$AT$2</t>
  </si>
  <si>
    <t>$AU$2</t>
  </si>
  <si>
    <t>$AV$2</t>
  </si>
  <si>
    <t>$AW$2</t>
  </si>
  <si>
    <t>$AX$2</t>
  </si>
  <si>
    <t>$AY$2</t>
  </si>
  <si>
    <t>$AZ$2</t>
  </si>
  <si>
    <t>$BA$2</t>
  </si>
  <si>
    <t>$BB$2</t>
  </si>
  <si>
    <t>=ISBLANK(AS2)</t>
  </si>
  <si>
    <t>End Column Properties of object [wei.reg_ben]</t>
  </si>
  <si>
    <t>Relatório Mensal MCC – Morça às Crianças e a Comunidade</t>
  </si>
  <si>
    <t>MEMENINO</t>
  </si>
  <si>
    <t>Mem.</t>
  </si>
  <si>
    <t>Nº de BeneMiciarios Apoiados [criancas e adultos] e aMectados pelo o HIV/SIDA [A+B+C+D]
Calculado Automaticamente</t>
  </si>
  <si>
    <t xml:space="preserve">Nº de Sero estado Conhecido: BeneMiciarios que conhecem o sero estado de HIV   [E+M+G]
Calculado Automaticamente
</t>
  </si>
  <si>
    <t>Start Objects of query object [lqfjdgl3_wei.wei] on server [MySql.mysql7002.site4now.net]</t>
  </si>
  <si>
    <t>End Objects of query object [lqfjdgl3_wei.wei] on server [MySql.mysql7002.site4now.net]</t>
  </si>
  <si>
    <t>Start Fields of object [lqfjdgl3_wei.wei.gestao_crcr] on server [MySql.mysql7002.site4now.net]</t>
  </si>
  <si>
    <t>End Fields of object [lqfjdgl3_wei.wei.gestao_crcr] on server [MySql.mysql7002.site4now.net]</t>
  </si>
  <si>
    <t>Start Fields of object [lqfjdgl3_wei.wei.servicos_bross] on server [MySql.mysql7002.site4now.net]</t>
  </si>
  <si>
    <t>End Fields of object [lqfjdgl3_wei.wei.servicos_bross] on server [MySql.mysql7002.site4now.net]</t>
  </si>
  <si>
    <t>Start Fields of object [lqfjdgl3_wei.wei.mac] on server [MySql.mysql7002.site4now.net]</t>
  </si>
  <si>
    <t>End Fields of object [lqfjdgl3_wei.wei.mac] on server [MySql.mysql7002.site4now.net]</t>
  </si>
  <si>
    <t>Start Fields of object [lqfjdgl3_wei.wei.planoacao] on server [MySql.mysql7002.site4now.net]</t>
  </si>
  <si>
    <t>End Fields of object [lqfjdgl3_wei.wei.planoacao] on server [MySql.mysql7002.site4now.net]</t>
  </si>
  <si>
    <t>Start Fields of object [lqfjdgl3_wei.wei.lista_covs] on server [MySql.mysql7002.site4now.net]</t>
  </si>
  <si>
    <t>End Fields of object [lqfjdgl3_wei.wei.lista_covs] on server [MySql.mysql7002.site4now.net]</t>
  </si>
  <si>
    <t>lqfjdgl3_wei</t>
  </si>
  <si>
    <t>SELECT * FROM `lqfjdgl3_wei`.`presenca` WHERE `data_digitacao` BETWEEN '2018/06/01' AND '2018/06/30' AND parceiro='kubatsirana'</t>
  </si>
  <si>
    <t>Inquiridor</t>
  </si>
  <si>
    <t>Start Fields of object [lqfjdgl3_wei.lqfjdgl3_wei.reg_ben] on server [MySql.mysql7002.site4now.net]</t>
  </si>
  <si>
    <t>mediumtext</t>
  </si>
  <si>
    <t>End Fields of object [lqfjdgl3_wei.lqfjdgl3_wei.reg_ben] on server [MySql.mysql7002.site4now.net]</t>
  </si>
  <si>
    <t>mysql7002.site4now.net</t>
  </si>
  <si>
    <t>lqfjdgl3_domingo</t>
  </si>
  <si>
    <t>$B$2:$B$10,$AS$2:$AS$10</t>
  </si>
  <si>
    <t>ZQUH 11124</t>
  </si>
  <si>
    <t>ZQH00001</t>
  </si>
  <si>
    <t>Agora</t>
  </si>
  <si>
    <t>SBEB 04307</t>
  </si>
  <si>
    <t>SBEB 04241</t>
  </si>
  <si>
    <t>Pedro Benjamin</t>
  </si>
  <si>
    <t>Beira</t>
  </si>
  <si>
    <t>Mascarenha</t>
  </si>
  <si>
    <t>19</t>
  </si>
  <si>
    <t>1</t>
  </si>
  <si>
    <t>Perto do Mercado</t>
  </si>
  <si>
    <t>josina Machel</t>
  </si>
  <si>
    <t>A</t>
  </si>
  <si>
    <t>Anita</t>
  </si>
  <si>
    <t>A crianca vive com a tia, a vida da crianca ta normal, a tia disse que perdeu a mae e o pai</t>
  </si>
  <si>
    <t>Julieta Domingos</t>
  </si>
  <si>
    <t>Membro</t>
  </si>
  <si>
    <t>849195120</t>
  </si>
  <si>
    <t>Eduardo Katandula</t>
  </si>
  <si>
    <t xml:space="preserve">Oficial </t>
  </si>
  <si>
    <t>829107823</t>
  </si>
  <si>
    <t>Band</t>
  </si>
  <si>
    <t>banda</t>
  </si>
  <si>
    <t>gh</t>
  </si>
  <si>
    <t>v</t>
  </si>
  <si>
    <t>B</t>
  </si>
  <si>
    <t>NB</t>
  </si>
  <si>
    <t>lqfjdgl3_wei.reg_ben</t>
  </si>
  <si>
    <t>SELECT * FROM `lqfjdgl3_wei`.`reg_ben` WHERE `data_digitacao` BETWEEN '2018/06/01' AND '2018/06/30' AND nome_da_cbo='kubatsirana'</t>
  </si>
  <si>
    <t>Start Fields of object [lqfjdgl3_wei.lqfjdgl3_wei.gestao_crcr] on server [MySql.mysql7002.site4now.net]</t>
  </si>
  <si>
    <t>End Fields of object [lqfjdgl3_wei.lqfjdgl3_wei.gestao_crcr] on server [MySql.mysql7002.site4now.net]</t>
  </si>
  <si>
    <t>Start Column Properties of object [wei.gestao_crcr]</t>
  </si>
  <si>
    <t>$B$2:$B$9</t>
  </si>
  <si>
    <t>$D$2:$D$9</t>
  </si>
  <si>
    <t>$E$2:$E$9</t>
  </si>
  <si>
    <t>=ISBLANK(E2)</t>
  </si>
  <si>
    <t>$F$2:$F$9</t>
  </si>
  <si>
    <t>$G$2:$G$9</t>
  </si>
  <si>
    <t>$H$2:$H$9</t>
  </si>
  <si>
    <t>$I$2:$I$9</t>
  </si>
  <si>
    <t>$J$2:$J$9</t>
  </si>
  <si>
    <t>$K$2:$K$9</t>
  </si>
  <si>
    <t>$L$2:$L$9</t>
  </si>
  <si>
    <t>$M$2:$M$9</t>
  </si>
  <si>
    <t>$N$2:$N$9</t>
  </si>
  <si>
    <t>$O$2:$O$9</t>
  </si>
  <si>
    <t>$P$2:$P$9</t>
  </si>
  <si>
    <t>$Q$2:$Q$9</t>
  </si>
  <si>
    <t>$R$2:$R$9</t>
  </si>
  <si>
    <t>End Column Properties of object [wei.gestao_crcr]</t>
  </si>
  <si>
    <t>Madino Inacio</t>
  </si>
  <si>
    <t>Icidua</t>
  </si>
  <si>
    <t>lqfjdgl3_wei.gestao_crcr</t>
  </si>
  <si>
    <t>SELECT * FROM lqfjdgl3_wei.gestao_crcr WHERE `data_digitacao` BETWEEN '2018/06/01' AND '2018/06/30' AND ocb='kubatsirana'</t>
  </si>
  <si>
    <t>Start Fields of object [lqfjdgl3_wei.lqfjdgl3_wei.servicos_bross] on server [MySql.mysql7002.site4now.net]</t>
  </si>
  <si>
    <t>End Fields of object [lqfjdgl3_wei.lqfjdgl3_wei.servicos_bross] on server [MySql.mysql7002.site4now.net]</t>
  </si>
  <si>
    <t>Start Column Properties of object [wei.servicos_bross]</t>
  </si>
  <si>
    <t>$B$2:$B$4</t>
  </si>
  <si>
    <t>$E$2:$E$4</t>
  </si>
  <si>
    <t>$F$2:$F$4</t>
  </si>
  <si>
    <t>$G$2:$G$4</t>
  </si>
  <si>
    <t>$H$2:$H$4</t>
  </si>
  <si>
    <t>$I$2:$I$4</t>
  </si>
  <si>
    <t>$J$2:$J$4</t>
  </si>
  <si>
    <t>$K$2:$K$4</t>
  </si>
  <si>
    <t>$L$2:$L$4</t>
  </si>
  <si>
    <t>$M$2:$M$4</t>
  </si>
  <si>
    <t>$N$2:$N$4</t>
  </si>
  <si>
    <t>$O$2:$O$4</t>
  </si>
  <si>
    <t>$P$2:$P$4</t>
  </si>
  <si>
    <t>$Q$2:$Q$4</t>
  </si>
  <si>
    <t>$R$2:$R$4</t>
  </si>
  <si>
    <t>$S$2:$S$4</t>
  </si>
  <si>
    <t>$T$2:$T$4</t>
  </si>
  <si>
    <t>$U$2:$U$4</t>
  </si>
  <si>
    <t>$V$2:$V$4</t>
  </si>
  <si>
    <t>$W$2:$W$4</t>
  </si>
  <si>
    <t>$X$2:$X$4</t>
  </si>
  <si>
    <t>$Y$2:$Y$4</t>
  </si>
  <si>
    <t>End Column Properties of object [wei.servicos_bross]</t>
  </si>
  <si>
    <t xml:space="preserve"> Domingos Jose Sulo</t>
  </si>
  <si>
    <t>Amos Lucas</t>
  </si>
  <si>
    <t>lqfjdgl3_wei.servicos_bross</t>
  </si>
  <si>
    <t>SELECT * FROM lqfjdgl3_wei.servicos_bross  WHERE `data_digitacao` BETWEEN '2018/06/01' AND '2018/06/30' AND ocb='kubatsirana'</t>
  </si>
  <si>
    <t>Start Fields of object [lqfjdgl3_wei.lqfjdgl3_wei.mac] on server [MySql.mysql7002.site4now.net]</t>
  </si>
  <si>
    <t>End Fields of object [lqfjdgl3_wei.lqfjdgl3_wei.mac] on server [MySql.mysql7002.site4now.net]</t>
  </si>
  <si>
    <t>Start Column Properties of object [wei.mac]</t>
  </si>
  <si>
    <t>$BC$2</t>
  </si>
  <si>
    <t>$BD$2</t>
  </si>
  <si>
    <t>$BE$2</t>
  </si>
  <si>
    <t>$BF$2</t>
  </si>
  <si>
    <t>$BG$2</t>
  </si>
  <si>
    <t>$D$2:$D$4</t>
  </si>
  <si>
    <t>$Z$2:$Z$4</t>
  </si>
  <si>
    <t>$AA$2:$AA$4</t>
  </si>
  <si>
    <t>$AB$2:$AB$4</t>
  </si>
  <si>
    <t>$AC$2:$AC$4</t>
  </si>
  <si>
    <t>$AD$2:$AD$4</t>
  </si>
  <si>
    <t>=ISBLANK(AD2)</t>
  </si>
  <si>
    <t>$AE$2:$AE$4</t>
  </si>
  <si>
    <t>=ISBLANK(AE2)</t>
  </si>
  <si>
    <t>$AF$2:$AF$4</t>
  </si>
  <si>
    <t>=ISBLANK(AF2)</t>
  </si>
  <si>
    <t>$AG$2:$AG$4</t>
  </si>
  <si>
    <t>=ISBLANK(AG2)</t>
  </si>
  <si>
    <t>$AH$2:$AH$4</t>
  </si>
  <si>
    <t>=ISBLANK(AH2)</t>
  </si>
  <si>
    <t>$AI$2:$AI$4</t>
  </si>
  <si>
    <t>=ISBLANK(AI2)</t>
  </si>
  <si>
    <t>$AJ$2:$AJ$4</t>
  </si>
  <si>
    <t>=ISBLANK(AJ2)</t>
  </si>
  <si>
    <t>$AK$2:$AK$4</t>
  </si>
  <si>
    <t>=ISBLANK(AK2)</t>
  </si>
  <si>
    <t>$AL$2:$AL$4</t>
  </si>
  <si>
    <t>=ISBLANK(AL2)</t>
  </si>
  <si>
    <t>$AM$2:$AM$4</t>
  </si>
  <si>
    <t>=ISBLANK(AM2)</t>
  </si>
  <si>
    <t>$AN$2:$AN$4</t>
  </si>
  <si>
    <t>=ISBLANK(AN2)</t>
  </si>
  <si>
    <t>$AO$2:$AO$4</t>
  </si>
  <si>
    <t>=ISBLANK(AO2)</t>
  </si>
  <si>
    <t>$AP$2:$AP$4</t>
  </si>
  <si>
    <t>=ISBLANK(AP2)</t>
  </si>
  <si>
    <t>$AQ$2:$AQ$4</t>
  </si>
  <si>
    <t>=ISBLANK(AQ2)</t>
  </si>
  <si>
    <t>$AR$2:$AR$4</t>
  </si>
  <si>
    <t>=ISBLANK(AR2)</t>
  </si>
  <si>
    <t>$AS$2:$AS$4</t>
  </si>
  <si>
    <t>$AT$2:$AT$4</t>
  </si>
  <si>
    <t>=ISBLANK(AT2)</t>
  </si>
  <si>
    <t>$AU$2:$AU$4</t>
  </si>
  <si>
    <t>=ISBLANK(AU2)</t>
  </si>
  <si>
    <t>$AV$2:$AV$4</t>
  </si>
  <si>
    <t>=ISBLANK(AV2)</t>
  </si>
  <si>
    <t>$AW$2:$AW$4</t>
  </si>
  <si>
    <t>=ISBLANK(AW2)</t>
  </si>
  <si>
    <t>$AX$2:$AX$4</t>
  </si>
  <si>
    <t>=ISBLANK(AX2)</t>
  </si>
  <si>
    <t>$AY$2:$AY$4</t>
  </si>
  <si>
    <t>=ISBLANK(AY2)</t>
  </si>
  <si>
    <t>$AZ$2:$AZ$4</t>
  </si>
  <si>
    <t>=ISBLANK(AZ2)</t>
  </si>
  <si>
    <t>$BA$2:$BA$4</t>
  </si>
  <si>
    <t>=ISBLANK(BA2)</t>
  </si>
  <si>
    <t>$BB$2:$BB$4</t>
  </si>
  <si>
    <t>=ISBLANK(BB2)</t>
  </si>
  <si>
    <t>$BC$2:$BC$4</t>
  </si>
  <si>
    <t>=ISBLANK(BC2)</t>
  </si>
  <si>
    <t>$BD$2:$BD$4</t>
  </si>
  <si>
    <t>=ISBLANK(BD2)</t>
  </si>
  <si>
    <t>$BE$2:$BE$4</t>
  </si>
  <si>
    <t>=ISBLANK(BE2)</t>
  </si>
  <si>
    <t>$BG$2:$BG$4</t>
  </si>
  <si>
    <t>=ISBLANK(BG2)</t>
  </si>
  <si>
    <t>End Column Properties of object [wei.mac]</t>
  </si>
  <si>
    <t>Jose sulo</t>
  </si>
  <si>
    <t xml:space="preserve"> sulo Domingos </t>
  </si>
  <si>
    <t>899789</t>
  </si>
  <si>
    <t>lqfjdgl3_wei.mac</t>
  </si>
  <si>
    <t>SELECT * FROM lqfjdgl3_wei.mac  WHERE `data_digitacao` BETWEEN '2018/06/01' AND '2018/06/30' AND nome_ocb='kubatsirana'</t>
  </si>
  <si>
    <t>Start Fields of object [lqfjdgl3_wei.lqfjdgl3_wei.planoacao] on server [MySql.mysql7002.site4now.net]</t>
  </si>
  <si>
    <t>End Fields of object [lqfjdgl3_wei.lqfjdgl3_wei.planoacao] on server [MySql.mysql7002.site4now.net]</t>
  </si>
  <si>
    <t>Start Column Properties of object [wei.planoacao]</t>
  </si>
  <si>
    <t>$B$2:$B$6</t>
  </si>
  <si>
    <t>$D$2:$D$6</t>
  </si>
  <si>
    <t>$E$2:$E$6</t>
  </si>
  <si>
    <t>$F$2:$F$6</t>
  </si>
  <si>
    <t>$G$2:$G$6</t>
  </si>
  <si>
    <t>$H$2:$H$6</t>
  </si>
  <si>
    <t>$I$2:$I$6</t>
  </si>
  <si>
    <t>$J$2:$J$6</t>
  </si>
  <si>
    <t>$K$2:$K$6</t>
  </si>
  <si>
    <t>$L$2:$L$6</t>
  </si>
  <si>
    <t>$M$2:$M$6</t>
  </si>
  <si>
    <t>$N$2:$N$6</t>
  </si>
  <si>
    <t>$O$2:$O$6</t>
  </si>
  <si>
    <t>$P$2:$P$6</t>
  </si>
  <si>
    <t>$Q$2:$Q$6</t>
  </si>
  <si>
    <t>$R$2:$R$6</t>
  </si>
  <si>
    <t>$S$2:$S$6</t>
  </si>
  <si>
    <t>$T$2:$T$6</t>
  </si>
  <si>
    <t>$U$2:$U$6</t>
  </si>
  <si>
    <t>$V$2:$V$6</t>
  </si>
  <si>
    <t>$W$2:$W$6</t>
  </si>
  <si>
    <t>$X$2:$X$6</t>
  </si>
  <si>
    <t>$Y$2:$Y$6</t>
  </si>
  <si>
    <t>$Z$2:$Z$6</t>
  </si>
  <si>
    <t>$AA$2:$AA$6</t>
  </si>
  <si>
    <t>$AB$2:$AB$6</t>
  </si>
  <si>
    <t>$AC$2:$AC$6</t>
  </si>
  <si>
    <t>$AD$2:$AD$6</t>
  </si>
  <si>
    <t>$AE$2:$AE$6</t>
  </si>
  <si>
    <t>$AF$2:$AF$6</t>
  </si>
  <si>
    <t>$AG$2:$AG$6</t>
  </si>
  <si>
    <t>End Column Properties of object [wei.planoacao]</t>
  </si>
  <si>
    <t>ZQUB26310</t>
  </si>
  <si>
    <t>Domingos Jose Sulo</t>
  </si>
  <si>
    <t>Saude</t>
  </si>
  <si>
    <t>lqfjdgl3_wei.planoacao</t>
  </si>
  <si>
    <t>SELECT * FROM lqfjdgl3_wei.planoacao  WHERE `data_digitacao` BETWEEN '2018/06/01' AND '2018/06/30' AND nomeOCB='kubatsirana'</t>
  </si>
  <si>
    <t>Start Fields of object [lqfjdgl3_wei.lqfjdgl3_wei.lista_covs] on server [MySql.mysql7002.site4now.net]</t>
  </si>
  <si>
    <t>End Fields of object [lqfjdgl3_wei.lqfjdgl3_wei.lista_covs] on server [MySql.mysql7002.site4now.net]</t>
  </si>
  <si>
    <t>Start Objects of query object [lqfjdgl3_wei.lqfjdgl3_wei] on server [MySql.mysql7002.site4now.net]</t>
  </si>
  <si>
    <t>lqfjdgl3_wei.lista_covs</t>
  </si>
  <si>
    <t>lqfjdgl3_wei.presenca</t>
  </si>
  <si>
    <t>End Objects of query object [lqfjdgl3_wei.lqfjdgl3_wei] on server [MySql.mysql7002.site4now.net]</t>
  </si>
  <si>
    <t>dbn</t>
  </si>
  <si>
    <t>Start IDs of object [lqfjdgl3_wei.lista_covs] on sheet [lista_covs]</t>
  </si>
  <si>
    <t>End IDs of object [lqfjdgl3_wei.lista_covs] on sheet [lista_covs]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</si>
</sst>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_-* #,##0_-;\-* #,##0_-;_-* &quot;-&quot;_-;_-@_-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48"/>
      <color theme="10"/>
      <name val="Calibri"/>
      <family val="2"/>
      <scheme val="minor"/>
    </font>
    <font>
      <b/>
      <sz val="26"/>
      <name val="Times New Roman"/>
      <family val="1"/>
    </font>
    <font>
      <b/>
      <sz val="12"/>
      <name val="Times New Roman"/>
      <family val="1"/>
    </font>
    <font>
      <sz val="8"/>
      <color theme="1"/>
      <name val="Calibri"/>
      <family val="2"/>
      <scheme val="minor"/>
    </font>
    <font>
      <sz val="48"/>
      <color theme="3" tint="-0.249977111117893"/>
      <name val="Calibri Light"/>
      <family val="1"/>
      <scheme val="major"/>
    </font>
    <font>
      <b/>
      <sz val="2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2"/>
      <color indexed="8"/>
      <name val="Calibri"/>
      <family val="2"/>
    </font>
    <font>
      <sz val="22"/>
      <color theme="1"/>
      <name val="Arial Black"/>
      <family val="2"/>
    </font>
    <font>
      <sz val="12"/>
      <color rgb="FFFF0000"/>
      <name val="Calibri"/>
      <family val="2"/>
      <scheme val="minor"/>
    </font>
    <font>
      <sz val="20"/>
      <color rgb="FFFF0000"/>
      <name val="Calibri"/>
      <family val="2"/>
      <scheme val="minor"/>
    </font>
    <font>
      <b/>
      <sz val="22"/>
      <color theme="0"/>
      <name val="Calibri"/>
      <family val="2"/>
    </font>
    <font>
      <b/>
      <sz val="22"/>
      <color theme="0"/>
      <name val="Calibri"/>
      <family val="2"/>
      <scheme val="minor"/>
    </font>
    <font>
      <sz val="2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6"/>
      <color theme="1"/>
      <name val="Calibri"/>
      <family val="2"/>
    </font>
    <font>
      <b/>
      <sz val="26"/>
      <color indexed="8"/>
      <name val="Calibri"/>
      <family val="2"/>
    </font>
    <font>
      <b/>
      <sz val="26"/>
      <color indexed="10"/>
      <name val="Calibri"/>
      <family val="2"/>
    </font>
    <font>
      <b/>
      <sz val="26"/>
      <color rgb="FFFF0000"/>
      <name val="Calibri"/>
      <family val="2"/>
    </font>
    <font>
      <sz val="22"/>
      <color rgb="FFFF0000"/>
      <name val="Calibri"/>
      <family val="2"/>
      <scheme val="minor"/>
    </font>
    <font>
      <b/>
      <sz val="24"/>
      <color indexed="10"/>
      <name val="Calibri"/>
      <family val="2"/>
    </font>
    <font>
      <b/>
      <i/>
      <sz val="18"/>
      <color indexed="10"/>
      <name val="Calibri"/>
      <family val="2"/>
    </font>
    <font>
      <b/>
      <sz val="28"/>
      <color theme="0"/>
      <name val="Calibri"/>
      <family val="2"/>
    </font>
    <font>
      <b/>
      <sz val="24"/>
      <color theme="1"/>
      <name val="Calibri"/>
      <family val="2"/>
      <scheme val="minor"/>
    </font>
    <font>
      <b/>
      <sz val="22"/>
      <color theme="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48"/>
      <color theme="0"/>
      <name val="Calibri Light"/>
      <family val="2"/>
      <scheme val="major"/>
    </font>
    <font>
      <sz val="8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002060"/>
        <bgColor indexed="64"/>
      </patternFill>
    </fill>
  </fills>
  <borders count="167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ck">
        <color rgb="FFFF0000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ck">
        <color rgb="FFFF0000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rgb="FFFF0000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0000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ck">
        <color rgb="FFFF0000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rgb="FFFF0000"/>
      </left>
      <right/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rgb="FFFF0000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rgb="FFFF0000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ck">
        <color rgb="FFFF0000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ck">
        <color rgb="FFFF0000"/>
      </left>
      <right/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rgb="FFFF0000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rgb="FFFF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rgb="FFFF0000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ck">
        <color rgb="FFFF0000"/>
      </left>
      <right/>
      <top style="thin">
        <color indexed="64"/>
      </top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rgb="FFFF0000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rgb="FFFF0000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FF0000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FF0000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ck">
        <color rgb="FFFF0000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514">
    <xf numFmtId="0" fontId="0" fillId="0" borderId="0" xfId="0"/>
    <xf numFmtId="14" fontId="0" fillId="0" borderId="0" xfId="0" applyNumberFormat="1"/>
    <xf numFmtId="0" fontId="3" fillId="0" borderId="0" xfId="3" applyFont="1" applyFill="1" applyAlignment="1" applyProtection="1">
      <alignment vertical="center"/>
      <protection locked="0"/>
    </xf>
    <xf numFmtId="0" fontId="4" fillId="0" borderId="0" xfId="0" applyFont="1" applyAlignment="1" applyProtection="1">
      <alignment vertical="center"/>
      <protection locked="0"/>
    </xf>
    <xf numFmtId="0" fontId="5" fillId="0" borderId="0" xfId="0" applyFont="1" applyAlignment="1" applyProtection="1">
      <alignment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left"/>
      <protection locked="0"/>
    </xf>
    <xf numFmtId="0" fontId="6" fillId="0" borderId="0" xfId="0" applyFont="1" applyFill="1" applyAlignment="1" applyProtection="1">
      <alignment vertical="center"/>
      <protection locked="0"/>
    </xf>
    <xf numFmtId="0" fontId="6" fillId="0" borderId="0" xfId="0" applyFont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horizontal="center" vertical="center"/>
      <protection locked="0"/>
    </xf>
    <xf numFmtId="0" fontId="9" fillId="0" borderId="0" xfId="0" applyFont="1" applyBorder="1" applyAlignment="1" applyProtection="1">
      <alignment horizontal="center" vertical="center"/>
      <protection locked="0"/>
    </xf>
    <xf numFmtId="165" fontId="11" fillId="2" borderId="4" xfId="2" applyNumberFormat="1" applyFont="1" applyFill="1" applyBorder="1" applyAlignment="1" applyProtection="1">
      <alignment vertical="center"/>
      <protection locked="0"/>
    </xf>
    <xf numFmtId="165" fontId="11" fillId="2" borderId="5" xfId="2" applyNumberFormat="1" applyFont="1" applyFill="1" applyBorder="1" applyAlignment="1" applyProtection="1">
      <alignment vertical="center"/>
      <protection locked="0"/>
    </xf>
    <xf numFmtId="165" fontId="10" fillId="3" borderId="6" xfId="2" applyNumberFormat="1" applyFont="1" applyFill="1" applyBorder="1" applyAlignment="1" applyProtection="1">
      <alignment vertical="center" wrapText="1"/>
      <protection locked="0"/>
    </xf>
    <xf numFmtId="165" fontId="10" fillId="3" borderId="5" xfId="2" applyNumberFormat="1" applyFont="1" applyFill="1" applyBorder="1" applyAlignment="1" applyProtection="1">
      <alignment vertical="center" wrapText="1"/>
      <protection locked="0"/>
    </xf>
    <xf numFmtId="165" fontId="10" fillId="3" borderId="5" xfId="2" applyNumberFormat="1" applyFont="1" applyFill="1" applyBorder="1" applyAlignment="1" applyProtection="1">
      <alignment vertical="center"/>
      <protection locked="0"/>
    </xf>
    <xf numFmtId="165" fontId="10" fillId="3" borderId="7" xfId="2" applyNumberFormat="1" applyFont="1" applyFill="1" applyBorder="1" applyAlignment="1" applyProtection="1">
      <alignment vertical="center" wrapText="1"/>
      <protection locked="0"/>
    </xf>
    <xf numFmtId="0" fontId="12" fillId="0" borderId="0" xfId="0" applyFont="1" applyAlignment="1" applyProtection="1">
      <alignment horizontal="left"/>
      <protection locked="0"/>
    </xf>
    <xf numFmtId="0" fontId="10" fillId="2" borderId="14" xfId="0" applyFont="1" applyFill="1" applyBorder="1" applyAlignment="1" applyProtection="1">
      <alignment horizontal="center" vertical="center"/>
      <protection locked="0"/>
    </xf>
    <xf numFmtId="16" fontId="10" fillId="2" borderId="15" xfId="0" quotePrefix="1" applyNumberFormat="1" applyFont="1" applyFill="1" applyBorder="1" applyAlignment="1" applyProtection="1">
      <alignment horizontal="center" vertical="center"/>
      <protection locked="0"/>
    </xf>
    <xf numFmtId="0" fontId="10" fillId="2" borderId="16" xfId="0" quotePrefix="1" applyFont="1" applyFill="1" applyBorder="1" applyAlignment="1" applyProtection="1">
      <alignment horizontal="center" vertical="center"/>
      <protection locked="0"/>
    </xf>
    <xf numFmtId="0" fontId="10" fillId="2" borderId="17" xfId="0" quotePrefix="1" applyFont="1" applyFill="1" applyBorder="1" applyAlignment="1" applyProtection="1">
      <alignment horizontal="center" vertical="center"/>
      <protection locked="0"/>
    </xf>
    <xf numFmtId="0" fontId="10" fillId="2" borderId="18" xfId="0" quotePrefix="1" applyFont="1" applyFill="1" applyBorder="1" applyAlignment="1" applyProtection="1">
      <alignment horizontal="center" vertical="center"/>
      <protection locked="0"/>
    </xf>
    <xf numFmtId="0" fontId="10" fillId="2" borderId="15" xfId="0" quotePrefix="1" applyFont="1" applyFill="1" applyBorder="1" applyAlignment="1" applyProtection="1">
      <alignment horizontal="center" vertical="center"/>
      <protection locked="0"/>
    </xf>
    <xf numFmtId="0" fontId="10" fillId="2" borderId="19" xfId="0" applyFont="1" applyFill="1" applyBorder="1" applyAlignment="1" applyProtection="1">
      <alignment horizontal="center" vertical="center"/>
      <protection locked="0"/>
    </xf>
    <xf numFmtId="0" fontId="10" fillId="3" borderId="20" xfId="0" applyFont="1" applyFill="1" applyBorder="1" applyAlignment="1" applyProtection="1">
      <alignment horizontal="center" vertical="center"/>
      <protection locked="0"/>
    </xf>
    <xf numFmtId="0" fontId="10" fillId="3" borderId="18" xfId="0" applyFont="1" applyFill="1" applyBorder="1" applyAlignment="1" applyProtection="1">
      <alignment horizontal="center" vertical="center"/>
      <protection locked="0"/>
    </xf>
    <xf numFmtId="0" fontId="10" fillId="3" borderId="17" xfId="0" applyFont="1" applyFill="1" applyBorder="1" applyAlignment="1" applyProtection="1">
      <alignment horizontal="center" vertical="center"/>
      <protection locked="0"/>
    </xf>
    <xf numFmtId="0" fontId="10" fillId="3" borderId="21" xfId="0" applyFont="1" applyFill="1" applyBorder="1" applyAlignment="1" applyProtection="1">
      <alignment horizontal="center" vertical="center"/>
      <protection locked="0"/>
    </xf>
    <xf numFmtId="0" fontId="10" fillId="2" borderId="22" xfId="0" applyFont="1" applyFill="1" applyBorder="1" applyAlignment="1" applyProtection="1">
      <alignment horizontal="center" vertical="center" wrapText="1"/>
      <protection locked="0"/>
    </xf>
    <xf numFmtId="0" fontId="10" fillId="2" borderId="23" xfId="0" applyFont="1" applyFill="1" applyBorder="1" applyAlignment="1" applyProtection="1">
      <alignment horizontal="center" vertical="center" wrapText="1"/>
      <protection locked="0"/>
    </xf>
    <xf numFmtId="0" fontId="13" fillId="0" borderId="0" xfId="0" applyFont="1" applyAlignment="1" applyProtection="1">
      <alignment horizontal="justify" vertical="center"/>
      <protection locked="0"/>
    </xf>
    <xf numFmtId="165" fontId="14" fillId="0" borderId="25" xfId="2" applyNumberFormat="1" applyFont="1" applyFill="1" applyBorder="1" applyAlignment="1" applyProtection="1">
      <alignment horizontal="center" vertical="center" wrapText="1"/>
      <protection locked="0"/>
    </xf>
    <xf numFmtId="166" fontId="16" fillId="4" borderId="27" xfId="0" applyNumberFormat="1" applyFont="1" applyFill="1" applyBorder="1" applyAlignment="1" applyProtection="1">
      <alignment horizontal="center" vertical="center"/>
      <protection hidden="1"/>
    </xf>
    <xf numFmtId="166" fontId="16" fillId="4" borderId="28" xfId="0" applyNumberFormat="1" applyFont="1" applyFill="1" applyBorder="1" applyAlignment="1" applyProtection="1">
      <alignment horizontal="center" vertical="center"/>
      <protection hidden="1"/>
    </xf>
    <xf numFmtId="166" fontId="16" fillId="4" borderId="29" xfId="0" applyNumberFormat="1" applyFont="1" applyFill="1" applyBorder="1" applyAlignment="1" applyProtection="1">
      <alignment horizontal="center" vertical="center"/>
      <protection hidden="1"/>
    </xf>
    <xf numFmtId="166" fontId="16" fillId="4" borderId="30" xfId="0" applyNumberFormat="1" applyFont="1" applyFill="1" applyBorder="1" applyAlignment="1" applyProtection="1">
      <alignment horizontal="center" vertical="center"/>
      <protection hidden="1"/>
    </xf>
    <xf numFmtId="166" fontId="16" fillId="4" borderId="31" xfId="0" applyNumberFormat="1" applyFont="1" applyFill="1" applyBorder="1" applyAlignment="1" applyProtection="1">
      <alignment horizontal="center" vertical="center"/>
      <protection hidden="1"/>
    </xf>
    <xf numFmtId="166" fontId="16" fillId="4" borderId="32" xfId="0" applyNumberFormat="1" applyFont="1" applyFill="1" applyBorder="1" applyAlignment="1" applyProtection="1">
      <alignment horizontal="center" vertical="center"/>
      <protection hidden="1"/>
    </xf>
    <xf numFmtId="166" fontId="16" fillId="4" borderId="33" xfId="0" applyNumberFormat="1" applyFont="1" applyFill="1" applyBorder="1" applyAlignment="1" applyProtection="1">
      <alignment horizontal="center" vertical="center"/>
      <protection hidden="1"/>
    </xf>
    <xf numFmtId="166" fontId="16" fillId="4" borderId="34" xfId="0" applyNumberFormat="1" applyFont="1" applyFill="1" applyBorder="1" applyAlignment="1" applyProtection="1">
      <alignment horizontal="center" vertical="center"/>
      <protection hidden="1"/>
    </xf>
    <xf numFmtId="165" fontId="16" fillId="4" borderId="35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32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36" xfId="0" applyNumberFormat="1" applyFont="1" applyFill="1" applyBorder="1" applyAlignment="1" applyProtection="1">
      <alignment horizontal="center" vertical="center"/>
      <protection hidden="1"/>
    </xf>
    <xf numFmtId="0" fontId="17" fillId="0" borderId="0" xfId="0" applyFont="1" applyAlignment="1" applyProtection="1">
      <alignment horizontal="left"/>
      <protection locked="0"/>
    </xf>
    <xf numFmtId="165" fontId="17" fillId="0" borderId="0" xfId="0" applyNumberFormat="1" applyFont="1" applyAlignment="1" applyProtection="1">
      <alignment horizontal="left"/>
      <protection locked="0"/>
    </xf>
    <xf numFmtId="0" fontId="18" fillId="0" borderId="0" xfId="0" applyFont="1" applyAlignment="1" applyProtection="1">
      <alignment horizontal="justify" vertical="center"/>
      <protection locked="0"/>
    </xf>
    <xf numFmtId="166" fontId="16" fillId="5" borderId="27" xfId="0" applyNumberFormat="1" applyFont="1" applyFill="1" applyBorder="1" applyAlignment="1" applyProtection="1">
      <alignment horizontal="center" vertical="center"/>
      <protection hidden="1"/>
    </xf>
    <xf numFmtId="166" fontId="16" fillId="5" borderId="28" xfId="0" applyNumberFormat="1" applyFont="1" applyFill="1" applyBorder="1" applyAlignment="1" applyProtection="1">
      <alignment horizontal="center" vertical="center"/>
      <protection hidden="1"/>
    </xf>
    <xf numFmtId="166" fontId="16" fillId="5" borderId="29" xfId="0" applyNumberFormat="1" applyFont="1" applyFill="1" applyBorder="1" applyAlignment="1" applyProtection="1">
      <alignment horizontal="center" vertical="center"/>
      <protection hidden="1"/>
    </xf>
    <xf numFmtId="166" fontId="16" fillId="5" borderId="30" xfId="0" applyNumberFormat="1" applyFont="1" applyFill="1" applyBorder="1" applyAlignment="1" applyProtection="1">
      <alignment horizontal="center" vertical="center"/>
      <protection hidden="1"/>
    </xf>
    <xf numFmtId="166" fontId="16" fillId="5" borderId="31" xfId="0" applyNumberFormat="1" applyFont="1" applyFill="1" applyBorder="1" applyAlignment="1" applyProtection="1">
      <alignment horizontal="center" vertical="center"/>
      <protection hidden="1"/>
    </xf>
    <xf numFmtId="166" fontId="16" fillId="5" borderId="32" xfId="0" applyNumberFormat="1" applyFont="1" applyFill="1" applyBorder="1" applyAlignment="1" applyProtection="1">
      <alignment horizontal="center" vertical="center"/>
      <protection hidden="1"/>
    </xf>
    <xf numFmtId="166" fontId="16" fillId="5" borderId="33" xfId="0" applyNumberFormat="1" applyFont="1" applyFill="1" applyBorder="1" applyAlignment="1" applyProtection="1">
      <alignment horizontal="center" vertical="center"/>
      <protection hidden="1"/>
    </xf>
    <xf numFmtId="166" fontId="16" fillId="5" borderId="34" xfId="0" applyNumberFormat="1" applyFont="1" applyFill="1" applyBorder="1" applyAlignment="1" applyProtection="1">
      <alignment horizontal="center" vertical="center"/>
      <protection hidden="1"/>
    </xf>
    <xf numFmtId="165" fontId="16" fillId="5" borderId="35" xfId="2" applyNumberFormat="1" applyFont="1" applyFill="1" applyBorder="1" applyAlignment="1" applyProtection="1">
      <alignment horizontal="center" vertical="center" wrapText="1"/>
      <protection hidden="1"/>
    </xf>
    <xf numFmtId="165" fontId="16" fillId="5" borderId="37" xfId="2" applyNumberFormat="1" applyFont="1" applyFill="1" applyBorder="1" applyAlignment="1" applyProtection="1">
      <alignment horizontal="center" vertical="center" wrapText="1"/>
      <protection hidden="1"/>
    </xf>
    <xf numFmtId="165" fontId="16" fillId="5" borderId="36" xfId="0" applyNumberFormat="1" applyFont="1" applyFill="1" applyBorder="1" applyAlignment="1" applyProtection="1">
      <alignment horizontal="center" vertical="center"/>
      <protection hidden="1"/>
    </xf>
    <xf numFmtId="0" fontId="19" fillId="0" borderId="0" xfId="0" applyFont="1" applyAlignment="1" applyProtection="1">
      <alignment horizontal="justify" vertical="center"/>
      <protection locked="0"/>
    </xf>
    <xf numFmtId="166" fontId="10" fillId="0" borderId="38" xfId="0" applyNumberFormat="1" applyFont="1" applyBorder="1" applyAlignment="1" applyProtection="1">
      <alignment horizontal="center" vertical="center"/>
      <protection hidden="1"/>
    </xf>
    <xf numFmtId="166" fontId="10" fillId="0" borderId="39" xfId="0" applyNumberFormat="1" applyFont="1" applyBorder="1" applyAlignment="1" applyProtection="1">
      <alignment horizontal="center" vertical="center"/>
      <protection hidden="1"/>
    </xf>
    <xf numFmtId="166" fontId="10" fillId="0" borderId="40" xfId="0" applyNumberFormat="1" applyFont="1" applyBorder="1" applyAlignment="1" applyProtection="1">
      <alignment horizontal="center" vertical="center"/>
      <protection hidden="1"/>
    </xf>
    <xf numFmtId="166" fontId="10" fillId="0" borderId="41" xfId="0" applyNumberFormat="1" applyFont="1" applyBorder="1" applyAlignment="1" applyProtection="1">
      <alignment horizontal="center" vertical="center"/>
      <protection hidden="1"/>
    </xf>
    <xf numFmtId="166" fontId="10" fillId="0" borderId="42" xfId="0" applyNumberFormat="1" applyFont="1" applyBorder="1" applyAlignment="1" applyProtection="1">
      <alignment horizontal="center" vertical="center"/>
      <protection hidden="1"/>
    </xf>
    <xf numFmtId="166" fontId="10" fillId="0" borderId="43" xfId="0" applyNumberFormat="1" applyFont="1" applyBorder="1" applyAlignment="1" applyProtection="1">
      <alignment horizontal="center" vertical="center"/>
      <protection hidden="1"/>
    </xf>
    <xf numFmtId="166" fontId="10" fillId="0" borderId="44" xfId="0" applyNumberFormat="1" applyFont="1" applyBorder="1" applyAlignment="1" applyProtection="1">
      <alignment horizontal="center" vertical="center"/>
      <protection hidden="1"/>
    </xf>
    <xf numFmtId="165" fontId="10" fillId="6" borderId="4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46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47" xfId="0" applyNumberFormat="1" applyFont="1" applyFill="1" applyBorder="1" applyAlignment="1" applyProtection="1">
      <alignment horizontal="center" vertical="center"/>
      <protection hidden="1"/>
    </xf>
    <xf numFmtId="166" fontId="10" fillId="7" borderId="50" xfId="0" applyNumberFormat="1" applyFont="1" applyFill="1" applyBorder="1" applyAlignment="1" applyProtection="1">
      <alignment horizontal="center" vertical="center"/>
      <protection hidden="1"/>
    </xf>
    <xf numFmtId="166" fontId="10" fillId="7" borderId="51" xfId="0" applyNumberFormat="1" applyFont="1" applyFill="1" applyBorder="1" applyAlignment="1" applyProtection="1">
      <alignment horizontal="center" vertical="center"/>
      <protection hidden="1"/>
    </xf>
    <xf numFmtId="166" fontId="10" fillId="7" borderId="52" xfId="0" applyNumberFormat="1" applyFont="1" applyFill="1" applyBorder="1" applyAlignment="1" applyProtection="1">
      <alignment horizontal="center" vertical="center"/>
      <protection hidden="1"/>
    </xf>
    <xf numFmtId="166" fontId="10" fillId="7" borderId="53" xfId="0" applyNumberFormat="1" applyFont="1" applyFill="1" applyBorder="1" applyAlignment="1" applyProtection="1">
      <alignment horizontal="center" vertical="center"/>
      <protection hidden="1"/>
    </xf>
    <xf numFmtId="166" fontId="10" fillId="7" borderId="54" xfId="0" applyNumberFormat="1" applyFont="1" applyFill="1" applyBorder="1" applyAlignment="1" applyProtection="1">
      <alignment horizontal="center" vertical="center"/>
      <protection hidden="1"/>
    </xf>
    <xf numFmtId="166" fontId="10" fillId="7" borderId="48" xfId="0" applyNumberFormat="1" applyFont="1" applyFill="1" applyBorder="1" applyAlignment="1" applyProtection="1">
      <alignment horizontal="center" vertical="center"/>
      <protection hidden="1"/>
    </xf>
    <xf numFmtId="166" fontId="10" fillId="7" borderId="55" xfId="0" applyNumberFormat="1" applyFont="1" applyFill="1" applyBorder="1" applyAlignment="1" applyProtection="1">
      <alignment horizontal="center" vertical="center"/>
      <protection hidden="1"/>
    </xf>
    <xf numFmtId="166" fontId="10" fillId="7" borderId="56" xfId="0" applyNumberFormat="1" applyFont="1" applyFill="1" applyBorder="1" applyAlignment="1" applyProtection="1">
      <alignment horizontal="center" vertical="center"/>
      <protection hidden="1"/>
    </xf>
    <xf numFmtId="165" fontId="10" fillId="6" borderId="57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58" xfId="2" applyNumberFormat="1" applyFont="1" applyFill="1" applyBorder="1" applyAlignment="1" applyProtection="1">
      <alignment horizontal="center" vertical="center" wrapText="1"/>
      <protection hidden="1"/>
    </xf>
    <xf numFmtId="166" fontId="10" fillId="0" borderId="50" xfId="0" applyNumberFormat="1" applyFont="1" applyBorder="1" applyAlignment="1" applyProtection="1">
      <alignment horizontal="center" vertical="center"/>
      <protection hidden="1"/>
    </xf>
    <xf numFmtId="166" fontId="10" fillId="0" borderId="51" xfId="0" applyNumberFormat="1" applyFont="1" applyBorder="1" applyAlignment="1" applyProtection="1">
      <alignment horizontal="center" vertical="center"/>
      <protection hidden="1"/>
    </xf>
    <xf numFmtId="166" fontId="10" fillId="0" borderId="52" xfId="0" applyNumberFormat="1" applyFont="1" applyBorder="1" applyAlignment="1" applyProtection="1">
      <alignment horizontal="center" vertical="center"/>
      <protection hidden="1"/>
    </xf>
    <xf numFmtId="166" fontId="10" fillId="0" borderId="53" xfId="0" applyNumberFormat="1" applyFont="1" applyBorder="1" applyAlignment="1" applyProtection="1">
      <alignment horizontal="center" vertical="center"/>
      <protection hidden="1"/>
    </xf>
    <xf numFmtId="166" fontId="10" fillId="0" borderId="54" xfId="0" applyNumberFormat="1" applyFont="1" applyBorder="1" applyAlignment="1" applyProtection="1">
      <alignment horizontal="center" vertical="center"/>
      <protection hidden="1"/>
    </xf>
    <xf numFmtId="166" fontId="10" fillId="0" borderId="48" xfId="0" applyNumberFormat="1" applyFont="1" applyBorder="1" applyAlignment="1" applyProtection="1">
      <alignment horizontal="center" vertical="center"/>
      <protection hidden="1"/>
    </xf>
    <xf numFmtId="166" fontId="10" fillId="0" borderId="55" xfId="0" applyNumberFormat="1" applyFont="1" applyBorder="1" applyAlignment="1" applyProtection="1">
      <alignment horizontal="center" vertical="center"/>
      <protection hidden="1"/>
    </xf>
    <xf numFmtId="166" fontId="10" fillId="0" borderId="56" xfId="0" applyNumberFormat="1" applyFont="1" applyBorder="1" applyAlignment="1" applyProtection="1">
      <alignment horizontal="center" vertical="center"/>
      <protection hidden="1"/>
    </xf>
    <xf numFmtId="165" fontId="10" fillId="6" borderId="61" xfId="0" applyNumberFormat="1" applyFont="1" applyFill="1" applyBorder="1" applyAlignment="1" applyProtection="1">
      <alignment horizontal="center" vertical="center"/>
      <protection hidden="1"/>
    </xf>
    <xf numFmtId="166" fontId="10" fillId="0" borderId="64" xfId="0" applyNumberFormat="1" applyFont="1" applyBorder="1" applyAlignment="1" applyProtection="1">
      <alignment horizontal="center" vertical="center"/>
      <protection hidden="1"/>
    </xf>
    <xf numFmtId="166" fontId="10" fillId="0" borderId="65" xfId="0" applyNumberFormat="1" applyFont="1" applyBorder="1" applyAlignment="1" applyProtection="1">
      <alignment horizontal="center" vertical="center"/>
      <protection hidden="1"/>
    </xf>
    <xf numFmtId="166" fontId="10" fillId="0" borderId="66" xfId="0" applyNumberFormat="1" applyFont="1" applyBorder="1" applyAlignment="1" applyProtection="1">
      <alignment horizontal="center" vertical="center"/>
      <protection hidden="1"/>
    </xf>
    <xf numFmtId="166" fontId="10" fillId="0" borderId="67" xfId="0" applyNumberFormat="1" applyFont="1" applyBorder="1" applyAlignment="1" applyProtection="1">
      <alignment horizontal="center" vertical="center"/>
      <protection hidden="1"/>
    </xf>
    <xf numFmtId="166" fontId="10" fillId="0" borderId="68" xfId="0" applyNumberFormat="1" applyFont="1" applyBorder="1" applyAlignment="1" applyProtection="1">
      <alignment horizontal="center" vertical="center"/>
      <protection hidden="1"/>
    </xf>
    <xf numFmtId="166" fontId="10" fillId="0" borderId="69" xfId="0" applyNumberFormat="1" applyFont="1" applyBorder="1" applyAlignment="1" applyProtection="1">
      <alignment horizontal="center" vertical="center"/>
      <protection hidden="1"/>
    </xf>
    <xf numFmtId="166" fontId="10" fillId="0" borderId="70" xfId="0" applyNumberFormat="1" applyFont="1" applyBorder="1" applyAlignment="1" applyProtection="1">
      <alignment horizontal="center" vertical="center"/>
      <protection hidden="1"/>
    </xf>
    <xf numFmtId="166" fontId="10" fillId="0" borderId="71" xfId="0" applyNumberFormat="1" applyFont="1" applyBorder="1" applyAlignment="1" applyProtection="1">
      <alignment horizontal="center" vertical="center"/>
      <protection hidden="1"/>
    </xf>
    <xf numFmtId="165" fontId="10" fillId="6" borderId="72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73" xfId="0" applyNumberFormat="1" applyFont="1" applyFill="1" applyBorder="1" applyAlignment="1" applyProtection="1">
      <alignment horizontal="center" vertical="center"/>
      <protection hidden="1"/>
    </xf>
    <xf numFmtId="166" fontId="16" fillId="4" borderId="74" xfId="0" applyNumberFormat="1" applyFont="1" applyFill="1" applyBorder="1" applyAlignment="1" applyProtection="1">
      <alignment horizontal="center" vertical="center"/>
      <protection hidden="1"/>
    </xf>
    <xf numFmtId="166" fontId="16" fillId="4" borderId="75" xfId="0" applyNumberFormat="1" applyFont="1" applyFill="1" applyBorder="1" applyAlignment="1" applyProtection="1">
      <alignment horizontal="center" vertical="center"/>
      <protection hidden="1"/>
    </xf>
    <xf numFmtId="166" fontId="16" fillId="4" borderId="76" xfId="0" applyNumberFormat="1" applyFont="1" applyFill="1" applyBorder="1" applyAlignment="1" applyProtection="1">
      <alignment horizontal="center" vertical="center"/>
      <protection hidden="1"/>
    </xf>
    <xf numFmtId="166" fontId="16" fillId="4" borderId="77" xfId="0" applyNumberFormat="1" applyFont="1" applyFill="1" applyBorder="1" applyAlignment="1" applyProtection="1">
      <alignment horizontal="center" vertical="center"/>
      <protection hidden="1"/>
    </xf>
    <xf numFmtId="166" fontId="16" fillId="4" borderId="78" xfId="0" applyNumberFormat="1" applyFont="1" applyFill="1" applyBorder="1" applyAlignment="1" applyProtection="1">
      <alignment horizontal="center" vertical="center"/>
      <protection hidden="1"/>
    </xf>
    <xf numFmtId="166" fontId="16" fillId="4" borderId="12" xfId="0" applyNumberFormat="1" applyFont="1" applyFill="1" applyBorder="1" applyAlignment="1" applyProtection="1">
      <alignment horizontal="center" vertical="center"/>
      <protection hidden="1"/>
    </xf>
    <xf numFmtId="166" fontId="16" fillId="4" borderId="79" xfId="0" applyNumberFormat="1" applyFont="1" applyFill="1" applyBorder="1" applyAlignment="1" applyProtection="1">
      <alignment horizontal="center" vertical="center"/>
      <protection hidden="1"/>
    </xf>
    <xf numFmtId="166" fontId="16" fillId="4" borderId="80" xfId="0" applyNumberFormat="1" applyFont="1" applyFill="1" applyBorder="1" applyAlignment="1" applyProtection="1">
      <alignment horizontal="center" vertical="center"/>
      <protection hidden="1"/>
    </xf>
    <xf numFmtId="165" fontId="16" fillId="4" borderId="81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82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83" xfId="0" applyNumberFormat="1" applyFont="1" applyFill="1" applyBorder="1" applyAlignment="1" applyProtection="1">
      <alignment horizontal="center" vertical="center"/>
      <protection hidden="1"/>
    </xf>
    <xf numFmtId="166" fontId="10" fillId="0" borderId="38" xfId="0" applyNumberFormat="1" applyFont="1" applyFill="1" applyBorder="1" applyAlignment="1" applyProtection="1">
      <alignment horizontal="center" vertical="center"/>
      <protection hidden="1"/>
    </xf>
    <xf numFmtId="166" fontId="10" fillId="0" borderId="39" xfId="0" applyNumberFormat="1" applyFont="1" applyFill="1" applyBorder="1" applyAlignment="1" applyProtection="1">
      <alignment horizontal="center" vertical="center"/>
      <protection hidden="1"/>
    </xf>
    <xf numFmtId="166" fontId="10" fillId="0" borderId="85" xfId="0" applyNumberFormat="1" applyFont="1" applyFill="1" applyBorder="1" applyAlignment="1" applyProtection="1">
      <alignment horizontal="center" vertical="center"/>
      <protection hidden="1"/>
    </xf>
    <xf numFmtId="166" fontId="10" fillId="0" borderId="86" xfId="0" applyNumberFormat="1" applyFont="1" applyFill="1" applyBorder="1" applyAlignment="1" applyProtection="1">
      <alignment horizontal="center" vertical="center"/>
      <protection hidden="1"/>
    </xf>
    <xf numFmtId="166" fontId="10" fillId="0" borderId="42" xfId="0" applyNumberFormat="1" applyFont="1" applyFill="1" applyBorder="1" applyAlignment="1" applyProtection="1">
      <alignment horizontal="center" vertical="center"/>
      <protection hidden="1"/>
    </xf>
    <xf numFmtId="166" fontId="10" fillId="0" borderId="87" xfId="0" applyNumberFormat="1" applyFont="1" applyFill="1" applyBorder="1" applyAlignment="1" applyProtection="1">
      <alignment horizontal="center" vertical="center"/>
      <protection hidden="1"/>
    </xf>
    <xf numFmtId="166" fontId="10" fillId="0" borderId="6" xfId="0" applyNumberFormat="1" applyFont="1" applyFill="1" applyBorder="1" applyAlignment="1" applyProtection="1">
      <alignment horizontal="center" vertical="center"/>
      <protection hidden="1"/>
    </xf>
    <xf numFmtId="166" fontId="10" fillId="0" borderId="40" xfId="0" applyNumberFormat="1" applyFont="1" applyFill="1" applyBorder="1" applyAlignment="1" applyProtection="1">
      <alignment horizontal="center" vertical="center"/>
      <protection hidden="1"/>
    </xf>
    <xf numFmtId="166" fontId="10" fillId="0" borderId="44" xfId="0" applyNumberFormat="1" applyFont="1" applyFill="1" applyBorder="1" applyAlignment="1" applyProtection="1">
      <alignment horizontal="center" vertical="center"/>
      <protection hidden="1"/>
    </xf>
    <xf numFmtId="165" fontId="10" fillId="0" borderId="88" xfId="2" applyNumberFormat="1" applyFont="1" applyFill="1" applyBorder="1" applyAlignment="1" applyProtection="1">
      <alignment horizontal="center" vertical="center" wrapText="1"/>
      <protection hidden="1"/>
    </xf>
    <xf numFmtId="165" fontId="10" fillId="0" borderId="89" xfId="0" applyNumberFormat="1" applyFont="1" applyFill="1" applyBorder="1" applyAlignment="1" applyProtection="1">
      <alignment horizontal="center" vertical="center"/>
      <protection hidden="1"/>
    </xf>
    <xf numFmtId="0" fontId="17" fillId="0" borderId="0" xfId="0" applyFont="1" applyFill="1" applyAlignment="1" applyProtection="1">
      <alignment horizontal="left"/>
      <protection locked="0"/>
    </xf>
    <xf numFmtId="0" fontId="19" fillId="0" borderId="0" xfId="0" applyFont="1" applyFill="1" applyAlignment="1" applyProtection="1">
      <alignment horizontal="justify" vertical="center"/>
      <protection locked="0"/>
    </xf>
    <xf numFmtId="166" fontId="10" fillId="0" borderId="14" xfId="0" applyNumberFormat="1" applyFont="1" applyFill="1" applyBorder="1" applyAlignment="1" applyProtection="1">
      <alignment horizontal="center" vertical="center"/>
      <protection hidden="1"/>
    </xf>
    <xf numFmtId="166" fontId="10" fillId="0" borderId="17" xfId="0" applyNumberFormat="1" applyFont="1" applyFill="1" applyBorder="1" applyAlignment="1" applyProtection="1">
      <alignment horizontal="center" vertical="center"/>
      <protection hidden="1"/>
    </xf>
    <xf numFmtId="166" fontId="10" fillId="0" borderId="18" xfId="0" applyNumberFormat="1" applyFont="1" applyFill="1" applyBorder="1" applyAlignment="1" applyProtection="1">
      <alignment horizontal="center" vertical="center"/>
      <protection hidden="1"/>
    </xf>
    <xf numFmtId="166" fontId="10" fillId="0" borderId="15" xfId="0" applyNumberFormat="1" applyFont="1" applyFill="1" applyBorder="1" applyAlignment="1" applyProtection="1">
      <alignment horizontal="center" vertical="center"/>
      <protection hidden="1"/>
    </xf>
    <xf numFmtId="165" fontId="10" fillId="0" borderId="91" xfId="2" applyNumberFormat="1" applyFont="1" applyFill="1" applyBorder="1" applyAlignment="1" applyProtection="1">
      <alignment horizontal="center" vertical="center" wrapText="1"/>
      <protection hidden="1"/>
    </xf>
    <xf numFmtId="165" fontId="10" fillId="0" borderId="92" xfId="0" applyNumberFormat="1" applyFont="1" applyFill="1" applyBorder="1" applyAlignment="1" applyProtection="1">
      <alignment horizontal="center" vertical="center"/>
      <protection hidden="1"/>
    </xf>
    <xf numFmtId="166" fontId="17" fillId="0" borderId="38" xfId="0" applyNumberFormat="1" applyFont="1" applyBorder="1" applyAlignment="1" applyProtection="1">
      <alignment horizontal="center" vertical="center"/>
      <protection hidden="1"/>
    </xf>
    <xf numFmtId="166" fontId="17" fillId="0" borderId="39" xfId="0" applyNumberFormat="1" applyFont="1" applyBorder="1" applyAlignment="1" applyProtection="1">
      <alignment horizontal="center" vertical="center"/>
      <protection hidden="1"/>
    </xf>
    <xf numFmtId="166" fontId="17" fillId="0" borderId="40" xfId="0" applyNumberFormat="1" applyFont="1" applyBorder="1" applyAlignment="1" applyProtection="1">
      <alignment horizontal="center" vertical="center"/>
      <protection hidden="1"/>
    </xf>
    <xf numFmtId="166" fontId="17" fillId="0" borderId="41" xfId="0" applyNumberFormat="1" applyFont="1" applyBorder="1" applyAlignment="1" applyProtection="1">
      <alignment horizontal="center" vertical="center"/>
      <protection hidden="1"/>
    </xf>
    <xf numFmtId="166" fontId="17" fillId="0" borderId="42" xfId="0" applyNumberFormat="1" applyFont="1" applyBorder="1" applyAlignment="1" applyProtection="1">
      <alignment horizontal="center" vertical="center"/>
      <protection hidden="1"/>
    </xf>
    <xf numFmtId="166" fontId="17" fillId="0" borderId="43" xfId="0" applyNumberFormat="1" applyFont="1" applyBorder="1" applyAlignment="1" applyProtection="1">
      <alignment horizontal="center" vertical="center"/>
      <protection hidden="1"/>
    </xf>
    <xf numFmtId="166" fontId="17" fillId="0" borderId="93" xfId="0" applyNumberFormat="1" applyFont="1" applyBorder="1" applyAlignment="1" applyProtection="1">
      <alignment horizontal="center" vertical="center"/>
      <protection hidden="1"/>
    </xf>
    <xf numFmtId="166" fontId="17" fillId="0" borderId="85" xfId="0" applyNumberFormat="1" applyFont="1" applyBorder="1" applyAlignment="1" applyProtection="1">
      <alignment horizontal="center" vertical="center"/>
      <protection hidden="1"/>
    </xf>
    <xf numFmtId="166" fontId="17" fillId="0" borderId="86" xfId="0" applyNumberFormat="1" applyFont="1" applyBorder="1" applyAlignment="1" applyProtection="1">
      <alignment horizontal="center" vertical="center"/>
      <protection hidden="1"/>
    </xf>
    <xf numFmtId="166" fontId="17" fillId="0" borderId="44" xfId="0" applyNumberFormat="1" applyFont="1" applyBorder="1" applyAlignment="1" applyProtection="1">
      <alignment horizontal="center" vertical="center"/>
      <protection hidden="1"/>
    </xf>
    <xf numFmtId="166" fontId="10" fillId="0" borderId="94" xfId="0" applyNumberFormat="1" applyFont="1" applyBorder="1" applyAlignment="1" applyProtection="1">
      <alignment horizontal="center" vertical="center"/>
      <protection hidden="1"/>
    </xf>
    <xf numFmtId="165" fontId="10" fillId="6" borderId="9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7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8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9" xfId="0" applyNumberFormat="1" applyFont="1" applyFill="1" applyBorder="1" applyAlignment="1" applyProtection="1">
      <alignment horizontal="center" vertical="center"/>
      <protection hidden="1"/>
    </xf>
    <xf numFmtId="0" fontId="8" fillId="8" borderId="101" xfId="0" applyFont="1" applyFill="1" applyBorder="1" applyAlignment="1" applyProtection="1">
      <alignment vertical="center"/>
      <protection locked="0"/>
    </xf>
    <xf numFmtId="0" fontId="10" fillId="8" borderId="102" xfId="0" applyFont="1" applyFill="1" applyBorder="1" applyAlignment="1" applyProtection="1">
      <alignment vertical="center"/>
      <protection locked="0"/>
    </xf>
    <xf numFmtId="166" fontId="10" fillId="8" borderId="102" xfId="0" applyNumberFormat="1" applyFont="1" applyFill="1" applyBorder="1" applyAlignment="1" applyProtection="1">
      <alignment vertical="center"/>
      <protection locked="0"/>
    </xf>
    <xf numFmtId="166" fontId="10" fillId="8" borderId="103" xfId="0" applyNumberFormat="1" applyFont="1" applyFill="1" applyBorder="1" applyAlignment="1" applyProtection="1">
      <alignment vertical="center"/>
      <protection locked="0"/>
    </xf>
    <xf numFmtId="0" fontId="10" fillId="8" borderId="81" xfId="0" applyFont="1" applyFill="1" applyBorder="1" applyAlignment="1" applyProtection="1">
      <alignment vertical="center"/>
      <protection locked="0"/>
    </xf>
    <xf numFmtId="166" fontId="10" fillId="0" borderId="107" xfId="0" applyNumberFormat="1" applyFont="1" applyBorder="1" applyAlignment="1" applyProtection="1">
      <alignment horizontal="center" vertical="center"/>
      <protection hidden="1"/>
    </xf>
    <xf numFmtId="166" fontId="10" fillId="0" borderId="108" xfId="0" applyNumberFormat="1" applyFont="1" applyBorder="1" applyAlignment="1" applyProtection="1">
      <alignment horizontal="center" vertical="center"/>
      <protection hidden="1"/>
    </xf>
    <xf numFmtId="165" fontId="10" fillId="6" borderId="109" xfId="2" applyNumberFormat="1" applyFont="1" applyFill="1" applyBorder="1" applyAlignment="1" applyProtection="1">
      <alignment horizontal="center" vertical="center" wrapText="1"/>
      <protection hidden="1"/>
    </xf>
    <xf numFmtId="165" fontId="10" fillId="9" borderId="47" xfId="1" applyNumberFormat="1" applyFont="1" applyFill="1" applyBorder="1" applyAlignment="1" applyProtection="1">
      <alignment horizontal="center" vertical="center" wrapText="1"/>
      <protection hidden="1"/>
    </xf>
    <xf numFmtId="166" fontId="10" fillId="11" borderId="111" xfId="0" applyNumberFormat="1" applyFont="1" applyFill="1" applyBorder="1" applyAlignment="1" applyProtection="1">
      <alignment horizontal="center" vertical="center"/>
      <protection locked="0"/>
    </xf>
    <xf numFmtId="166" fontId="10" fillId="11" borderId="0" xfId="0" applyNumberFormat="1" applyFont="1" applyFill="1" applyBorder="1" applyAlignment="1" applyProtection="1">
      <alignment horizontal="center" vertical="center"/>
      <protection locked="0"/>
    </xf>
    <xf numFmtId="166" fontId="10" fillId="11" borderId="112" xfId="0" applyNumberFormat="1" applyFont="1" applyFill="1" applyBorder="1" applyAlignment="1" applyProtection="1">
      <alignment horizontal="center" vertical="center"/>
      <protection locked="0"/>
    </xf>
    <xf numFmtId="166" fontId="10" fillId="11" borderId="113" xfId="0" applyNumberFormat="1" applyFont="1" applyFill="1" applyBorder="1" applyAlignment="1" applyProtection="1">
      <alignment horizontal="center" vertical="center"/>
      <protection locked="0"/>
    </xf>
    <xf numFmtId="165" fontId="10" fillId="11" borderId="104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114" xfId="2" applyNumberFormat="1" applyFont="1" applyFill="1" applyBorder="1" applyAlignment="1" applyProtection="1">
      <alignment horizontal="center" vertical="center" wrapText="1"/>
      <protection locked="0"/>
    </xf>
    <xf numFmtId="165" fontId="10" fillId="6" borderId="96" xfId="0" applyNumberFormat="1" applyFont="1" applyFill="1" applyBorder="1" applyAlignment="1" applyProtection="1">
      <alignment horizontal="center" vertical="center"/>
      <protection hidden="1"/>
    </xf>
    <xf numFmtId="166" fontId="11" fillId="2" borderId="4" xfId="2" applyNumberFormat="1" applyFont="1" applyFill="1" applyBorder="1" applyAlignment="1" applyProtection="1">
      <alignment vertical="center"/>
      <protection locked="0"/>
    </xf>
    <xf numFmtId="166" fontId="11" fillId="2" borderId="5" xfId="2" applyNumberFormat="1" applyFont="1" applyFill="1" applyBorder="1" applyAlignment="1" applyProtection="1">
      <alignment vertical="center"/>
      <protection locked="0"/>
    </xf>
    <xf numFmtId="166" fontId="10" fillId="3" borderId="6" xfId="2" applyNumberFormat="1" applyFont="1" applyFill="1" applyBorder="1" applyAlignment="1" applyProtection="1">
      <alignment vertical="center" wrapText="1"/>
      <protection locked="0"/>
    </xf>
    <xf numFmtId="166" fontId="10" fillId="3" borderId="5" xfId="2" applyNumberFormat="1" applyFont="1" applyFill="1" applyBorder="1" applyAlignment="1" applyProtection="1">
      <alignment vertical="center" wrapText="1"/>
      <protection locked="0"/>
    </xf>
    <xf numFmtId="166" fontId="10" fillId="3" borderId="5" xfId="2" applyNumberFormat="1" applyFont="1" applyFill="1" applyBorder="1" applyAlignment="1" applyProtection="1">
      <alignment vertical="center"/>
      <protection locked="0"/>
    </xf>
    <xf numFmtId="166" fontId="10" fillId="3" borderId="7" xfId="2" applyNumberFormat="1" applyFont="1" applyFill="1" applyBorder="1" applyAlignment="1" applyProtection="1">
      <alignment vertical="center" wrapText="1"/>
      <protection locked="0"/>
    </xf>
    <xf numFmtId="166" fontId="10" fillId="2" borderId="14" xfId="0" applyNumberFormat="1" applyFont="1" applyFill="1" applyBorder="1" applyAlignment="1" applyProtection="1">
      <alignment horizontal="center" vertical="center"/>
      <protection locked="0"/>
    </xf>
    <xf numFmtId="166" fontId="10" fillId="2" borderId="15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6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7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8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9" xfId="0" applyNumberFormat="1" applyFont="1" applyFill="1" applyBorder="1" applyAlignment="1" applyProtection="1">
      <alignment horizontal="center" vertical="center"/>
      <protection locked="0"/>
    </xf>
    <xf numFmtId="166" fontId="10" fillId="3" borderId="20" xfId="0" applyNumberFormat="1" applyFont="1" applyFill="1" applyBorder="1" applyAlignment="1" applyProtection="1">
      <alignment horizontal="center" vertical="center"/>
      <protection locked="0"/>
    </xf>
    <xf numFmtId="166" fontId="10" fillId="3" borderId="18" xfId="0" applyNumberFormat="1" applyFont="1" applyFill="1" applyBorder="1" applyAlignment="1" applyProtection="1">
      <alignment horizontal="center" vertical="center"/>
      <protection locked="0"/>
    </xf>
    <xf numFmtId="166" fontId="10" fillId="3" borderId="17" xfId="0" applyNumberFormat="1" applyFont="1" applyFill="1" applyBorder="1" applyAlignment="1" applyProtection="1">
      <alignment horizontal="center" vertical="center"/>
      <protection locked="0"/>
    </xf>
    <xf numFmtId="166" fontId="10" fillId="3" borderId="21" xfId="0" applyNumberFormat="1" applyFont="1" applyFill="1" applyBorder="1" applyAlignment="1" applyProtection="1">
      <alignment horizontal="center" vertical="center"/>
      <protection locked="0"/>
    </xf>
    <xf numFmtId="0" fontId="10" fillId="2" borderId="116" xfId="0" applyFont="1" applyFill="1" applyBorder="1" applyAlignment="1" applyProtection="1">
      <alignment horizontal="center" vertical="center" wrapText="1"/>
      <protection locked="0"/>
    </xf>
    <xf numFmtId="166" fontId="17" fillId="12" borderId="117" xfId="0" applyNumberFormat="1" applyFont="1" applyFill="1" applyBorder="1" applyAlignment="1" applyProtection="1">
      <alignment horizontal="center" vertical="center"/>
      <protection locked="0"/>
    </xf>
    <xf numFmtId="166" fontId="17" fillId="12" borderId="86" xfId="0" applyNumberFormat="1" applyFont="1" applyFill="1" applyBorder="1" applyAlignment="1" applyProtection="1">
      <alignment horizontal="center" vertical="center"/>
      <protection locked="0"/>
    </xf>
    <xf numFmtId="166" fontId="17" fillId="12" borderId="118" xfId="0" applyNumberFormat="1" applyFont="1" applyFill="1" applyBorder="1" applyAlignment="1" applyProtection="1">
      <alignment horizontal="left"/>
      <protection locked="0"/>
    </xf>
    <xf numFmtId="166" fontId="17" fillId="12" borderId="119" xfId="0" applyNumberFormat="1" applyFont="1" applyFill="1" applyBorder="1" applyAlignment="1" applyProtection="1">
      <alignment horizontal="left"/>
      <protection locked="0"/>
    </xf>
    <xf numFmtId="166" fontId="10" fillId="12" borderId="6" xfId="0" applyNumberFormat="1" applyFont="1" applyFill="1" applyBorder="1" applyAlignment="1" applyProtection="1">
      <alignment horizontal="center" vertical="center"/>
      <protection locked="0"/>
    </xf>
    <xf numFmtId="166" fontId="17" fillId="12" borderId="85" xfId="0" applyNumberFormat="1" applyFont="1" applyFill="1" applyBorder="1" applyAlignment="1" applyProtection="1">
      <alignment horizontal="center" vertical="center"/>
      <protection locked="0"/>
    </xf>
    <xf numFmtId="166" fontId="17" fillId="12" borderId="119" xfId="0" applyNumberFormat="1" applyFont="1" applyFill="1" applyBorder="1" applyAlignment="1" applyProtection="1">
      <alignment horizontal="center" vertical="center"/>
      <protection locked="0"/>
    </xf>
    <xf numFmtId="166" fontId="17" fillId="12" borderId="85" xfId="0" applyNumberFormat="1" applyFont="1" applyFill="1" applyBorder="1" applyAlignment="1" applyProtection="1">
      <alignment horizontal="left"/>
      <protection locked="0"/>
    </xf>
    <xf numFmtId="166" fontId="10" fillId="0" borderId="86" xfId="0" applyNumberFormat="1" applyFont="1" applyBorder="1" applyAlignment="1" applyProtection="1">
      <alignment horizontal="center" vertical="center"/>
      <protection hidden="1"/>
    </xf>
    <xf numFmtId="165" fontId="10" fillId="6" borderId="48" xfId="2" applyNumberFormat="1" applyFont="1" applyFill="1" applyBorder="1" applyAlignment="1" applyProtection="1">
      <alignment horizontal="center" vertical="center" wrapText="1"/>
      <protection hidden="1"/>
    </xf>
    <xf numFmtId="166" fontId="10" fillId="0" borderId="114" xfId="0" applyNumberFormat="1" applyFont="1" applyBorder="1" applyAlignment="1" applyProtection="1">
      <alignment horizontal="center" vertical="center"/>
      <protection hidden="1"/>
    </xf>
    <xf numFmtId="166" fontId="10" fillId="0" borderId="120" xfId="0" applyNumberFormat="1" applyFont="1" applyBorder="1" applyAlignment="1" applyProtection="1">
      <alignment horizontal="center" vertical="center"/>
      <protection hidden="1"/>
    </xf>
    <xf numFmtId="166" fontId="10" fillId="0" borderId="112" xfId="0" applyNumberFormat="1" applyFont="1" applyBorder="1" applyAlignment="1" applyProtection="1">
      <alignment horizontal="center" vertical="center"/>
      <protection hidden="1"/>
    </xf>
    <xf numFmtId="166" fontId="10" fillId="0" borderId="111" xfId="0" applyNumberFormat="1" applyFont="1" applyBorder="1" applyAlignment="1" applyProtection="1">
      <alignment horizontal="center" vertical="center"/>
      <protection hidden="1"/>
    </xf>
    <xf numFmtId="166" fontId="10" fillId="0" borderId="121" xfId="0" applyNumberFormat="1" applyFont="1" applyBorder="1" applyAlignment="1" applyProtection="1">
      <alignment horizontal="center" vertical="center"/>
      <protection hidden="1"/>
    </xf>
    <xf numFmtId="166" fontId="10" fillId="0" borderId="0" xfId="0" applyNumberFormat="1" applyFont="1" applyBorder="1" applyAlignment="1" applyProtection="1">
      <alignment horizontal="center" vertical="center"/>
      <protection hidden="1"/>
    </xf>
    <xf numFmtId="166" fontId="10" fillId="0" borderId="122" xfId="0" applyNumberFormat="1" applyFont="1" applyBorder="1" applyAlignment="1" applyProtection="1">
      <alignment horizontal="center" vertical="center"/>
      <protection hidden="1"/>
    </xf>
    <xf numFmtId="166" fontId="10" fillId="0" borderId="123" xfId="0" applyNumberFormat="1" applyFont="1" applyBorder="1" applyAlignment="1" applyProtection="1">
      <alignment horizontal="center" vertical="center"/>
      <protection hidden="1"/>
    </xf>
    <xf numFmtId="166" fontId="10" fillId="0" borderId="124" xfId="0" applyNumberFormat="1" applyFont="1" applyBorder="1" applyAlignment="1" applyProtection="1">
      <alignment horizontal="center" vertical="center"/>
      <protection hidden="1"/>
    </xf>
    <xf numFmtId="166" fontId="10" fillId="0" borderId="126" xfId="0" applyNumberFormat="1" applyFont="1" applyBorder="1" applyAlignment="1" applyProtection="1">
      <alignment horizontal="center" vertical="center"/>
      <protection hidden="1"/>
    </xf>
    <xf numFmtId="166" fontId="10" fillId="0" borderId="127" xfId="0" applyNumberFormat="1" applyFont="1" applyBorder="1" applyAlignment="1" applyProtection="1">
      <alignment horizontal="center" vertical="center"/>
      <protection hidden="1"/>
    </xf>
    <xf numFmtId="166" fontId="10" fillId="0" borderId="97" xfId="0" applyNumberFormat="1" applyFont="1" applyBorder="1" applyAlignment="1" applyProtection="1">
      <alignment horizontal="center" vertical="center"/>
      <protection hidden="1"/>
    </xf>
    <xf numFmtId="165" fontId="10" fillId="0" borderId="61" xfId="2" applyNumberFormat="1" applyFont="1" applyFill="1" applyBorder="1" applyAlignment="1" applyProtection="1">
      <alignment vertical="center" wrapText="1"/>
      <protection hidden="1"/>
    </xf>
    <xf numFmtId="166" fontId="10" fillId="9" borderId="51" xfId="0" applyNumberFormat="1" applyFont="1" applyFill="1" applyBorder="1" applyAlignment="1" applyProtection="1">
      <alignment horizontal="center" vertical="center"/>
      <protection locked="0"/>
    </xf>
    <xf numFmtId="165" fontId="10" fillId="0" borderId="61" xfId="2" applyNumberFormat="1" applyFont="1" applyFill="1" applyBorder="1" applyAlignment="1" applyProtection="1">
      <alignment horizontal="center" vertical="center" wrapText="1"/>
      <protection hidden="1"/>
    </xf>
    <xf numFmtId="166" fontId="16" fillId="4" borderId="129" xfId="0" applyNumberFormat="1" applyFont="1" applyFill="1" applyBorder="1" applyAlignment="1" applyProtection="1">
      <alignment horizontal="center" vertical="center"/>
      <protection hidden="1"/>
    </xf>
    <xf numFmtId="166" fontId="16" fillId="4" borderId="121" xfId="0" applyNumberFormat="1" applyFont="1" applyFill="1" applyBorder="1" applyAlignment="1" applyProtection="1">
      <alignment horizontal="center" vertical="center"/>
      <protection hidden="1"/>
    </xf>
    <xf numFmtId="166" fontId="16" fillId="4" borderId="112" xfId="0" applyNumberFormat="1" applyFont="1" applyFill="1" applyBorder="1" applyAlignment="1" applyProtection="1">
      <alignment horizontal="center" vertical="center"/>
      <protection hidden="1"/>
    </xf>
    <xf numFmtId="166" fontId="16" fillId="4" borderId="130" xfId="0" applyNumberFormat="1" applyFont="1" applyFill="1" applyBorder="1" applyAlignment="1" applyProtection="1">
      <alignment horizontal="center" vertical="center"/>
      <protection hidden="1"/>
    </xf>
    <xf numFmtId="166" fontId="16" fillId="4" borderId="111" xfId="0" applyNumberFormat="1" applyFont="1" applyFill="1" applyBorder="1" applyAlignment="1" applyProtection="1">
      <alignment horizontal="center" vertical="center"/>
      <protection hidden="1"/>
    </xf>
    <xf numFmtId="166" fontId="16" fillId="4" borderId="114" xfId="0" applyNumberFormat="1" applyFont="1" applyFill="1" applyBorder="1" applyAlignment="1" applyProtection="1">
      <alignment horizontal="center" vertical="center"/>
      <protection hidden="1"/>
    </xf>
    <xf numFmtId="166" fontId="16" fillId="4" borderId="113" xfId="0" applyNumberFormat="1" applyFont="1" applyFill="1" applyBorder="1" applyAlignment="1" applyProtection="1">
      <alignment horizontal="center" vertical="center"/>
      <protection hidden="1"/>
    </xf>
    <xf numFmtId="166" fontId="16" fillId="4" borderId="122" xfId="0" applyNumberFormat="1" applyFont="1" applyFill="1" applyBorder="1" applyAlignment="1" applyProtection="1">
      <alignment horizontal="center" vertical="center"/>
      <protection hidden="1"/>
    </xf>
    <xf numFmtId="166" fontId="17" fillId="0" borderId="50" xfId="0" applyNumberFormat="1" applyFont="1" applyFill="1" applyBorder="1" applyAlignment="1" applyProtection="1">
      <alignment horizontal="center" vertical="center"/>
      <protection hidden="1"/>
    </xf>
    <xf numFmtId="166" fontId="17" fillId="0" borderId="51" xfId="0" applyNumberFormat="1" applyFont="1" applyFill="1" applyBorder="1" applyAlignment="1" applyProtection="1">
      <alignment horizontal="center" vertical="center"/>
      <protection hidden="1"/>
    </xf>
    <xf numFmtId="166" fontId="17" fillId="0" borderId="52" xfId="0" applyNumberFormat="1" applyFont="1" applyFill="1" applyBorder="1" applyAlignment="1" applyProtection="1">
      <alignment horizontal="center" vertical="center"/>
      <protection hidden="1"/>
    </xf>
    <xf numFmtId="166" fontId="17" fillId="0" borderId="53" xfId="0" applyNumberFormat="1" applyFont="1" applyFill="1" applyBorder="1" applyAlignment="1" applyProtection="1">
      <alignment horizontal="center" vertical="center"/>
      <protection hidden="1"/>
    </xf>
    <xf numFmtId="166" fontId="17" fillId="0" borderId="54" xfId="0" applyNumberFormat="1" applyFont="1" applyFill="1" applyBorder="1" applyAlignment="1" applyProtection="1">
      <alignment horizontal="center" vertical="center"/>
      <protection hidden="1"/>
    </xf>
    <xf numFmtId="166" fontId="17" fillId="0" borderId="49" xfId="0" applyNumberFormat="1" applyFont="1" applyFill="1" applyBorder="1" applyAlignment="1" applyProtection="1">
      <alignment horizontal="center" vertical="center"/>
      <protection hidden="1"/>
    </xf>
    <xf numFmtId="166" fontId="17" fillId="0" borderId="94" xfId="0" applyNumberFormat="1" applyFont="1" applyFill="1" applyBorder="1" applyAlignment="1" applyProtection="1">
      <alignment horizontal="center" vertical="center"/>
      <protection hidden="1"/>
    </xf>
    <xf numFmtId="166" fontId="17" fillId="0" borderId="56" xfId="0" applyNumberFormat="1" applyFont="1" applyFill="1" applyBorder="1" applyAlignment="1" applyProtection="1">
      <alignment horizontal="center" vertical="center"/>
      <protection hidden="1"/>
    </xf>
    <xf numFmtId="166" fontId="11" fillId="2" borderId="131" xfId="2" applyNumberFormat="1" applyFont="1" applyFill="1" applyBorder="1" applyAlignment="1" applyProtection="1">
      <alignment vertical="center"/>
      <protection locked="0"/>
    </xf>
    <xf numFmtId="166" fontId="11" fillId="2" borderId="132" xfId="2" applyNumberFormat="1" applyFont="1" applyFill="1" applyBorder="1" applyAlignment="1" applyProtection="1">
      <alignment vertical="center"/>
      <protection locked="0"/>
    </xf>
    <xf numFmtId="166" fontId="10" fillId="3" borderId="93" xfId="2" applyNumberFormat="1" applyFont="1" applyFill="1" applyBorder="1" applyAlignment="1" applyProtection="1">
      <alignment vertical="center" wrapText="1"/>
      <protection locked="0"/>
    </xf>
    <xf numFmtId="166" fontId="10" fillId="3" borderId="132" xfId="2" applyNumberFormat="1" applyFont="1" applyFill="1" applyBorder="1" applyAlignment="1" applyProtection="1">
      <alignment vertical="center" wrapText="1"/>
      <protection locked="0"/>
    </xf>
    <xf numFmtId="166" fontId="10" fillId="3" borderId="132" xfId="2" applyNumberFormat="1" applyFont="1" applyFill="1" applyBorder="1" applyAlignment="1" applyProtection="1">
      <alignment vertical="center"/>
      <protection locked="0"/>
    </xf>
    <xf numFmtId="166" fontId="10" fillId="3" borderId="63" xfId="2" applyNumberFormat="1" applyFont="1" applyFill="1" applyBorder="1" applyAlignment="1" applyProtection="1">
      <alignment vertical="center" wrapText="1"/>
      <protection locked="0"/>
    </xf>
    <xf numFmtId="0" fontId="10" fillId="2" borderId="90" xfId="0" applyFont="1" applyFill="1" applyBorder="1" applyAlignment="1" applyProtection="1">
      <alignment horizontal="center" vertical="center" wrapText="1"/>
      <protection locked="0"/>
    </xf>
    <xf numFmtId="0" fontId="8" fillId="8" borderId="114" xfId="0" applyFont="1" applyFill="1" applyBorder="1" applyAlignment="1" applyProtection="1">
      <alignment vertical="center"/>
      <protection locked="0"/>
    </xf>
    <xf numFmtId="0" fontId="10" fillId="8" borderId="0" xfId="0" applyFont="1" applyFill="1" applyBorder="1" applyAlignment="1" applyProtection="1">
      <alignment vertical="center"/>
      <protection locked="0"/>
    </xf>
    <xf numFmtId="166" fontId="10" fillId="8" borderId="0" xfId="0" applyNumberFormat="1" applyFont="1" applyFill="1" applyBorder="1" applyAlignment="1" applyProtection="1">
      <alignment vertical="center"/>
      <protection locked="0"/>
    </xf>
    <xf numFmtId="166" fontId="10" fillId="8" borderId="113" xfId="0" applyNumberFormat="1" applyFont="1" applyFill="1" applyBorder="1" applyAlignment="1" applyProtection="1">
      <alignment vertical="center"/>
      <protection locked="0"/>
    </xf>
    <xf numFmtId="166" fontId="10" fillId="8" borderId="32" xfId="0" applyNumberFormat="1" applyFont="1" applyFill="1" applyBorder="1" applyAlignment="1" applyProtection="1">
      <alignment vertical="center"/>
      <protection locked="0"/>
    </xf>
    <xf numFmtId="0" fontId="10" fillId="8" borderId="133" xfId="0" applyFont="1" applyFill="1" applyBorder="1" applyAlignment="1" applyProtection="1">
      <alignment vertical="center"/>
      <protection locked="0"/>
    </xf>
    <xf numFmtId="0" fontId="10" fillId="8" borderId="26" xfId="0" applyFont="1" applyFill="1" applyBorder="1" applyAlignment="1" applyProtection="1">
      <alignment vertical="center"/>
      <protection locked="0"/>
    </xf>
    <xf numFmtId="166" fontId="10" fillId="9" borderId="135" xfId="0" applyNumberFormat="1" applyFont="1" applyFill="1" applyBorder="1" applyAlignment="1" applyProtection="1">
      <alignment horizontal="center" vertical="center"/>
      <protection locked="0"/>
    </xf>
    <xf numFmtId="166" fontId="10" fillId="9" borderId="136" xfId="0" applyNumberFormat="1" applyFont="1" applyFill="1" applyBorder="1" applyAlignment="1" applyProtection="1">
      <alignment horizontal="center" vertical="center"/>
      <protection hidden="1"/>
    </xf>
    <xf numFmtId="166" fontId="10" fillId="0" borderId="2" xfId="0" applyNumberFormat="1" applyFont="1" applyBorder="1" applyAlignment="1" applyProtection="1">
      <alignment horizontal="center" vertical="center"/>
      <protection hidden="1"/>
    </xf>
    <xf numFmtId="166" fontId="10" fillId="9" borderId="137" xfId="0" applyNumberFormat="1" applyFont="1" applyFill="1" applyBorder="1" applyAlignment="1" applyProtection="1">
      <alignment horizontal="center" vertical="center"/>
      <protection locked="0"/>
    </xf>
    <xf numFmtId="166" fontId="10" fillId="9" borderId="138" xfId="0" applyNumberFormat="1" applyFont="1" applyFill="1" applyBorder="1" applyAlignment="1" applyProtection="1">
      <alignment horizontal="center" vertical="center"/>
      <protection locked="0"/>
    </xf>
    <xf numFmtId="166" fontId="10" fillId="9" borderId="2" xfId="0" applyNumberFormat="1" applyFont="1" applyFill="1" applyBorder="1" applyAlignment="1" applyProtection="1">
      <alignment horizontal="center" vertical="center"/>
      <protection locked="0"/>
    </xf>
    <xf numFmtId="166" fontId="10" fillId="9" borderId="139" xfId="0" applyNumberFormat="1" applyFont="1" applyFill="1" applyBorder="1" applyAlignment="1" applyProtection="1">
      <alignment horizontal="center" vertical="center"/>
      <protection locked="0"/>
    </xf>
    <xf numFmtId="166" fontId="10" fillId="9" borderId="135" xfId="0" applyNumberFormat="1" applyFont="1" applyFill="1" applyBorder="1" applyAlignment="1" applyProtection="1">
      <alignment horizontal="center" vertical="center"/>
      <protection hidden="1"/>
    </xf>
    <xf numFmtId="166" fontId="10" fillId="0" borderId="136" xfId="0" applyNumberFormat="1" applyFont="1" applyFill="1" applyBorder="1" applyAlignment="1" applyProtection="1">
      <alignment horizontal="center" vertical="center"/>
      <protection hidden="1"/>
    </xf>
    <xf numFmtId="166" fontId="10" fillId="9" borderId="140" xfId="0" applyNumberFormat="1" applyFont="1" applyFill="1" applyBorder="1" applyAlignment="1" applyProtection="1">
      <alignment horizontal="center" vertical="center"/>
      <protection locked="0"/>
    </xf>
    <xf numFmtId="166" fontId="10" fillId="9" borderId="136" xfId="0" applyNumberFormat="1" applyFont="1" applyFill="1" applyBorder="1" applyAlignment="1" applyProtection="1">
      <alignment horizontal="center" vertical="center"/>
      <protection locked="0"/>
    </xf>
    <xf numFmtId="166" fontId="10" fillId="9" borderId="48" xfId="0" applyNumberFormat="1" applyFont="1" applyFill="1" applyBorder="1" applyAlignment="1" applyProtection="1">
      <alignment horizontal="center" vertical="center"/>
      <protection hidden="1"/>
    </xf>
    <xf numFmtId="166" fontId="10" fillId="9" borderId="94" xfId="0" applyNumberFormat="1" applyFont="1" applyFill="1" applyBorder="1" applyAlignment="1" applyProtection="1">
      <alignment horizontal="center" vertical="center"/>
      <protection hidden="1"/>
    </xf>
    <xf numFmtId="166" fontId="10" fillId="9" borderId="52" xfId="0" applyNumberFormat="1" applyFont="1" applyFill="1" applyBorder="1" applyAlignment="1" applyProtection="1">
      <alignment horizontal="center" vertical="center"/>
      <protection locked="0"/>
    </xf>
    <xf numFmtId="166" fontId="10" fillId="9" borderId="94" xfId="0" applyNumberFormat="1" applyFont="1" applyFill="1" applyBorder="1" applyAlignment="1" applyProtection="1">
      <alignment horizontal="center" vertical="center"/>
      <protection locked="0"/>
    </xf>
    <xf numFmtId="166" fontId="10" fillId="9" borderId="48" xfId="0" applyNumberFormat="1" applyFont="1" applyFill="1" applyBorder="1" applyAlignment="1" applyProtection="1">
      <alignment horizontal="center" vertical="center"/>
      <protection locked="0"/>
    </xf>
    <xf numFmtId="166" fontId="10" fillId="9" borderId="55" xfId="0" applyNumberFormat="1" applyFont="1" applyFill="1" applyBorder="1" applyAlignment="1" applyProtection="1">
      <alignment horizontal="center" vertical="center"/>
      <protection hidden="1"/>
    </xf>
    <xf numFmtId="166" fontId="10" fillId="9" borderId="53" xfId="0" applyNumberFormat="1" applyFont="1" applyFill="1" applyBorder="1" applyAlignment="1" applyProtection="1">
      <alignment horizontal="center" vertical="center"/>
      <protection locked="0"/>
    </xf>
    <xf numFmtId="166" fontId="10" fillId="9" borderId="49" xfId="0" applyNumberFormat="1" applyFont="1" applyFill="1" applyBorder="1" applyAlignment="1" applyProtection="1">
      <alignment horizontal="center" vertical="center"/>
      <protection locked="0"/>
    </xf>
    <xf numFmtId="166" fontId="10" fillId="9" borderId="56" xfId="0" applyNumberFormat="1" applyFont="1" applyFill="1" applyBorder="1" applyAlignment="1" applyProtection="1">
      <alignment horizontal="center" vertical="center"/>
      <protection locked="0"/>
    </xf>
    <xf numFmtId="166" fontId="10" fillId="9" borderId="39" xfId="0" applyNumberFormat="1" applyFont="1" applyFill="1" applyBorder="1" applyAlignment="1" applyProtection="1">
      <alignment horizontal="center" vertical="center"/>
      <protection locked="0"/>
    </xf>
    <xf numFmtId="166" fontId="10" fillId="9" borderId="40" xfId="0" applyNumberFormat="1" applyFont="1" applyFill="1" applyBorder="1" applyAlignment="1" applyProtection="1">
      <alignment horizontal="center" vertical="center"/>
      <protection locked="0"/>
    </xf>
    <xf numFmtId="166" fontId="10" fillId="9" borderId="120" xfId="0" applyNumberFormat="1" applyFont="1" applyFill="1" applyBorder="1" applyAlignment="1" applyProtection="1">
      <alignment horizontal="center" vertical="center"/>
      <protection locked="0"/>
    </xf>
    <xf numFmtId="166" fontId="10" fillId="9" borderId="114" xfId="0" applyNumberFormat="1" applyFont="1" applyFill="1" applyBorder="1" applyAlignment="1" applyProtection="1">
      <alignment horizontal="center" vertical="center"/>
      <protection locked="0"/>
    </xf>
    <xf numFmtId="166" fontId="10" fillId="9" borderId="93" xfId="0" applyNumberFormat="1" applyFont="1" applyFill="1" applyBorder="1" applyAlignment="1" applyProtection="1">
      <alignment horizontal="center" vertical="center"/>
      <protection hidden="1"/>
    </xf>
    <xf numFmtId="166" fontId="10" fillId="9" borderId="43" xfId="0" applyNumberFormat="1" applyFont="1" applyFill="1" applyBorder="1" applyAlignment="1" applyProtection="1">
      <alignment horizontal="center" vertical="center"/>
      <protection hidden="1"/>
    </xf>
    <xf numFmtId="166" fontId="10" fillId="0" borderId="141" xfId="0" applyNumberFormat="1" applyFont="1" applyBorder="1" applyAlignment="1" applyProtection="1">
      <alignment horizontal="center" vertical="center"/>
      <protection hidden="1"/>
    </xf>
    <xf numFmtId="166" fontId="10" fillId="9" borderId="41" xfId="0" applyNumberFormat="1" applyFont="1" applyFill="1" applyBorder="1" applyAlignment="1" applyProtection="1">
      <alignment horizontal="center" vertical="center"/>
      <protection locked="0"/>
    </xf>
    <xf numFmtId="166" fontId="10" fillId="9" borderId="0" xfId="0" applyNumberFormat="1" applyFont="1" applyFill="1" applyBorder="1" applyAlignment="1" applyProtection="1">
      <alignment horizontal="center" vertical="center"/>
      <protection locked="0"/>
    </xf>
    <xf numFmtId="166" fontId="10" fillId="9" borderId="53" xfId="0" applyNumberFormat="1" applyFont="1" applyFill="1" applyBorder="1" applyAlignment="1" applyProtection="1">
      <alignment horizontal="center" vertical="center"/>
      <protection hidden="1"/>
    </xf>
    <xf numFmtId="166" fontId="10" fillId="0" borderId="57" xfId="0" applyNumberFormat="1" applyFont="1" applyBorder="1" applyAlignment="1" applyProtection="1">
      <alignment horizontal="center" vertical="center"/>
      <protection hidden="1"/>
    </xf>
    <xf numFmtId="166" fontId="10" fillId="0" borderId="49" xfId="0" applyNumberFormat="1" applyFont="1" applyBorder="1" applyAlignment="1" applyProtection="1">
      <alignment horizontal="center" vertical="center"/>
      <protection hidden="1"/>
    </xf>
    <xf numFmtId="166" fontId="10" fillId="9" borderId="90" xfId="0" applyNumberFormat="1" applyFont="1" applyFill="1" applyBorder="1" applyAlignment="1" applyProtection="1">
      <alignment horizontal="center" vertical="center"/>
      <protection hidden="1"/>
    </xf>
    <xf numFmtId="166" fontId="10" fillId="9" borderId="15" xfId="0" applyNumberFormat="1" applyFont="1" applyFill="1" applyBorder="1" applyAlignment="1" applyProtection="1">
      <alignment horizontal="center" vertical="center"/>
      <protection hidden="1"/>
    </xf>
    <xf numFmtId="166" fontId="10" fillId="0" borderId="15" xfId="0" applyNumberFormat="1" applyFont="1" applyBorder="1" applyAlignment="1" applyProtection="1">
      <alignment horizontal="center" vertical="center"/>
      <protection hidden="1"/>
    </xf>
    <xf numFmtId="166" fontId="10" fillId="9" borderId="20" xfId="0" applyNumberFormat="1" applyFont="1" applyFill="1" applyBorder="1" applyAlignment="1" applyProtection="1">
      <alignment horizontal="center" vertical="center"/>
      <protection hidden="1"/>
    </xf>
    <xf numFmtId="166" fontId="10" fillId="0" borderId="18" xfId="0" applyNumberFormat="1" applyFont="1" applyBorder="1" applyAlignment="1" applyProtection="1">
      <alignment horizontal="center" vertical="center"/>
      <protection hidden="1"/>
    </xf>
    <xf numFmtId="166" fontId="10" fillId="0" borderId="22" xfId="0" applyNumberFormat="1" applyFont="1" applyBorder="1" applyAlignment="1" applyProtection="1">
      <alignment horizontal="center" vertical="center"/>
      <protection hidden="1"/>
    </xf>
    <xf numFmtId="0" fontId="8" fillId="8" borderId="2" xfId="0" applyFont="1" applyFill="1" applyBorder="1" applyAlignment="1" applyProtection="1">
      <alignment vertical="center" wrapText="1"/>
      <protection locked="0"/>
    </xf>
    <xf numFmtId="0" fontId="10" fillId="8" borderId="136" xfId="0" applyFont="1" applyFill="1" applyBorder="1" applyAlignment="1" applyProtection="1">
      <alignment vertical="center" wrapText="1"/>
      <protection locked="0"/>
    </xf>
    <xf numFmtId="166" fontId="10" fillId="8" borderId="136" xfId="0" applyNumberFormat="1" applyFont="1" applyFill="1" applyBorder="1" applyAlignment="1" applyProtection="1">
      <alignment vertical="center" wrapText="1"/>
      <protection locked="0"/>
    </xf>
    <xf numFmtId="166" fontId="10" fillId="8" borderId="136" xfId="0" applyNumberFormat="1" applyFont="1" applyFill="1" applyBorder="1" applyAlignment="1" applyProtection="1">
      <alignment vertical="center"/>
      <protection locked="0"/>
    </xf>
    <xf numFmtId="166" fontId="10" fillId="8" borderId="139" xfId="0" applyNumberFormat="1" applyFont="1" applyFill="1" applyBorder="1" applyAlignment="1" applyProtection="1">
      <alignment vertical="center" wrapText="1"/>
      <protection locked="0"/>
    </xf>
    <xf numFmtId="166" fontId="10" fillId="8" borderId="2" xfId="0" applyNumberFormat="1" applyFont="1" applyFill="1" applyBorder="1" applyAlignment="1" applyProtection="1">
      <alignment vertical="center" wrapText="1"/>
      <protection locked="0"/>
    </xf>
    <xf numFmtId="0" fontId="10" fillId="8" borderId="133" xfId="0" applyFont="1" applyFill="1" applyBorder="1" applyAlignment="1" applyProtection="1">
      <alignment vertical="center" wrapText="1"/>
      <protection locked="0"/>
    </xf>
    <xf numFmtId="0" fontId="10" fillId="8" borderId="26" xfId="0" applyFont="1" applyFill="1" applyBorder="1" applyAlignment="1" applyProtection="1">
      <alignment vertical="center" wrapText="1"/>
      <protection locked="0"/>
    </xf>
    <xf numFmtId="166" fontId="29" fillId="9" borderId="2" xfId="0" applyNumberFormat="1" applyFont="1" applyFill="1" applyBorder="1" applyAlignment="1" applyProtection="1">
      <alignment horizontal="center" vertical="center"/>
      <protection hidden="1"/>
    </xf>
    <xf numFmtId="166" fontId="29" fillId="9" borderId="138" xfId="0" applyNumberFormat="1" applyFont="1" applyFill="1" applyBorder="1" applyAlignment="1" applyProtection="1">
      <alignment horizontal="center" vertical="center"/>
      <protection hidden="1"/>
    </xf>
    <xf numFmtId="166" fontId="10" fillId="0" borderId="85" xfId="0" applyNumberFormat="1" applyFont="1" applyBorder="1" applyAlignment="1" applyProtection="1">
      <alignment horizontal="center" vertical="center"/>
      <protection hidden="1"/>
    </xf>
    <xf numFmtId="166" fontId="10" fillId="0" borderId="118" xfId="0" applyNumberFormat="1" applyFont="1" applyBorder="1" applyAlignment="1" applyProtection="1">
      <alignment horizontal="center" vertical="center"/>
      <protection hidden="1"/>
    </xf>
    <xf numFmtId="166" fontId="10" fillId="0" borderId="87" xfId="0" applyNumberFormat="1" applyFont="1" applyBorder="1" applyAlignment="1" applyProtection="1">
      <alignment horizontal="center" vertical="center"/>
      <protection hidden="1"/>
    </xf>
    <xf numFmtId="166" fontId="10" fillId="0" borderId="143" xfId="0" applyNumberFormat="1" applyFont="1" applyBorder="1" applyAlignment="1" applyProtection="1">
      <alignment horizontal="center" vertical="center"/>
      <protection hidden="1"/>
    </xf>
    <xf numFmtId="166" fontId="10" fillId="9" borderId="139" xfId="0" applyNumberFormat="1" applyFont="1" applyFill="1" applyBorder="1" applyAlignment="1" applyProtection="1">
      <alignment horizontal="center" vertical="center"/>
      <protection hidden="1"/>
    </xf>
    <xf numFmtId="166" fontId="10" fillId="9" borderId="2" xfId="0" applyNumberFormat="1" applyFont="1" applyFill="1" applyBorder="1" applyAlignment="1" applyProtection="1">
      <alignment horizontal="center" vertical="center"/>
      <protection hidden="1"/>
    </xf>
    <xf numFmtId="166" fontId="10" fillId="0" borderId="144" xfId="0" applyNumberFormat="1" applyFont="1" applyBorder="1" applyAlignment="1" applyProtection="1">
      <alignment horizontal="center" vertical="center"/>
      <protection hidden="1"/>
    </xf>
    <xf numFmtId="166" fontId="10" fillId="0" borderId="145" xfId="0" applyNumberFormat="1" applyFont="1" applyBorder="1" applyAlignment="1" applyProtection="1">
      <alignment horizontal="center" vertical="center"/>
      <protection hidden="1"/>
    </xf>
    <xf numFmtId="165" fontId="10" fillId="6" borderId="43" xfId="2" applyNumberFormat="1" applyFont="1" applyFill="1" applyBorder="1" applyAlignment="1" applyProtection="1">
      <alignment horizontal="center" vertical="center" wrapText="1"/>
      <protection hidden="1"/>
    </xf>
    <xf numFmtId="166" fontId="29" fillId="9" borderId="59" xfId="0" applyNumberFormat="1" applyFont="1" applyFill="1" applyBorder="1" applyAlignment="1" applyProtection="1">
      <alignment horizontal="center" vertical="center"/>
      <protection hidden="1"/>
    </xf>
    <xf numFmtId="166" fontId="29" fillId="9" borderId="94" xfId="0" applyNumberFormat="1" applyFont="1" applyFill="1" applyBorder="1" applyAlignment="1" applyProtection="1">
      <alignment horizontal="center" vertical="center"/>
      <protection hidden="1"/>
    </xf>
    <xf numFmtId="166" fontId="10" fillId="0" borderId="130" xfId="0" applyNumberFormat="1" applyFont="1" applyBorder="1" applyAlignment="1" applyProtection="1">
      <alignment horizontal="center" vertical="center"/>
      <protection hidden="1"/>
    </xf>
    <xf numFmtId="166" fontId="10" fillId="9" borderId="52" xfId="0" applyNumberFormat="1" applyFont="1" applyFill="1" applyBorder="1" applyAlignment="1" applyProtection="1">
      <alignment horizontal="center" vertical="center"/>
      <protection hidden="1"/>
    </xf>
    <xf numFmtId="166" fontId="10" fillId="0" borderId="146" xfId="0" applyNumberFormat="1" applyFont="1" applyBorder="1" applyAlignment="1" applyProtection="1">
      <alignment horizontal="center" vertical="center"/>
      <protection hidden="1"/>
    </xf>
    <xf numFmtId="166" fontId="10" fillId="0" borderId="147" xfId="0" applyNumberFormat="1" applyFont="1" applyBorder="1" applyAlignment="1" applyProtection="1">
      <alignment horizontal="center" vertical="center"/>
      <protection hidden="1"/>
    </xf>
    <xf numFmtId="166" fontId="10" fillId="0" borderId="148" xfId="0" applyNumberFormat="1" applyFont="1" applyBorder="1" applyAlignment="1" applyProtection="1">
      <alignment horizontal="center" vertical="center"/>
      <protection hidden="1"/>
    </xf>
    <xf numFmtId="166" fontId="10" fillId="9" borderId="51" xfId="0" applyNumberFormat="1" applyFont="1" applyFill="1" applyBorder="1" applyAlignment="1" applyProtection="1">
      <alignment horizontal="center" vertical="center"/>
      <protection hidden="1"/>
    </xf>
    <xf numFmtId="166" fontId="10" fillId="9" borderId="57" xfId="0" applyNumberFormat="1" applyFont="1" applyFill="1" applyBorder="1" applyAlignment="1" applyProtection="1">
      <alignment horizontal="center" vertical="center"/>
      <protection hidden="1"/>
    </xf>
    <xf numFmtId="166" fontId="10" fillId="9" borderId="49" xfId="0" applyNumberFormat="1" applyFont="1" applyFill="1" applyBorder="1" applyAlignment="1" applyProtection="1">
      <alignment horizontal="center" vertical="center"/>
      <protection hidden="1"/>
    </xf>
    <xf numFmtId="166" fontId="10" fillId="9" borderId="56" xfId="0" applyNumberFormat="1" applyFont="1" applyFill="1" applyBorder="1" applyAlignment="1" applyProtection="1">
      <alignment horizontal="center" vertical="center"/>
      <protection hidden="1"/>
    </xf>
    <xf numFmtId="166" fontId="29" fillId="9" borderId="150" xfId="0" applyNumberFormat="1" applyFont="1" applyFill="1" applyBorder="1" applyAlignment="1" applyProtection="1">
      <alignment horizontal="center" vertical="center"/>
      <protection hidden="1"/>
    </xf>
    <xf numFmtId="166" fontId="10" fillId="9" borderId="121" xfId="0" applyNumberFormat="1" applyFont="1" applyFill="1" applyBorder="1" applyAlignment="1" applyProtection="1">
      <alignment horizontal="center" vertical="center"/>
      <protection hidden="1"/>
    </xf>
    <xf numFmtId="166" fontId="10" fillId="9" borderId="76" xfId="0" applyNumberFormat="1" applyFont="1" applyFill="1" applyBorder="1" applyAlignment="1" applyProtection="1">
      <alignment horizontal="center" vertical="center"/>
      <protection hidden="1"/>
    </xf>
    <xf numFmtId="166" fontId="10" fillId="9" borderId="151" xfId="0" applyNumberFormat="1" applyFont="1" applyFill="1" applyBorder="1" applyAlignment="1" applyProtection="1">
      <alignment horizontal="center" vertical="center"/>
      <protection hidden="1"/>
    </xf>
    <xf numFmtId="166" fontId="10" fillId="9" borderId="0" xfId="0" applyNumberFormat="1" applyFont="1" applyFill="1" applyBorder="1" applyAlignment="1" applyProtection="1">
      <alignment horizontal="center" vertical="center"/>
      <protection hidden="1"/>
    </xf>
    <xf numFmtId="166" fontId="10" fillId="9" borderId="122" xfId="0" applyNumberFormat="1" applyFont="1" applyFill="1" applyBorder="1" applyAlignment="1" applyProtection="1">
      <alignment horizontal="center" vertical="center"/>
      <protection hidden="1"/>
    </xf>
    <xf numFmtId="0" fontId="10" fillId="8" borderId="32" xfId="0" applyFont="1" applyFill="1" applyBorder="1" applyAlignment="1" applyProtection="1">
      <alignment vertical="center" wrapText="1"/>
      <protection locked="0"/>
    </xf>
    <xf numFmtId="166" fontId="10" fillId="8" borderId="133" xfId="0" applyNumberFormat="1" applyFont="1" applyFill="1" applyBorder="1" applyAlignment="1" applyProtection="1">
      <alignment vertical="center" wrapText="1"/>
      <protection locked="0"/>
    </xf>
    <xf numFmtId="166" fontId="10" fillId="8" borderId="33" xfId="0" applyNumberFormat="1" applyFont="1" applyFill="1" applyBorder="1" applyAlignment="1" applyProtection="1">
      <alignment horizontal="center" vertical="center"/>
      <protection locked="0"/>
    </xf>
    <xf numFmtId="166" fontId="10" fillId="8" borderId="32" xfId="0" applyNumberFormat="1" applyFont="1" applyFill="1" applyBorder="1" applyAlignment="1" applyProtection="1">
      <alignment vertical="center" wrapText="1"/>
      <protection locked="0"/>
    </xf>
    <xf numFmtId="0" fontId="10" fillId="0" borderId="112" xfId="0" applyFont="1" applyBorder="1" applyAlignment="1" applyProtection="1">
      <alignment horizontal="center" vertical="center"/>
      <protection hidden="1"/>
    </xf>
    <xf numFmtId="166" fontId="29" fillId="9" borderId="48" xfId="0" applyNumberFormat="1" applyFont="1" applyFill="1" applyBorder="1" applyAlignment="1" applyProtection="1">
      <alignment horizontal="center" vertical="center"/>
      <protection hidden="1"/>
    </xf>
    <xf numFmtId="165" fontId="17" fillId="6" borderId="95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48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61" xfId="0" applyNumberFormat="1" applyFont="1" applyFill="1" applyBorder="1" applyAlignment="1" applyProtection="1">
      <alignment horizontal="center" vertical="center"/>
      <protection hidden="1"/>
    </xf>
    <xf numFmtId="166" fontId="10" fillId="9" borderId="153" xfId="0" applyNumberFormat="1" applyFont="1" applyFill="1" applyBorder="1" applyAlignment="1" applyProtection="1">
      <alignment horizontal="center" vertical="center"/>
      <protection locked="0"/>
    </xf>
    <xf numFmtId="166" fontId="10" fillId="9" borderId="90" xfId="0" applyNumberFormat="1" applyFont="1" applyFill="1" applyBorder="1" applyAlignment="1" applyProtection="1">
      <alignment horizontal="center" vertical="center"/>
      <protection locked="0"/>
    </xf>
    <xf numFmtId="165" fontId="17" fillId="6" borderId="154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125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155" xfId="0" applyNumberFormat="1" applyFont="1" applyFill="1" applyBorder="1" applyAlignment="1" applyProtection="1">
      <alignment horizontal="center" vertical="center"/>
      <protection hidden="1"/>
    </xf>
    <xf numFmtId="0" fontId="10" fillId="8" borderId="32" xfId="0" applyFont="1" applyFill="1" applyBorder="1" applyAlignment="1" applyProtection="1">
      <alignment vertical="center"/>
      <protection locked="0"/>
    </xf>
    <xf numFmtId="166" fontId="10" fillId="8" borderId="133" xfId="0" applyNumberFormat="1" applyFont="1" applyFill="1" applyBorder="1" applyAlignment="1" applyProtection="1">
      <alignment vertical="center"/>
      <protection locked="0"/>
    </xf>
    <xf numFmtId="166" fontId="10" fillId="8" borderId="33" xfId="0" applyNumberFormat="1" applyFont="1" applyFill="1" applyBorder="1" applyAlignment="1" applyProtection="1">
      <alignment vertical="center"/>
      <protection locked="0"/>
    </xf>
    <xf numFmtId="166" fontId="10" fillId="0" borderId="156" xfId="0" applyNumberFormat="1" applyFont="1" applyBorder="1" applyAlignment="1" applyProtection="1">
      <alignment horizontal="center" vertical="center"/>
      <protection hidden="1"/>
    </xf>
    <xf numFmtId="166" fontId="10" fillId="0" borderId="45" xfId="0" applyNumberFormat="1" applyFont="1" applyBorder="1" applyAlignment="1" applyProtection="1">
      <alignment horizontal="center" vertical="center"/>
      <protection hidden="1"/>
    </xf>
    <xf numFmtId="166" fontId="10" fillId="0" borderId="132" xfId="0" applyNumberFormat="1" applyFont="1" applyBorder="1" applyAlignment="1" applyProtection="1">
      <alignment horizontal="center" vertical="center"/>
      <protection hidden="1"/>
    </xf>
    <xf numFmtId="166" fontId="10" fillId="0" borderId="158" xfId="0" applyNumberFormat="1" applyFont="1" applyBorder="1" applyAlignment="1" applyProtection="1">
      <alignment horizontal="center" vertical="center"/>
      <protection hidden="1"/>
    </xf>
    <xf numFmtId="165" fontId="10" fillId="6" borderId="154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2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55" xfId="0" applyNumberFormat="1" applyFont="1" applyFill="1" applyBorder="1" applyAlignment="1" applyProtection="1">
      <alignment horizontal="center" vertical="center"/>
      <protection hidden="1"/>
    </xf>
    <xf numFmtId="0" fontId="10" fillId="2" borderId="116" xfId="0" applyFont="1" applyFill="1" applyBorder="1" applyAlignment="1" applyProtection="1">
      <alignment vertical="center" wrapText="1"/>
      <protection locked="0"/>
    </xf>
    <xf numFmtId="0" fontId="10" fillId="8" borderId="12" xfId="0" applyFont="1" applyFill="1" applyBorder="1" applyAlignment="1" applyProtection="1">
      <alignment vertical="center" wrapText="1"/>
      <protection locked="0"/>
    </xf>
    <xf numFmtId="0" fontId="10" fillId="8" borderId="160" xfId="0" applyFont="1" applyFill="1" applyBorder="1" applyAlignment="1" applyProtection="1">
      <alignment vertical="center" wrapText="1"/>
      <protection locked="0"/>
    </xf>
    <xf numFmtId="166" fontId="10" fillId="8" borderId="160" xfId="0" applyNumberFormat="1" applyFont="1" applyFill="1" applyBorder="1" applyAlignment="1" applyProtection="1">
      <alignment vertical="center" wrapText="1"/>
      <protection locked="0"/>
    </xf>
    <xf numFmtId="166" fontId="10" fillId="8" borderId="160" xfId="0" applyNumberFormat="1" applyFont="1" applyFill="1" applyBorder="1" applyAlignment="1" applyProtection="1">
      <alignment vertical="center"/>
      <protection locked="0"/>
    </xf>
    <xf numFmtId="166" fontId="10" fillId="8" borderId="79" xfId="0" applyNumberFormat="1" applyFont="1" applyFill="1" applyBorder="1" applyAlignment="1" applyProtection="1">
      <alignment vertical="center" wrapText="1"/>
      <protection locked="0"/>
    </xf>
    <xf numFmtId="166" fontId="10" fillId="8" borderId="12" xfId="0" applyNumberFormat="1" applyFont="1" applyFill="1" applyBorder="1" applyAlignment="1" applyProtection="1">
      <alignment vertical="center" wrapText="1"/>
      <protection locked="0"/>
    </xf>
    <xf numFmtId="0" fontId="10" fillId="8" borderId="62" xfId="0" applyFont="1" applyFill="1" applyBorder="1" applyAlignment="1" applyProtection="1">
      <alignment vertical="center" wrapText="1"/>
      <protection locked="0"/>
    </xf>
    <xf numFmtId="0" fontId="10" fillId="8" borderId="151" xfId="0" applyFont="1" applyFill="1" applyBorder="1" applyAlignment="1" applyProtection="1">
      <alignment vertical="center" wrapText="1"/>
      <protection locked="0"/>
    </xf>
    <xf numFmtId="166" fontId="10" fillId="0" borderId="105" xfId="0" applyNumberFormat="1" applyFont="1" applyBorder="1" applyAlignment="1" applyProtection="1">
      <alignment horizontal="center" vertical="center"/>
      <protection hidden="1"/>
    </xf>
    <xf numFmtId="166" fontId="10" fillId="0" borderId="161" xfId="0" applyNumberFormat="1" applyFont="1" applyBorder="1" applyAlignment="1" applyProtection="1">
      <alignment horizontal="center" vertical="center"/>
      <protection hidden="1"/>
    </xf>
    <xf numFmtId="166" fontId="10" fillId="0" borderId="162" xfId="0" applyNumberFormat="1" applyFont="1" applyBorder="1" applyAlignment="1" applyProtection="1">
      <alignment horizontal="center" vertical="center"/>
      <protection hidden="1"/>
    </xf>
    <xf numFmtId="165" fontId="10" fillId="6" borderId="58" xfId="0" applyNumberFormat="1" applyFont="1" applyFill="1" applyBorder="1" applyAlignment="1" applyProtection="1">
      <alignment horizontal="center" vertical="center"/>
      <protection hidden="1"/>
    </xf>
    <xf numFmtId="166" fontId="10" fillId="0" borderId="163" xfId="0" applyNumberFormat="1" applyFont="1" applyBorder="1" applyAlignment="1" applyProtection="1">
      <alignment horizontal="center" vertical="center"/>
      <protection hidden="1"/>
    </xf>
    <xf numFmtId="166" fontId="10" fillId="0" borderId="164" xfId="0" applyNumberFormat="1" applyFont="1" applyBorder="1" applyAlignment="1" applyProtection="1">
      <alignment horizontal="center" vertical="center"/>
      <protection hidden="1"/>
    </xf>
    <xf numFmtId="166" fontId="10" fillId="0" borderId="165" xfId="0" applyNumberFormat="1" applyFont="1" applyBorder="1" applyAlignment="1" applyProtection="1">
      <alignment horizontal="center" vertical="center"/>
      <protection hidden="1"/>
    </xf>
    <xf numFmtId="165" fontId="10" fillId="6" borderId="91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66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2" xfId="0" applyNumberFormat="1" applyFont="1" applyFill="1" applyBorder="1" applyAlignment="1" applyProtection="1">
      <alignment horizontal="center" vertical="center"/>
      <protection hidden="1"/>
    </xf>
    <xf numFmtId="166" fontId="6" fillId="0" borderId="0" xfId="0" applyNumberFormat="1" applyFont="1" applyAlignment="1" applyProtection="1">
      <alignment horizontal="center" vertical="center"/>
      <protection locked="0"/>
    </xf>
    <xf numFmtId="166" fontId="6" fillId="0" borderId="0" xfId="0" applyNumberFormat="1" applyFont="1" applyAlignment="1" applyProtection="1">
      <alignment horizontal="left"/>
      <protection locked="0"/>
    </xf>
    <xf numFmtId="0" fontId="8" fillId="3" borderId="48" xfId="0" applyFont="1" applyFill="1" applyBorder="1" applyAlignment="1" applyProtection="1">
      <alignment horizontal="left" vertical="center"/>
      <protection locked="0"/>
    </xf>
    <xf numFmtId="166" fontId="10" fillId="11" borderId="59" xfId="0" applyNumberFormat="1" applyFont="1" applyFill="1" applyBorder="1" applyAlignment="1" applyProtection="1">
      <alignment horizontal="center" vertical="center"/>
      <protection locked="0"/>
    </xf>
    <xf numFmtId="166" fontId="10" fillId="11" borderId="51" xfId="0" applyNumberFormat="1" applyFont="1" applyFill="1" applyBorder="1" applyAlignment="1" applyProtection="1">
      <alignment horizontal="center" vertical="center"/>
      <protection locked="0"/>
    </xf>
    <xf numFmtId="166" fontId="10" fillId="11" borderId="52" xfId="0" applyNumberFormat="1" applyFont="1" applyFill="1" applyBorder="1" applyAlignment="1" applyProtection="1">
      <alignment horizontal="center" vertical="center"/>
      <protection hidden="1"/>
    </xf>
    <xf numFmtId="166" fontId="10" fillId="11" borderId="53" xfId="0" applyNumberFormat="1" applyFont="1" applyFill="1" applyBorder="1" applyAlignment="1" applyProtection="1">
      <alignment horizontal="center" vertical="center"/>
      <protection hidden="1"/>
    </xf>
    <xf numFmtId="166" fontId="10" fillId="11" borderId="54" xfId="0" applyNumberFormat="1" applyFont="1" applyFill="1" applyBorder="1" applyAlignment="1" applyProtection="1">
      <alignment horizontal="center" vertical="center"/>
      <protection hidden="1"/>
    </xf>
    <xf numFmtId="166" fontId="10" fillId="11" borderId="61" xfId="0" applyNumberFormat="1" applyFont="1" applyFill="1" applyBorder="1" applyAlignment="1" applyProtection="1">
      <alignment horizontal="center" vertical="center"/>
      <protection hidden="1"/>
    </xf>
    <xf numFmtId="166" fontId="10" fillId="11" borderId="49" xfId="0" applyNumberFormat="1" applyFont="1" applyFill="1" applyBorder="1" applyAlignment="1" applyProtection="1">
      <alignment horizontal="center" vertical="center"/>
      <protection locked="0"/>
    </xf>
    <xf numFmtId="166" fontId="10" fillId="11" borderId="48" xfId="0" applyNumberFormat="1" applyFont="1" applyFill="1" applyBorder="1" applyAlignment="1" applyProtection="1">
      <alignment horizontal="center" vertical="center"/>
      <protection locked="0"/>
    </xf>
    <xf numFmtId="166" fontId="10" fillId="11" borderId="51" xfId="0" applyNumberFormat="1" applyFont="1" applyFill="1" applyBorder="1" applyAlignment="1" applyProtection="1">
      <alignment horizontal="center" vertical="center"/>
      <protection hidden="1"/>
    </xf>
    <xf numFmtId="165" fontId="10" fillId="11" borderId="95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48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61" xfId="0" applyNumberFormat="1" applyFont="1" applyFill="1" applyBorder="1" applyAlignment="1" applyProtection="1">
      <alignment horizontal="center" vertical="center"/>
      <protection hidden="1"/>
    </xf>
    <xf numFmtId="166" fontId="10" fillId="11" borderId="94" xfId="0" applyNumberFormat="1" applyFont="1" applyFill="1" applyBorder="1" applyAlignment="1" applyProtection="1">
      <alignment horizontal="center" vertical="center"/>
      <protection hidden="1"/>
    </xf>
    <xf numFmtId="166" fontId="10" fillId="11" borderId="66" xfId="0" applyNumberFormat="1" applyFont="1" applyFill="1" applyBorder="1" applyAlignment="1" applyProtection="1">
      <alignment horizontal="center" vertical="center"/>
      <protection hidden="1"/>
    </xf>
    <xf numFmtId="166" fontId="10" fillId="11" borderId="67" xfId="0" applyNumberFormat="1" applyFont="1" applyFill="1" applyBorder="1" applyAlignment="1" applyProtection="1">
      <alignment horizontal="center" vertical="center"/>
      <protection hidden="1"/>
    </xf>
    <xf numFmtId="166" fontId="10" fillId="11" borderId="48" xfId="0" applyNumberFormat="1" applyFont="1" applyFill="1" applyBorder="1" applyAlignment="1" applyProtection="1">
      <alignment horizontal="center" vertical="center"/>
      <protection hidden="1"/>
    </xf>
    <xf numFmtId="166" fontId="10" fillId="11" borderId="55" xfId="0" applyNumberFormat="1" applyFont="1" applyFill="1" applyBorder="1" applyAlignment="1" applyProtection="1">
      <alignment horizontal="center" vertical="center"/>
      <protection hidden="1"/>
    </xf>
    <xf numFmtId="166" fontId="29" fillId="11" borderId="59" xfId="0" applyNumberFormat="1" applyFont="1" applyFill="1" applyBorder="1" applyAlignment="1" applyProtection="1">
      <alignment horizontal="center" vertical="center"/>
      <protection hidden="1"/>
    </xf>
    <xf numFmtId="166" fontId="29" fillId="11" borderId="150" xfId="0" applyNumberFormat="1" applyFont="1" applyFill="1" applyBorder="1" applyAlignment="1" applyProtection="1">
      <alignment horizontal="center" vertical="center"/>
      <protection hidden="1"/>
    </xf>
    <xf numFmtId="166" fontId="10" fillId="11" borderId="112" xfId="0" applyNumberFormat="1" applyFont="1" applyFill="1" applyBorder="1" applyAlignment="1" applyProtection="1">
      <alignment horizontal="center" vertical="center"/>
      <protection hidden="1"/>
    </xf>
    <xf numFmtId="166" fontId="10" fillId="11" borderId="111" xfId="0" applyNumberFormat="1" applyFont="1" applyFill="1" applyBorder="1" applyAlignment="1" applyProtection="1">
      <alignment horizontal="center" vertical="center"/>
      <protection hidden="1"/>
    </xf>
    <xf numFmtId="166" fontId="10" fillId="11" borderId="114" xfId="0" applyNumberFormat="1" applyFont="1" applyFill="1" applyBorder="1" applyAlignment="1" applyProtection="1">
      <alignment horizontal="center" vertical="center"/>
      <protection hidden="1"/>
    </xf>
    <xf numFmtId="166" fontId="10" fillId="11" borderId="130" xfId="0" applyNumberFormat="1" applyFont="1" applyFill="1" applyBorder="1" applyAlignment="1" applyProtection="1">
      <alignment horizontal="center" vertical="center"/>
      <protection hidden="1"/>
    </xf>
    <xf numFmtId="166" fontId="10" fillId="11" borderId="121" xfId="0" applyNumberFormat="1" applyFont="1" applyFill="1" applyBorder="1" applyAlignment="1" applyProtection="1">
      <alignment horizontal="center" vertical="center"/>
      <protection hidden="1"/>
    </xf>
    <xf numFmtId="166" fontId="10" fillId="11" borderId="76" xfId="0" applyNumberFormat="1" applyFont="1" applyFill="1" applyBorder="1" applyAlignment="1" applyProtection="1">
      <alignment horizontal="center" vertical="center"/>
      <protection hidden="1"/>
    </xf>
    <xf numFmtId="166" fontId="10" fillId="11" borderId="151" xfId="0" applyNumberFormat="1" applyFont="1" applyFill="1" applyBorder="1" applyAlignment="1" applyProtection="1">
      <alignment horizontal="center" vertical="center"/>
      <protection hidden="1"/>
    </xf>
    <xf numFmtId="166" fontId="10" fillId="11" borderId="0" xfId="0" applyNumberFormat="1" applyFont="1" applyFill="1" applyBorder="1" applyAlignment="1" applyProtection="1">
      <alignment horizontal="center" vertical="center"/>
      <protection hidden="1"/>
    </xf>
    <xf numFmtId="166" fontId="10" fillId="11" borderId="122" xfId="0" applyNumberFormat="1" applyFont="1" applyFill="1" applyBorder="1" applyAlignment="1" applyProtection="1">
      <alignment horizontal="center" vertical="center"/>
      <protection hidden="1"/>
    </xf>
    <xf numFmtId="165" fontId="10" fillId="11" borderId="95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8" xfId="2" applyNumberFormat="1" applyFont="1" applyFill="1" applyBorder="1" applyAlignment="1" applyProtection="1">
      <alignment horizontal="center" vertical="center" wrapText="1"/>
      <protection hidden="1"/>
    </xf>
    <xf numFmtId="166" fontId="10" fillId="11" borderId="50" xfId="0" applyNumberFormat="1" applyFont="1" applyFill="1" applyBorder="1" applyAlignment="1" applyProtection="1">
      <alignment horizontal="center" vertical="center"/>
      <protection hidden="1"/>
    </xf>
    <xf numFmtId="166" fontId="10" fillId="11" borderId="85" xfId="0" applyNumberFormat="1" applyFont="1" applyFill="1" applyBorder="1" applyAlignment="1" applyProtection="1">
      <alignment horizontal="center" vertical="center"/>
      <protection hidden="1"/>
    </xf>
    <xf numFmtId="166" fontId="10" fillId="11" borderId="86" xfId="0" applyNumberFormat="1" applyFont="1" applyFill="1" applyBorder="1" applyAlignment="1" applyProtection="1">
      <alignment horizontal="center" vertical="center"/>
      <protection hidden="1"/>
    </xf>
    <xf numFmtId="165" fontId="10" fillId="11" borderId="109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3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7" xfId="0" applyNumberFormat="1" applyFont="1" applyFill="1" applyBorder="1" applyAlignment="1" applyProtection="1">
      <alignment horizontal="center" vertical="center"/>
      <protection hidden="1"/>
    </xf>
    <xf numFmtId="166" fontId="10" fillId="11" borderId="49" xfId="0" applyNumberFormat="1" applyFont="1" applyFill="1" applyBorder="1" applyAlignment="1" applyProtection="1">
      <alignment horizontal="center" vertical="center"/>
      <protection hidden="1"/>
    </xf>
    <xf numFmtId="166" fontId="10" fillId="11" borderId="38" xfId="0" applyNumberFormat="1" applyFont="1" applyFill="1" applyBorder="1" applyAlignment="1" applyProtection="1">
      <alignment horizontal="center" vertical="center"/>
      <protection hidden="1"/>
    </xf>
    <xf numFmtId="166" fontId="10" fillId="11" borderId="43" xfId="0" applyNumberFormat="1" applyFont="1" applyFill="1" applyBorder="1" applyAlignment="1" applyProtection="1">
      <alignment horizontal="center" vertical="center"/>
      <protection hidden="1"/>
    </xf>
    <xf numFmtId="166" fontId="10" fillId="11" borderId="40" xfId="0" applyNumberFormat="1" applyFont="1" applyFill="1" applyBorder="1" applyAlignment="1" applyProtection="1">
      <alignment horizontal="center" vertical="center"/>
      <protection hidden="1"/>
    </xf>
    <xf numFmtId="166" fontId="10" fillId="11" borderId="45" xfId="0" applyNumberFormat="1" applyFont="1" applyFill="1" applyBorder="1" applyAlignment="1" applyProtection="1">
      <alignment horizontal="center" vertical="center"/>
      <protection hidden="1"/>
    </xf>
    <xf numFmtId="166" fontId="10" fillId="11" borderId="132" xfId="0" applyNumberFormat="1" applyFont="1" applyFill="1" applyBorder="1" applyAlignment="1" applyProtection="1">
      <alignment horizontal="center" vertical="center"/>
      <protection hidden="1"/>
    </xf>
    <xf numFmtId="166" fontId="10" fillId="11" borderId="41" xfId="0" applyNumberFormat="1" applyFont="1" applyFill="1" applyBorder="1" applyAlignment="1" applyProtection="1">
      <alignment horizontal="center" vertical="center"/>
      <protection hidden="1"/>
    </xf>
    <xf numFmtId="166" fontId="10" fillId="11" borderId="158" xfId="0" applyNumberFormat="1" applyFont="1" applyFill="1" applyBorder="1" applyAlignment="1" applyProtection="1">
      <alignment horizontal="center" vertical="center"/>
      <protection hidden="1"/>
    </xf>
    <xf numFmtId="166" fontId="10" fillId="11" borderId="39" xfId="0" applyNumberFormat="1" applyFont="1" applyFill="1" applyBorder="1" applyAlignment="1" applyProtection="1">
      <alignment horizontal="center" vertical="center"/>
      <protection hidden="1"/>
    </xf>
    <xf numFmtId="166" fontId="10" fillId="11" borderId="44" xfId="0" applyNumberFormat="1" applyFont="1" applyFill="1" applyBorder="1" applyAlignment="1" applyProtection="1">
      <alignment horizontal="center" vertical="center"/>
      <protection hidden="1"/>
    </xf>
    <xf numFmtId="165" fontId="10" fillId="11" borderId="154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125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155" xfId="0" applyNumberFormat="1" applyFont="1" applyFill="1" applyBorder="1" applyAlignment="1" applyProtection="1">
      <alignment horizontal="center" vertical="center"/>
      <protection hidden="1"/>
    </xf>
    <xf numFmtId="0" fontId="8" fillId="3" borderId="48" xfId="0" applyFont="1" applyFill="1" applyBorder="1" applyAlignment="1" applyProtection="1">
      <alignment vertical="center"/>
      <protection locked="0"/>
    </xf>
    <xf numFmtId="0" fontId="21" fillId="3" borderId="152" xfId="0" applyFont="1" applyFill="1" applyBorder="1" applyAlignment="1" applyProtection="1">
      <alignment vertical="center"/>
      <protection locked="0"/>
    </xf>
    <xf numFmtId="0" fontId="8" fillId="9" borderId="48" xfId="0" applyFont="1" applyFill="1" applyBorder="1" applyAlignment="1" applyProtection="1">
      <alignment horizontal="center" vertical="center"/>
      <protection hidden="1"/>
    </xf>
    <xf numFmtId="0" fontId="21" fillId="3" borderId="87" xfId="0" applyFont="1" applyFill="1" applyBorder="1" applyAlignment="1" applyProtection="1">
      <alignment vertical="center" wrapText="1"/>
      <protection locked="0"/>
    </xf>
    <xf numFmtId="0" fontId="8" fillId="3" borderId="43" xfId="0" applyFont="1" applyFill="1" applyBorder="1" applyAlignment="1" applyProtection="1">
      <alignment vertical="center" wrapText="1"/>
      <protection locked="0"/>
    </xf>
    <xf numFmtId="0" fontId="10" fillId="9" borderId="87" xfId="0" applyFont="1" applyFill="1" applyBorder="1" applyAlignment="1" applyProtection="1">
      <alignment horizontal="center" vertical="center"/>
      <protection hidden="1"/>
    </xf>
    <xf numFmtId="0" fontId="10" fillId="9" borderId="48" xfId="0" applyFont="1" applyFill="1" applyBorder="1" applyAlignment="1" applyProtection="1">
      <alignment horizontal="center" vertical="center"/>
      <protection hidden="1"/>
    </xf>
    <xf numFmtId="165" fontId="8" fillId="3" borderId="48" xfId="2" applyNumberFormat="1" applyFont="1" applyFill="1" applyBorder="1" applyAlignment="1" applyProtection="1">
      <alignment wrapText="1"/>
      <protection locked="0"/>
    </xf>
    <xf numFmtId="165" fontId="21" fillId="3" borderId="48" xfId="2" applyNumberFormat="1" applyFont="1" applyFill="1" applyBorder="1" applyAlignment="1" applyProtection="1">
      <alignment vertical="center" wrapText="1"/>
      <protection locked="0"/>
    </xf>
    <xf numFmtId="165" fontId="8" fillId="3" borderId="43" xfId="1" applyNumberFormat="1" applyFont="1" applyFill="1" applyBorder="1" applyAlignment="1" applyProtection="1">
      <alignment vertical="center" wrapText="1"/>
      <protection locked="0"/>
    </xf>
    <xf numFmtId="166" fontId="10" fillId="0" borderId="6" xfId="0" applyNumberFormat="1" applyFont="1" applyBorder="1" applyAlignment="1" applyProtection="1">
      <alignment horizontal="center" vertical="center"/>
      <protection hidden="1"/>
    </xf>
    <xf numFmtId="0" fontId="30" fillId="0" borderId="0" xfId="0" applyFont="1"/>
    <xf numFmtId="0" fontId="0" fillId="0" borderId="0" xfId="0" quotePrefix="1"/>
    <xf numFmtId="0" fontId="10" fillId="2" borderId="1" xfId="0" applyFont="1" applyFill="1" applyBorder="1" applyAlignment="1" applyProtection="1">
      <alignment horizontal="center" vertical="center" wrapText="1"/>
      <protection locked="0"/>
    </xf>
    <xf numFmtId="0" fontId="10" fillId="2" borderId="11" xfId="0" applyFont="1" applyFill="1" applyBorder="1" applyAlignment="1" applyProtection="1">
      <alignment horizontal="center" vertical="center" wrapText="1"/>
      <protection locked="0"/>
    </xf>
    <xf numFmtId="0" fontId="10" fillId="2" borderId="3" xfId="0" applyFont="1" applyFill="1" applyBorder="1" applyAlignment="1" applyProtection="1">
      <alignment horizontal="center" vertical="center" wrapText="1"/>
      <protection locked="0"/>
    </xf>
    <xf numFmtId="0" fontId="10" fillId="2" borderId="62" xfId="0" applyFont="1" applyFill="1" applyBorder="1" applyAlignment="1" applyProtection="1">
      <alignment horizontal="center" vertical="center" wrapText="1"/>
      <protection locked="0"/>
    </xf>
    <xf numFmtId="0" fontId="10" fillId="2" borderId="13" xfId="0" applyFont="1" applyFill="1" applyBorder="1" applyAlignment="1" applyProtection="1">
      <alignment horizontal="center" vertical="center" wrapText="1"/>
      <protection locked="0"/>
    </xf>
    <xf numFmtId="0" fontId="10" fillId="2" borderId="115" xfId="0" applyFont="1" applyFill="1" applyBorder="1" applyAlignment="1" applyProtection="1">
      <alignment horizontal="center" vertical="center" wrapText="1"/>
      <protection locked="0"/>
    </xf>
    <xf numFmtId="0" fontId="10" fillId="2" borderId="87" xfId="0" applyFont="1" applyFill="1" applyBorder="1" applyAlignment="1" applyProtection="1">
      <alignment horizontal="center" vertical="center" wrapText="1"/>
      <protection locked="0"/>
    </xf>
    <xf numFmtId="165" fontId="10" fillId="2" borderId="10" xfId="0" applyNumberFormat="1" applyFont="1" applyFill="1" applyBorder="1" applyAlignment="1" applyProtection="1">
      <alignment horizontal="center" vertical="center"/>
      <protection locked="0"/>
    </xf>
    <xf numFmtId="165" fontId="10" fillId="2" borderId="24" xfId="0" applyNumberFormat="1" applyFont="1" applyFill="1" applyBorder="1" applyAlignment="1" applyProtection="1">
      <alignment horizontal="center" vertical="center"/>
      <protection locked="0"/>
    </xf>
    <xf numFmtId="165" fontId="17" fillId="0" borderId="159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52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92" xfId="2" applyNumberFormat="1" applyFont="1" applyFill="1" applyBorder="1" applyAlignment="1" applyProtection="1">
      <alignment horizontal="center" vertical="center" textRotation="90" wrapText="1"/>
      <protection locked="0"/>
    </xf>
    <xf numFmtId="0" fontId="8" fillId="3" borderId="48" xfId="0" applyFont="1" applyFill="1" applyBorder="1" applyAlignment="1" applyProtection="1">
      <alignment horizontal="left" vertical="center" wrapText="1"/>
      <protection locked="0"/>
    </xf>
    <xf numFmtId="0" fontId="8" fillId="3" borderId="49" xfId="0" applyFont="1" applyFill="1" applyBorder="1" applyAlignment="1" applyProtection="1">
      <alignment horizontal="left" vertical="center" wrapText="1"/>
      <protection locked="0"/>
    </xf>
    <xf numFmtId="0" fontId="8" fillId="3" borderId="43" xfId="0" applyFont="1" applyFill="1" applyBorder="1" applyAlignment="1" applyProtection="1">
      <alignment horizontal="left" vertical="center" wrapText="1"/>
      <protection locked="0"/>
    </xf>
    <xf numFmtId="0" fontId="8" fillId="3" borderId="132" xfId="0" applyFont="1" applyFill="1" applyBorder="1" applyAlignment="1" applyProtection="1">
      <alignment horizontal="left" vertical="center" wrapText="1"/>
      <protection locked="0"/>
    </xf>
    <xf numFmtId="0" fontId="21" fillId="3" borderId="48" xfId="0" applyFont="1" applyFill="1" applyBorder="1" applyAlignment="1" applyProtection="1">
      <alignment horizontal="left" vertical="center" wrapText="1"/>
      <protection locked="0"/>
    </xf>
    <xf numFmtId="0" fontId="8" fillId="3" borderId="69" xfId="0" applyFont="1" applyFill="1" applyBorder="1" applyAlignment="1" applyProtection="1">
      <alignment horizontal="left" vertical="center" wrapText="1"/>
      <protection locked="0"/>
    </xf>
    <xf numFmtId="0" fontId="8" fillId="3" borderId="164" xfId="0" applyFont="1" applyFill="1" applyBorder="1" applyAlignment="1" applyProtection="1">
      <alignment horizontal="left" vertical="center" wrapText="1"/>
      <protection locked="0"/>
    </xf>
    <xf numFmtId="0" fontId="10" fillId="2" borderId="114" xfId="0" applyFont="1" applyFill="1" applyBorder="1" applyAlignment="1" applyProtection="1">
      <alignment horizontal="center" vertical="center" wrapText="1"/>
      <protection locked="0"/>
    </xf>
    <xf numFmtId="0" fontId="10" fillId="2" borderId="96" xfId="0" applyFont="1" applyFill="1" applyBorder="1" applyAlignment="1" applyProtection="1">
      <alignment horizontal="center" vertical="center" wrapText="1"/>
      <protection locked="0"/>
    </xf>
    <xf numFmtId="0" fontId="10" fillId="2" borderId="12" xfId="0" applyFont="1" applyFill="1" applyBorder="1" applyAlignment="1" applyProtection="1">
      <alignment horizontal="center" vertical="center" wrapText="1"/>
      <protection locked="0"/>
    </xf>
    <xf numFmtId="165" fontId="10" fillId="2" borderId="84" xfId="0" applyNumberFormat="1" applyFont="1" applyFill="1" applyBorder="1" applyAlignment="1" applyProtection="1">
      <alignment horizontal="center" vertical="center"/>
      <protection locked="0"/>
    </xf>
    <xf numFmtId="165" fontId="17" fillId="0" borderId="100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04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10" xfId="2" applyNumberFormat="1" applyFont="1" applyFill="1" applyBorder="1" applyAlignment="1" applyProtection="1">
      <alignment horizontal="center" vertical="center" textRotation="90" wrapText="1"/>
      <protection locked="0"/>
    </xf>
    <xf numFmtId="0" fontId="21" fillId="3" borderId="48" xfId="0" applyFont="1" applyFill="1" applyBorder="1" applyAlignment="1" applyProtection="1">
      <alignment horizontal="left" vertical="center"/>
      <protection locked="0"/>
    </xf>
    <xf numFmtId="0" fontId="8" fillId="3" borderId="57" xfId="0" applyFont="1" applyFill="1" applyBorder="1" applyAlignment="1" applyProtection="1">
      <alignment horizontal="left" vertical="center"/>
      <protection locked="0"/>
    </xf>
    <xf numFmtId="0" fontId="8" fillId="3" borderId="125" xfId="0" applyFont="1" applyFill="1" applyBorder="1" applyAlignment="1" applyProtection="1">
      <alignment horizontal="left" vertical="center"/>
      <protection locked="0"/>
    </xf>
    <xf numFmtId="0" fontId="8" fillId="3" borderId="97" xfId="0" applyFont="1" applyFill="1" applyBorder="1" applyAlignment="1" applyProtection="1">
      <alignment horizontal="left" vertical="center"/>
      <protection locked="0"/>
    </xf>
    <xf numFmtId="0" fontId="8" fillId="3" borderId="43" xfId="0" applyFont="1" applyFill="1" applyBorder="1" applyAlignment="1" applyProtection="1">
      <alignment horizontal="left" vertical="center"/>
      <protection locked="0"/>
    </xf>
    <xf numFmtId="0" fontId="8" fillId="3" borderId="63" xfId="0" applyFont="1" applyFill="1" applyBorder="1" applyAlignment="1" applyProtection="1">
      <alignment horizontal="left" vertical="center"/>
      <protection locked="0"/>
    </xf>
    <xf numFmtId="0" fontId="8" fillId="3" borderId="48" xfId="0" applyFont="1" applyFill="1" applyBorder="1" applyAlignment="1" applyProtection="1">
      <alignment horizontal="left" vertical="center"/>
      <protection locked="0"/>
    </xf>
    <xf numFmtId="0" fontId="8" fillId="3" borderId="60" xfId="0" applyFont="1" applyFill="1" applyBorder="1" applyAlignment="1" applyProtection="1">
      <alignment horizontal="left" vertical="center"/>
      <protection locked="0"/>
    </xf>
    <xf numFmtId="0" fontId="8" fillId="3" borderId="60" xfId="0" applyFont="1" applyFill="1" applyBorder="1" applyAlignment="1" applyProtection="1">
      <alignment horizontal="left" vertical="center" wrapText="1"/>
      <protection locked="0"/>
    </xf>
    <xf numFmtId="0" fontId="8" fillId="3" borderId="157" xfId="0" applyFont="1" applyFill="1" applyBorder="1" applyAlignment="1" applyProtection="1">
      <alignment horizontal="left" vertical="center"/>
      <protection locked="0"/>
    </xf>
    <xf numFmtId="0" fontId="10" fillId="2" borderId="2" xfId="0" applyFont="1" applyFill="1" applyBorder="1" applyAlignment="1" applyProtection="1">
      <alignment horizontal="center" vertical="center" wrapText="1"/>
      <protection locked="0"/>
    </xf>
    <xf numFmtId="0" fontId="8" fillId="3" borderId="87" xfId="0" applyFont="1" applyFill="1" applyBorder="1" applyAlignment="1" applyProtection="1">
      <alignment horizontal="left" vertical="center" wrapText="1"/>
      <protection locked="0"/>
    </xf>
    <xf numFmtId="0" fontId="8" fillId="3" borderId="7" xfId="0" applyFont="1" applyFill="1" applyBorder="1" applyAlignment="1" applyProtection="1">
      <alignment horizontal="left" vertical="center" wrapText="1"/>
      <protection locked="0"/>
    </xf>
    <xf numFmtId="0" fontId="8" fillId="3" borderId="58" xfId="0" applyFont="1" applyFill="1" applyBorder="1" applyAlignment="1" applyProtection="1">
      <alignment horizontal="left" vertical="center" wrapText="1"/>
      <protection locked="0"/>
    </xf>
    <xf numFmtId="0" fontId="8" fillId="3" borderId="61" xfId="0" applyFont="1" applyFill="1" applyBorder="1" applyAlignment="1" applyProtection="1">
      <alignment horizontal="left" vertical="center" wrapText="1"/>
      <protection locked="0"/>
    </xf>
    <xf numFmtId="0" fontId="8" fillId="3" borderId="90" xfId="0" applyFont="1" applyFill="1" applyBorder="1" applyAlignment="1" applyProtection="1">
      <alignment horizontal="left" vertical="center"/>
      <protection locked="0"/>
    </xf>
    <xf numFmtId="0" fontId="8" fillId="3" borderId="149" xfId="0" applyFont="1" applyFill="1" applyBorder="1" applyAlignment="1" applyProtection="1">
      <alignment horizontal="left" vertical="center"/>
      <protection locked="0"/>
    </xf>
    <xf numFmtId="165" fontId="17" fillId="0" borderId="1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1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62" xfId="2" applyNumberFormat="1" applyFont="1" applyFill="1" applyBorder="1" applyAlignment="1" applyProtection="1">
      <alignment horizontal="center" vertical="center" textRotation="90" wrapText="1"/>
      <protection locked="0"/>
    </xf>
    <xf numFmtId="0" fontId="28" fillId="3" borderId="134" xfId="0" applyFont="1" applyFill="1" applyBorder="1" applyAlignment="1" applyProtection="1">
      <alignment horizontal="left" vertical="center" wrapText="1"/>
      <protection locked="0"/>
    </xf>
    <xf numFmtId="0" fontId="28" fillId="3" borderId="88" xfId="0" applyFont="1" applyFill="1" applyBorder="1" applyAlignment="1" applyProtection="1">
      <alignment horizontal="left" vertical="center" wrapText="1"/>
      <protection locked="0"/>
    </xf>
    <xf numFmtId="0" fontId="28" fillId="3" borderId="59" xfId="0" applyFont="1" applyFill="1" applyBorder="1" applyAlignment="1" applyProtection="1">
      <alignment horizontal="left" vertical="center"/>
      <protection locked="0"/>
    </xf>
    <xf numFmtId="0" fontId="28" fillId="3" borderId="57" xfId="0" applyFont="1" applyFill="1" applyBorder="1" applyAlignment="1" applyProtection="1">
      <alignment horizontal="left" vertical="center"/>
      <protection locked="0"/>
    </xf>
    <xf numFmtId="0" fontId="28" fillId="3" borderId="59" xfId="0" applyFont="1" applyFill="1" applyBorder="1" applyAlignment="1" applyProtection="1">
      <alignment horizontal="left" vertical="center" wrapText="1"/>
      <protection locked="0"/>
    </xf>
    <xf numFmtId="0" fontId="28" fillId="3" borderId="49" xfId="0" applyFont="1" applyFill="1" applyBorder="1" applyAlignment="1" applyProtection="1">
      <alignment horizontal="left" vertical="center" wrapText="1"/>
      <protection locked="0"/>
    </xf>
    <xf numFmtId="0" fontId="28" fillId="3" borderId="142" xfId="0" applyFont="1" applyFill="1" applyBorder="1" applyAlignment="1" applyProtection="1">
      <alignment horizontal="left" vertical="center" wrapText="1"/>
      <protection locked="0"/>
    </xf>
    <xf numFmtId="0" fontId="28" fillId="3" borderId="22" xfId="0" applyFont="1" applyFill="1" applyBorder="1" applyAlignment="1" applyProtection="1">
      <alignment horizontal="left" vertical="center" wrapText="1"/>
      <protection locked="0"/>
    </xf>
    <xf numFmtId="0" fontId="10" fillId="2" borderId="8" xfId="0" applyFont="1" applyFill="1" applyBorder="1" applyAlignment="1" applyProtection="1">
      <alignment horizontal="center" vertical="center" wrapText="1"/>
      <protection locked="0"/>
    </xf>
    <xf numFmtId="165" fontId="21" fillId="3" borderId="48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49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114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0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87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7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48" xfId="1" applyNumberFormat="1" applyFont="1" applyFill="1" applyBorder="1" applyAlignment="1" applyProtection="1">
      <alignment horizontal="left" vertical="center" wrapText="1"/>
      <protection locked="0"/>
    </xf>
    <xf numFmtId="165" fontId="8" fillId="3" borderId="60" xfId="1" applyNumberFormat="1" applyFont="1" applyFill="1" applyBorder="1" applyAlignment="1" applyProtection="1">
      <alignment horizontal="left" vertical="center" wrapText="1"/>
      <protection locked="0"/>
    </xf>
    <xf numFmtId="165" fontId="8" fillId="3" borderId="48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60" xfId="2" applyNumberFormat="1" applyFont="1" applyFill="1" applyBorder="1" applyAlignment="1" applyProtection="1">
      <alignment horizontal="left" vertical="center" wrapText="1"/>
      <protection locked="0"/>
    </xf>
    <xf numFmtId="0" fontId="27" fillId="4" borderId="25" xfId="0" applyFont="1" applyFill="1" applyBorder="1" applyAlignment="1" applyProtection="1">
      <alignment horizontal="left" vertical="center" wrapText="1"/>
      <protection locked="0"/>
    </xf>
    <xf numFmtId="0" fontId="27" fillId="4" borderId="26" xfId="0" applyFont="1" applyFill="1" applyBorder="1" applyAlignment="1" applyProtection="1">
      <alignment horizontal="left" vertical="center" wrapText="1"/>
      <protection locked="0"/>
    </xf>
    <xf numFmtId="165" fontId="21" fillId="3" borderId="125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128" xfId="2" applyNumberFormat="1" applyFont="1" applyFill="1" applyBorder="1" applyAlignment="1" applyProtection="1">
      <alignment horizontal="left" vertical="center" wrapText="1"/>
      <protection locked="0"/>
    </xf>
    <xf numFmtId="0" fontId="10" fillId="2" borderId="10" xfId="0" applyFont="1" applyFill="1" applyBorder="1" applyAlignment="1" applyProtection="1">
      <alignment horizontal="center" vertical="center"/>
      <protection locked="0"/>
    </xf>
    <xf numFmtId="0" fontId="10" fillId="2" borderId="24" xfId="0" applyFont="1" applyFill="1" applyBorder="1" applyAlignment="1" applyProtection="1">
      <alignment horizontal="center" vertical="center"/>
      <protection locked="0"/>
    </xf>
    <xf numFmtId="165" fontId="24" fillId="0" borderId="10" xfId="2" applyNumberFormat="1" applyFont="1" applyFill="1" applyBorder="1" applyAlignment="1" applyProtection="1">
      <alignment horizontal="center" vertical="center" wrapText="1"/>
      <protection locked="0"/>
    </xf>
    <xf numFmtId="165" fontId="24" fillId="0" borderId="84" xfId="2" applyNumberFormat="1" applyFont="1" applyFill="1" applyBorder="1" applyAlignment="1" applyProtection="1">
      <alignment horizontal="center" vertical="center" wrapText="1"/>
      <protection locked="0"/>
    </xf>
    <xf numFmtId="165" fontId="24" fillId="0" borderId="24" xfId="2" applyNumberFormat="1" applyFont="1" applyFill="1" applyBorder="1" applyAlignment="1" applyProtection="1">
      <alignment horizontal="center" vertical="center" wrapText="1"/>
      <protection locked="0"/>
    </xf>
    <xf numFmtId="0" fontId="15" fillId="4" borderId="25" xfId="0" applyFont="1" applyFill="1" applyBorder="1" applyAlignment="1" applyProtection="1">
      <alignment horizontal="left" vertical="center" wrapText="1"/>
      <protection locked="0"/>
    </xf>
    <xf numFmtId="0" fontId="15" fillId="4" borderId="26" xfId="0" applyFont="1" applyFill="1" applyBorder="1" applyAlignment="1" applyProtection="1">
      <alignment horizontal="left" vertical="center" wrapText="1"/>
      <protection locked="0"/>
    </xf>
    <xf numFmtId="0" fontId="20" fillId="10" borderId="4" xfId="0" applyFont="1" applyFill="1" applyBorder="1" applyAlignment="1" applyProtection="1">
      <alignment horizontal="left" vertical="center" wrapText="1"/>
      <protection locked="0"/>
    </xf>
    <xf numFmtId="0" fontId="20" fillId="10" borderId="7" xfId="0" applyFont="1" applyFill="1" applyBorder="1" applyAlignment="1" applyProtection="1">
      <alignment horizontal="left" vertical="center" wrapText="1"/>
      <protection locked="0"/>
    </xf>
    <xf numFmtId="0" fontId="20" fillId="3" borderId="62" xfId="0" applyFont="1" applyFill="1" applyBorder="1" applyAlignment="1" applyProtection="1">
      <alignment horizontal="left" vertical="center"/>
      <protection locked="0"/>
    </xf>
    <xf numFmtId="0" fontId="20" fillId="3" borderId="13" xfId="0" applyFont="1" applyFill="1" applyBorder="1" applyAlignment="1" applyProtection="1">
      <alignment horizontal="left" vertical="center"/>
      <protection locked="0"/>
    </xf>
    <xf numFmtId="0" fontId="20" fillId="10" borderId="1" xfId="0" applyFont="1" applyFill="1" applyBorder="1" applyAlignment="1" applyProtection="1">
      <alignment horizontal="left" vertical="center" wrapText="1"/>
      <protection locked="0"/>
    </xf>
    <xf numFmtId="0" fontId="20" fillId="10" borderId="3" xfId="0" applyFont="1" applyFill="1" applyBorder="1" applyAlignment="1" applyProtection="1">
      <alignment horizontal="left" vertical="center" wrapText="1"/>
      <protection locked="0"/>
    </xf>
    <xf numFmtId="0" fontId="20" fillId="0" borderId="59" xfId="0" applyFont="1" applyFill="1" applyBorder="1" applyAlignment="1" applyProtection="1">
      <alignment horizontal="left" vertical="center" wrapText="1"/>
      <protection locked="0"/>
    </xf>
    <xf numFmtId="0" fontId="20" fillId="0" borderId="60" xfId="0" applyFont="1" applyFill="1" applyBorder="1" applyAlignment="1" applyProtection="1">
      <alignment horizontal="left" vertical="center" wrapText="1"/>
      <protection locked="0"/>
    </xf>
    <xf numFmtId="0" fontId="20" fillId="10" borderId="11" xfId="0" applyFont="1" applyFill="1" applyBorder="1" applyAlignment="1" applyProtection="1">
      <alignment horizontal="left" vertical="center" wrapText="1"/>
      <protection locked="0"/>
    </xf>
    <xf numFmtId="0" fontId="20" fillId="10" borderId="96" xfId="0" applyFont="1" applyFill="1" applyBorder="1" applyAlignment="1" applyProtection="1">
      <alignment horizontal="left" vertical="center" wrapText="1"/>
      <protection locked="0"/>
    </xf>
    <xf numFmtId="165" fontId="8" fillId="3" borderId="105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106" xfId="2" applyNumberFormat="1" applyFont="1" applyFill="1" applyBorder="1" applyAlignment="1" applyProtection="1">
      <alignment horizontal="left" vertical="center" wrapText="1"/>
      <protection locked="0"/>
    </xf>
    <xf numFmtId="0" fontId="10" fillId="2" borderId="9" xfId="0" applyFont="1" applyFill="1" applyBorder="1" applyAlignment="1" applyProtection="1">
      <alignment horizontal="center" vertical="center" wrapText="1"/>
      <protection locked="0"/>
    </xf>
    <xf numFmtId="0" fontId="8" fillId="3" borderId="63" xfId="0" applyFont="1" applyFill="1" applyBorder="1" applyAlignment="1" applyProtection="1">
      <alignment horizontal="left" vertical="center" wrapText="1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0" fontId="15" fillId="5" borderId="25" xfId="0" applyFont="1" applyFill="1" applyBorder="1" applyAlignment="1" applyProtection="1">
      <alignment horizontal="left" vertical="center" wrapText="1"/>
      <protection locked="0"/>
    </xf>
    <xf numFmtId="0" fontId="15" fillId="5" borderId="26" xfId="0" applyFont="1" applyFill="1" applyBorder="1" applyAlignment="1" applyProtection="1">
      <alignment horizontal="left" vertical="center" wrapText="1"/>
      <protection locked="0"/>
    </xf>
    <xf numFmtId="0" fontId="20" fillId="3" borderId="1" xfId="0" applyFont="1" applyFill="1" applyBorder="1" applyAlignment="1" applyProtection="1">
      <alignment horizontal="left" vertical="center" wrapText="1"/>
      <protection locked="0"/>
    </xf>
    <xf numFmtId="0" fontId="20" fillId="3" borderId="3" xfId="0" applyFont="1" applyFill="1" applyBorder="1" applyAlignment="1" applyProtection="1">
      <alignment horizontal="left" vertical="center" wrapText="1"/>
      <protection locked="0"/>
    </xf>
    <xf numFmtId="165" fontId="8" fillId="3" borderId="48" xfId="2" applyNumberFormat="1" applyFont="1" applyFill="1" applyBorder="1" applyAlignment="1" applyProtection="1">
      <alignment horizontal="left" vertical="top" wrapText="1"/>
      <protection locked="0"/>
    </xf>
    <xf numFmtId="165" fontId="8" fillId="3" borderId="49" xfId="2" applyNumberFormat="1" applyFont="1" applyFill="1" applyBorder="1" applyAlignment="1" applyProtection="1">
      <alignment horizontal="left" vertical="top" wrapText="1"/>
      <protection locked="0"/>
    </xf>
    <xf numFmtId="0" fontId="20" fillId="3" borderId="59" xfId="0" applyFont="1" applyFill="1" applyBorder="1" applyAlignment="1" applyProtection="1">
      <alignment horizontal="left" vertical="center" wrapText="1"/>
      <protection locked="0"/>
    </xf>
    <xf numFmtId="0" fontId="20" fillId="3" borderId="60" xfId="0" applyFont="1" applyFill="1" applyBorder="1" applyAlignment="1" applyProtection="1">
      <alignment horizontal="left" vertical="center" wrapText="1"/>
      <protection locked="0"/>
    </xf>
    <xf numFmtId="0" fontId="31" fillId="13" borderId="0" xfId="0" applyFont="1" applyFill="1" applyAlignment="1" applyProtection="1">
      <alignment horizontal="center"/>
      <protection locked="0"/>
    </xf>
    <xf numFmtId="0" fontId="32" fillId="13" borderId="0" xfId="0" applyFont="1" applyFill="1" applyAlignment="1" applyProtection="1">
      <alignment horizontal="center"/>
      <protection locked="0"/>
    </xf>
  </cellXfs>
  <cellStyles count="4">
    <cellStyle name="Comma 3" xfId="1"/>
    <cellStyle name="Hiperligação" xfId="3" builtinId="8"/>
    <cellStyle name="Normal" xfId="0" builtinId="0"/>
    <cellStyle name="Vírgula" xfId="2" builtinId="3"/>
  </cellStyles>
  <dxfs count="174"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73"/>
      <tableStyleElement type="headerRow" dxfId="17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DadosExternos_1" rowNumbers="1" refreshOnLoad="1" adjustColumnWidth="0" connectionId="1" autoFormatId="16" applyNumberFormats="0" applyBorderFormats="0" applyFontFormats="1" applyPatternFormats="1" applyAlignmentFormats="0" applyWidthHeightFormats="0">
  <queryTableRefresh nextId="55">
    <queryTableFields count="54">
      <queryTableField id="1" rowNumbers="1" tableColumnId="55"/>
      <queryTableField id="2" name="data_digitacao" tableColumnId="56"/>
      <queryTableField id="3" name="benificiario_id" tableColumnId="57"/>
      <queryTableField id="4" name="cod_inquiridor" tableColumnId="58"/>
      <queryTableField id="5" name="cod_agregado" tableColumnId="59"/>
      <queryTableField id="6" name="cod_beneficiario" tableColumnId="60"/>
      <queryTableField id="7" name="nome" tableColumnId="61"/>
      <queryTableField id="8" name="data_Nasc" tableColumnId="62"/>
      <queryTableField id="9" name="sexo" tableColumnId="63"/>
      <queryTableField id="10" name="idade" tableColumnId="64"/>
      <queryTableField id="11" name="naturalidade" tableColumnId="65"/>
      <queryTableField id="12" name="num_Identificacao" tableColumnId="66"/>
      <queryTableField id="13" name="tipo_Identificacao" tableColumnId="67"/>
      <queryTableField id="14" name="provincia" tableColumnId="68"/>
      <queryTableField id="15" name="destrito" tableColumnId="69"/>
      <queryTableField id="16" name="posto_administrativo" tableColumnId="70"/>
      <queryTableField id="17" name="localidade" tableColumnId="71"/>
      <queryTableField id="18" name="bairro" tableColumnId="72"/>
      <queryTableField id="19" name="quarterao" tableColumnId="73"/>
      <queryTableField id="20" name="ponto_referencia" tableColumnId="74"/>
      <queryTableField id="21" name="Contato" tableColumnId="75"/>
      <queryTableField id="22" name="estudante" tableColumnId="76"/>
      <queryTableField id="23" name="nome_da_escola" tableColumnId="77"/>
      <queryTableField id="24" name="classe" tableColumnId="78"/>
      <queryTableField id="25" name="turma" tableColumnId="79"/>
      <queryTableField id="26" name="n_identificacao_turma" tableColumnId="80"/>
      <queryTableField id="27" name="se_nao_estudante_porque" tableColumnId="81"/>
      <queryTableField id="28" name="ultimo_ano_escolar" tableColumnId="82"/>
      <queryTableField id="29" name="nome_Escola" tableColumnId="83"/>
      <queryTableField id="30" name="teste_HIV" tableColumnId="84"/>
      <queryTableField id="31" name="compartilhar_resultado" tableColumnId="85"/>
      <queryTableField id="32" name="resultado" tableColumnId="86"/>
      <queryTableField id="33" name="data_Teste" tableColumnId="87"/>
      <queryTableField id="34" name="em_tratamento_tarv" tableColumnId="88"/>
      <queryTableField id="35" name="orfao_de" tableColumnId="89"/>
      <queryTableField id="36" name="chefe_familia" tableColumnId="90"/>
      <queryTableField id="37" name="tipo_casa" tableColumnId="91"/>
      <queryTableField id="38" name="tipo_habitacao" tableColumnId="92"/>
      <queryTableField id="39" name="Latitude" tableColumnId="93"/>
      <queryTableField id="40" name="Longitude" tableColumnId="94"/>
      <queryTableField id="41" name="historial_familiar" tableColumnId="95"/>
      <queryTableField id="42" name="observacao" tableColumnId="96"/>
      <queryTableField id="43" name="prenchido_por" tableColumnId="97"/>
      <queryTableField id="44" name="funcao" tableColumnId="98"/>
      <queryTableField id="45" name="nome_da_cbo" tableColumnId="99"/>
      <queryTableField id="46" name="nome_do_pograma" tableColumnId="100"/>
      <queryTableField id="47" name="outros" tableColumnId="101"/>
      <queryTableField id="48" name="contacto_" tableColumnId="102"/>
      <queryTableField id="49" name="data" tableColumnId="103"/>
      <queryTableField id="50" name="nome_tecnico_cbo" tableColumnId="104"/>
      <queryTableField id="51" name="posicao" tableColumnId="105"/>
      <queryTableField id="52" name="contacto" tableColumnId="106"/>
      <queryTableField id="53" name="data_" tableColumnId="107"/>
      <queryTableField id="54" name="codigo_digitador" tableColumnId="108"/>
    </queryTableFields>
  </queryTableRefresh>
</queryTable>
</file>

<file path=xl/queryTables/queryTable2.xml><?xml version="1.0" encoding="utf-8"?>
<queryTable xmlns="http://schemas.openxmlformats.org/spreadsheetml/2006/main" name="DadosExternos_1" rowNumbers="1" refreshOnLoad="1" adjustColumnWidth="0" connectionId="2" autoFormatId="16" applyNumberFormats="0" applyBorderFormats="0" applyFontFormats="1" applyPatternFormats="1" applyAlignmentFormats="0" applyWidthHeightFormats="0">
  <queryTableRefresh nextId="19">
    <queryTableFields count="18">
      <queryTableField id="1" rowNumbers="1" tableColumnId="19"/>
      <queryTableField id="2" name="data_digitacao" tableColumnId="20"/>
      <queryTableField id="3" name="id_presenca" tableColumnId="21"/>
      <queryTableField id="4" name="projecto" tableColumnId="22"/>
      <queryTableField id="5" name="data_inicio" tableColumnId="23"/>
      <queryTableField id="6" name="data_fim" tableColumnId="24"/>
      <queryTableField id="7" name="provincia" tableColumnId="25"/>
      <queryTableField id="8" name="distrito" tableColumnId="26"/>
      <queryTableField id="9" name="parceiro" tableColumnId="27"/>
      <queryTableField id="10" name="actividade" tableColumnId="28"/>
      <queryTableField id="11" name="nome" tableColumnId="29"/>
      <queryTableField id="12" name="organizacao" tableColumnId="30"/>
      <queryTableField id="13" name="proveniencia" tableColumnId="31"/>
      <queryTableField id="14" name="funcao" tableColumnId="32"/>
      <queryTableField id="15" name="sexo" tableColumnId="33"/>
      <queryTableField id="16" name="idade" tableColumnId="34"/>
      <queryTableField id="17" name="contacto" tableColumnId="35"/>
      <queryTableField id="18" name="numero" tableColumnId="36"/>
    </queryTableFields>
  </queryTableRefresh>
</queryTable>
</file>

<file path=xl/queryTables/queryTable3.xml><?xml version="1.0" encoding="utf-8"?>
<queryTable xmlns="http://schemas.openxmlformats.org/spreadsheetml/2006/main" name="DadosExternos_1" rowNumbers="1" refreshOnLoad="1" adjustColumnWidth="0" connectionId="3" autoFormatId="16" applyNumberFormats="0" applyBorderFormats="0" applyFontFormats="1" applyPatternFormats="1" applyAlignmentFormats="0" applyWidthHeightFormats="0">
  <queryTableRefresh nextId="19">
    <queryTableFields count="18">
      <queryTableField id="1" rowNumbers="1" tableColumnId="19"/>
      <queryTableField id="2" name="data_digitacao" tableColumnId="20"/>
      <queryTableField id="3" name="reference_id" tableColumnId="21"/>
      <queryTableField id="4" name="benificiario_id" tableColumnId="22"/>
      <queryTableField id="5" name="nome" tableColumnId="23"/>
      <queryTableField id="6" name="idade" tableColumnId="24"/>
      <queryTableField id="7" name="dataNasc" tableColumnId="25"/>
      <queryTableField id="8" name="sexo" tableColumnId="26"/>
      <queryTableField id="9" name="contacto" tableColumnId="27"/>
      <queryTableField id="10" name="bairo" tableColumnId="28"/>
      <queryTableField id="11" name="referido1" tableColumnId="29"/>
      <queryTableField id="12" name="data1" tableColumnId="30"/>
      <queryTableField id="13" name="contrRecebida" tableColumnId="31"/>
      <queryTableField id="14" name="data2" tableColumnId="32"/>
      <queryTableField id="15" name="referido2" tableColumnId="33"/>
      <queryTableField id="16" name="funcao" tableColumnId="34"/>
      <queryTableField id="17" name="contacto1" tableColumnId="35"/>
      <queryTableField id="18" name="ocb" tableColumnId="36"/>
    </queryTableFields>
  </queryTableRefresh>
</queryTable>
</file>

<file path=xl/queryTables/queryTable4.xml><?xml version="1.0" encoding="utf-8"?>
<queryTable xmlns="http://schemas.openxmlformats.org/spreadsheetml/2006/main" name="DadosExternos_1" rowNumbers="1" refreshOnLoad="1" adjustColumnWidth="0" connectionId="4" autoFormatId="16" applyNumberFormats="0" applyBorderFormats="0" applyFontFormats="1" applyPatternFormats="1" applyAlignmentFormats="0" applyWidthHeightFormats="0">
  <queryTableRefresh nextId="27">
    <queryTableFields count="26">
      <queryTableField id="1" rowNumbers="1" tableColumnId="27"/>
      <queryTableField id="2" name="data_digitacao" tableColumnId="28"/>
      <queryTableField id="3" name="modificado" tableColumnId="29"/>
      <queryTableField id="4" name="servicosBross_id" tableColumnId="30"/>
      <queryTableField id="5" name="benificiario_id" tableColumnId="31"/>
      <queryTableField id="6" name="provincia" tableColumnId="32"/>
      <queryTableField id="7" name="destrito" tableColumnId="33"/>
      <queryTableField id="8" name="localidade" tableColumnId="34"/>
      <queryTableField id="9" name="bairro" tableColumnId="35"/>
      <queryTableField id="10" name="data" tableColumnId="36"/>
      <queryTableField id="11" name="actvista" tableColumnId="37"/>
      <queryTableField id="12" name="supervisor" tableColumnId="38"/>
      <queryTableField id="13" name="nome" tableColumnId="39"/>
      <queryTableField id="14" name="mes" tableColumnId="40"/>
      <queryTableField id="15" name="cd_agreg" tableColumnId="41"/>
      <queryTableField id="16" name="idade" tableColumnId="42"/>
      <queryTableField id="17" name="sexo" tableColumnId="43"/>
      <queryTableField id="18" name="alimentacao" tableColumnId="44"/>
      <queryTableField id="19" name="educacao" tableColumnId="45"/>
      <queryTableField id="20" name="ajuda_legal" tableColumnId="46"/>
      <queryTableField id="21" name="saude" tableColumnId="47"/>
      <queryTableField id="22" name="Psico_Social" tableColumnId="48"/>
      <queryTableField id="23" name="apoio_financeiro" tableColumnId="49"/>
      <queryTableField id="24" name="apoio_habitacional" tableColumnId="50"/>
      <queryTableField id="25" name="data1" tableColumnId="51"/>
      <queryTableField id="26" name="ocb" tableColumnId="52"/>
    </queryTableFields>
  </queryTableRefresh>
</queryTable>
</file>

<file path=xl/queryTables/queryTable5.xml><?xml version="1.0" encoding="utf-8"?>
<queryTable xmlns="http://schemas.openxmlformats.org/spreadsheetml/2006/main" name="DadosExternos_1" rowNumbers="1" refreshOnLoad="1" adjustColumnWidth="0" connectionId="5" autoFormatId="16" applyNumberFormats="0" applyBorderFormats="0" applyFontFormats="1" applyPatternFormats="1" applyAlignmentFormats="0" applyWidthHeightFormats="0">
  <queryTableRefresh nextId="60">
    <queryTableFields count="59">
      <queryTableField id="1" rowNumbers="1" tableColumnId="60"/>
      <queryTableField id="2" name="data_digitacao" tableColumnId="61"/>
      <queryTableField id="3" name="MAC_id" tableColumnId="62"/>
      <queryTableField id="4" name="benificiario_id" tableColumnId="63"/>
      <queryTableField id="5" name="nome" tableColumnId="64"/>
      <queryTableField id="6" name="idade" tableColumnId="65"/>
      <queryTableField id="7" name="cd_ident" tableColumnId="66"/>
      <queryTableField id="8" name="nome_cuidador" tableColumnId="67"/>
      <queryTableField id="9" name="sexo" tableColumnId="68"/>
      <queryTableField id="10" name="provincia" tableColumnId="69"/>
      <queryTableField id="11" name="nome_voluntario" tableColumnId="70"/>
      <queryTableField id="12" name="nome_lider" tableColumnId="71"/>
      <queryTableField id="13" name="nome_ocb" tableColumnId="72"/>
      <queryTableField id="14" name="destrito" tableColumnId="73"/>
      <queryTableField id="15" name="hiv" tableColumnId="74"/>
      <queryTableField id="16" name="tarv" tableColumnId="75"/>
      <queryTableField id="17" name="situacao_crianca" tableColumnId="76"/>
      <queryTableField id="18" name="saude_1" tableColumnId="77"/>
      <queryTableField id="19" name="saude_2" tableColumnId="78"/>
      <queryTableField id="20" name="saude_3" tableColumnId="79"/>
      <queryTableField id="21" name="saude_4" tableColumnId="80"/>
      <queryTableField id="22" name="saude_5" tableColumnId="81"/>
      <queryTableField id="23" name="saude_6" tableColumnId="82"/>
      <queryTableField id="24" name="saude_7" tableColumnId="83"/>
      <queryTableField id="25" name="alimentacao_nutricao_8" tableColumnId="84"/>
      <queryTableField id="26" name="alimentacao_nutricao_9" tableColumnId="85"/>
      <queryTableField id="27" name="educacao_10" tableColumnId="86"/>
      <queryTableField id="28" name="educacao_11" tableColumnId="87"/>
      <queryTableField id="29" name="educacao_12" tableColumnId="88"/>
      <queryTableField id="30" name="educacao_13" tableColumnId="89"/>
      <queryTableField id="31" name="educacao_14" tableColumnId="90"/>
      <queryTableField id="32" name="educacao_15" tableColumnId="91"/>
      <queryTableField id="33" name="educacao_16" tableColumnId="92"/>
      <queryTableField id="34" name="educacao_17" tableColumnId="93"/>
      <queryTableField id="35" name="protecao_apoio_18" tableColumnId="94"/>
      <queryTableField id="36" name="protecao_apoio_19" tableColumnId="95"/>
      <queryTableField id="37" name="protecao_apoio_20" tableColumnId="96"/>
      <queryTableField id="38" name="protecao_apoio_21" tableColumnId="97"/>
      <queryTableField id="39" name="habitacao_22" tableColumnId="98"/>
      <queryTableField id="40" name="apoio_social_23" tableColumnId="99"/>
      <queryTableField id="41" name="apoio_social_24" tableColumnId="100"/>
      <queryTableField id="42" name="apoio_social_25" tableColumnId="101"/>
      <queryTableField id="43" name="apoio_social_26" tableColumnId="102"/>
      <queryTableField id="44" name="apoio_social_27" tableColumnId="103"/>
      <queryTableField id="45" name="apoio_social_28" tableColumnId="104"/>
      <queryTableField id="46" name="apoio_social_29" tableColumnId="105"/>
      <queryTableField id="47" name="apoio_social_30" tableColumnId="106"/>
      <queryTableField id="48" name="apoio_social_31" tableColumnId="107"/>
      <queryTableField id="49" name="fort_economico_32" tableColumnId="108"/>
      <queryTableField id="50" name="fort_economico_33" tableColumnId="109"/>
      <queryTableField id="51" name="saude" tableColumnId="110"/>
      <queryTableField id="52" name="aliment_nutricao" tableColumnId="111"/>
      <queryTableField id="53" name="educacao" tableColumnId="112"/>
      <queryTableField id="54" name="protecao_legal" tableColumnId="113"/>
      <queryTableField id="55" name="habitacao" tableColumnId="114"/>
      <queryTableField id="56" name="apoio_social" tableColumnId="115"/>
      <queryTableField id="57" name="fort_economico" tableColumnId="116"/>
      <queryTableField id="58" name="plano_acao" tableColumnId="117"/>
      <queryTableField id="59" name="dataAval" tableColumnId="118"/>
    </queryTableFields>
  </queryTableRefresh>
</queryTable>
</file>

<file path=xl/queryTables/queryTable6.xml><?xml version="1.0" encoding="utf-8"?>
<queryTable xmlns="http://schemas.openxmlformats.org/spreadsheetml/2006/main" name="DadosExternos_1" rowNumbers="1" refreshOnLoad="1" adjustColumnWidth="0" connectionId="6" autoFormatId="16" applyNumberFormats="0" applyBorderFormats="0" applyFontFormats="1" applyPatternFormats="1" applyAlignmentFormats="0" applyWidthHeightFormats="0">
  <queryTableRefresh nextId="34">
    <queryTableFields count="33">
      <queryTableField id="1" rowNumbers="1" tableColumnId="34"/>
      <queryTableField id="2" name="data_digitacao" tableColumnId="35"/>
      <queryTableField id="3" name="planoAcao_id" tableColumnId="36"/>
      <queryTableField id="4" name="nomeMembroCCPC" tableColumnId="37"/>
      <queryTableField id="5" name="nomeOCB" tableColumnId="38"/>
      <queryTableField id="6" name="distrito" tableColumnId="39"/>
      <queryTableField id="7" name="nomeCrianca" tableColumnId="40"/>
      <queryTableField id="8" name="codBen" tableColumnId="41"/>
      <queryTableField id="9" name="data" tableColumnId="42"/>
      <queryTableField id="10" name="idade" tableColumnId="43"/>
      <queryTableField id="11" name="sexo" tableColumnId="44"/>
      <queryTableField id="12" name="dataPeriodoSeg" tableColumnId="45"/>
      <queryTableField id="13" name="dataManutencao" tableColumnId="46"/>
      <queryTableField id="14" name="dataGraduacao" tableColumnId="47"/>
      <queryTableField id="15" name="areaServico" tableColumnId="48"/>
      <queryTableField id="16" name="necessidadePrioritarea" tableColumnId="49"/>
      <queryTableField id="17" name="pontuacao" tableColumnId="50"/>
      <queryTableField id="18" name="necessidadesResolvidas" tableColumnId="51"/>
      <queryTableField id="19" name="data_2" tableColumnId="52"/>
      <queryTableField id="20" name="apoioDireito" tableColumnId="53"/>
      <queryTableField id="21" name="realizado" tableColumnId="54"/>
      <queryTableField id="22" name="data_3" tableColumnId="55"/>
      <queryTableField id="23" name="apoioPorReferenc" tableColumnId="56"/>
      <queryTableField id="24" name="completou" tableColumnId="57"/>
      <queryTableField id="25" name="data_4" tableColumnId="58"/>
      <queryTableField id="26" name="acaoDaFamilia" tableColumnId="59"/>
      <queryTableField id="27" name="realizado_1" tableColumnId="60"/>
      <queryTableField id="28" name="data_5" tableColumnId="61"/>
      <queryTableField id="29" name="comentarios" tableColumnId="62"/>
      <queryTableField id="30" name="membroCCPC" tableColumnId="63"/>
      <queryTableField id="31" name="data_6" tableColumnId="64"/>
      <queryTableField id="32" name="gestorCaso" tableColumnId="65"/>
      <queryTableField id="33" name="data_7" tableColumnId="66"/>
    </queryTableFields>
  </queryTableRefresh>
</queryTable>
</file>

<file path=xl/queryTables/queryTable7.xml><?xml version="1.0" encoding="utf-8"?>
<queryTable xmlns="http://schemas.openxmlformats.org/spreadsheetml/2006/main" name="DadosExternos_1" rowNumbers="1" refreshOnLoad="1" adjustColumnWidth="0" connectionId="7" autoFormatId="16" applyNumberFormats="0" applyBorderFormats="0" applyFontFormats="1" applyPatternFormats="1" applyAlignmentFormats="0" applyWidthHeightFormats="0">
  <queryTableRefresh nextId="30">
    <queryTableFields count="29">
      <queryTableField id="1" rowNumbers="1" tableColumnId="30"/>
      <queryTableField id="2" name="data_digitacao" tableColumnId="31"/>
      <queryTableField id="3" name="listaCovs_id" tableColumnId="32"/>
      <queryTableField id="4" name="provincia" tableColumnId="33"/>
      <queryTableField id="5" name="destrito" tableColumnId="34"/>
      <queryTableField id="6" name="localidade" tableColumnId="35"/>
      <queryTableField id="7" name="codigo_escola" tableColumnId="36"/>
      <queryTableField id="8" name="nome_escola" tableColumnId="37"/>
      <queryTableField id="9" name="tipo_escola" tableColumnId="38"/>
      <queryTableField id="10" name="nome_diretor" tableColumnId="39"/>
      <queryTableField id="11" name="contacto" tableColumnId="40"/>
      <queryTableField id="12" name="lip" tableColumnId="41"/>
      <queryTableField id="13" name="nomeOCB" tableColumnId="42"/>
      <queryTableField id="14" name="nome_aluno" tableColumnId="43"/>
      <queryTableField id="15" name="idade" tableColumnId="44"/>
      <queryTableField id="16" name="genero" tableColumnId="45"/>
      <queryTableField id="17" name="ano1" tableColumnId="46"/>
      <queryTableField id="18" name="classe_2016" tableColumnId="47"/>
      <queryTableField id="19" name="ano2" tableColumnId="48"/>
      <queryTableField id="20" name="classe_2017" tableColumnId="49"/>
      <queryTableField id="21" name="ano3" tableColumnId="50"/>
      <queryTableField id="22" name="classe_2018" tableColumnId="51"/>
      <queryTableField id="23" name="repitente" tableColumnId="52"/>
      <queryTableField id="24" name="I_matricula" tableColumnId="53"/>
      <queryTableField id="25" name="M_escolares" tableColumnId="54"/>
      <queryTableField id="26" name="U_escolar" tableColumnId="55"/>
      <queryTableField id="27" name="P_guarda" tableColumnId="56"/>
      <queryTableField id="28" name="P_cdc" tableColumnId="57"/>
      <queryTableField id="29" name="Estado_do_aluno" tableColumnId="5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id="2" name="Folha2_Table1" displayName="Folha2_Table1" ref="A1:BB21" tableType="queryTable" totalsRowShown="0">
  <autoFilter ref="A1:BB21"/>
  <tableColumns count="54">
    <tableColumn id="55" uniqueName="55" name="_NúmLinha" queryTableFieldId="1"/>
    <tableColumn id="56" uniqueName="56" name="data_digitacao" queryTableFieldId="2" dataDxfId="169"/>
    <tableColumn id="57" uniqueName="57" name="benificiario_id" queryTableFieldId="3"/>
    <tableColumn id="58" uniqueName="58" name="cod_inquiridor" queryTableFieldId="4"/>
    <tableColumn id="59" uniqueName="59" name="cod_agregado" queryTableFieldId="5"/>
    <tableColumn id="60" uniqueName="60" name="cod_beneficiario" queryTableFieldId="6"/>
    <tableColumn id="61" uniqueName="61" name="nome" queryTableFieldId="7"/>
    <tableColumn id="62" uniqueName="62" name="data_Nasc" queryTableFieldId="8" dataDxfId="168"/>
    <tableColumn id="63" uniqueName="63" name="sexo" queryTableFieldId="9"/>
    <tableColumn id="64" uniqueName="64" name="idade" queryTableFieldId="10"/>
    <tableColumn id="65" uniqueName="65" name="naturalidade" queryTableFieldId="11"/>
    <tableColumn id="66" uniqueName="66" name="num_Identificacao" queryTableFieldId="12"/>
    <tableColumn id="67" uniqueName="67" name="tipo_Identificacao" queryTableFieldId="13"/>
    <tableColumn id="68" uniqueName="68" name="provincia" queryTableFieldId="14"/>
    <tableColumn id="69" uniqueName="69" name="destrito" queryTableFieldId="15"/>
    <tableColumn id="70" uniqueName="70" name="posto_administrativo" queryTableFieldId="16"/>
    <tableColumn id="71" uniqueName="71" name="localidade" queryTableFieldId="17"/>
    <tableColumn id="72" uniqueName="72" name="bairro" queryTableFieldId="18"/>
    <tableColumn id="73" uniqueName="73" name="quarterao" queryTableFieldId="19"/>
    <tableColumn id="74" uniqueName="74" name="ponto_referencia" queryTableFieldId="20"/>
    <tableColumn id="75" uniqueName="75" name="Contato" queryTableFieldId="21"/>
    <tableColumn id="76" uniqueName="76" name="estudante" queryTableFieldId="22"/>
    <tableColumn id="77" uniqueName="77" name="nome_da_escola" queryTableFieldId="23"/>
    <tableColumn id="78" uniqueName="78" name="classe" queryTableFieldId="24"/>
    <tableColumn id="79" uniqueName="79" name="turma" queryTableFieldId="25"/>
    <tableColumn id="80" uniqueName="80" name="n_identificacao_turma" queryTableFieldId="26"/>
    <tableColumn id="81" uniqueName="81" name="se_nao_estudante_porque" queryTableFieldId="27"/>
    <tableColumn id="82" uniqueName="82" name="ultimo_ano_escolar" queryTableFieldId="28"/>
    <tableColumn id="83" uniqueName="83" name="nome_Escola" queryTableFieldId="29"/>
    <tableColumn id="84" uniqueName="84" name="teste_HIV" queryTableFieldId="30"/>
    <tableColumn id="85" uniqueName="85" name="compartilhar_resultado" queryTableFieldId="31"/>
    <tableColumn id="86" uniqueName="86" name="resultado" queryTableFieldId="32"/>
    <tableColumn id="87" uniqueName="87" name="data_Teste" queryTableFieldId="33" dataDxfId="167"/>
    <tableColumn id="88" uniqueName="88" name="em_tratamento_tarv" queryTableFieldId="34"/>
    <tableColumn id="89" uniqueName="89" name="orfao_de" queryTableFieldId="35"/>
    <tableColumn id="90" uniqueName="90" name="chefe_familia" queryTableFieldId="36"/>
    <tableColumn id="91" uniqueName="91" name="tipo_casa" queryTableFieldId="37"/>
    <tableColumn id="92" uniqueName="92" name="tipo_habitacao" queryTableFieldId="38"/>
    <tableColumn id="93" uniqueName="93" name="Latitude" queryTableFieldId="39"/>
    <tableColumn id="94" uniqueName="94" name="Longitude" queryTableFieldId="40"/>
    <tableColumn id="95" uniqueName="95" name="historial_familiar" queryTableFieldId="41"/>
    <tableColumn id="96" uniqueName="96" name="observacao" queryTableFieldId="42"/>
    <tableColumn id="97" uniqueName="97" name="prenchido_por" queryTableFieldId="43"/>
    <tableColumn id="98" uniqueName="98" name="funcao" queryTableFieldId="44"/>
    <tableColumn id="99" uniqueName="99" name="nome_da_cbo" queryTableFieldId="45"/>
    <tableColumn id="100" uniqueName="100" name="nome_do_pograma" queryTableFieldId="46"/>
    <tableColumn id="101" uniqueName="101" name="outros" queryTableFieldId="47"/>
    <tableColumn id="102" uniqueName="102" name="contacto_" queryTableFieldId="48"/>
    <tableColumn id="103" uniqueName="103" name="data" queryTableFieldId="49" dataDxfId="166"/>
    <tableColumn id="104" uniqueName="104" name="nome_tecnico_cbo" queryTableFieldId="50"/>
    <tableColumn id="105" uniqueName="105" name="posicao" queryTableFieldId="51"/>
    <tableColumn id="106" uniqueName="106" name="contacto" queryTableFieldId="52"/>
    <tableColumn id="107" uniqueName="107" name="data_" queryTableFieldId="53" dataDxfId="165"/>
    <tableColumn id="108" uniqueName="108" name="codigo_digitador" queryTableFieldId="5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0" name="Folha8_Table1" displayName="Folha8_Table1" ref="A1:R19" tableType="queryTable" totalsRowShown="0">
  <autoFilter ref="A1:R19"/>
  <tableColumns count="18">
    <tableColumn id="19" uniqueName="19" name="_NúmLinha" queryTableFieldId="1"/>
    <tableColumn id="20" uniqueName="20" name="data_digitacao" queryTableFieldId="2" dataDxfId="163"/>
    <tableColumn id="21" uniqueName="21" name="id_presenca" queryTableFieldId="3"/>
    <tableColumn id="22" uniqueName="22" name="projecto" queryTableFieldId="4"/>
    <tableColumn id="23" uniqueName="23" name="data_inicio" queryTableFieldId="5" dataDxfId="162"/>
    <tableColumn id="24" uniqueName="24" name="data_fim" queryTableFieldId="6" dataDxfId="161"/>
    <tableColumn id="25" uniqueName="25" name="provincia" queryTableFieldId="7"/>
    <tableColumn id="26" uniqueName="26" name="distrito" queryTableFieldId="8"/>
    <tableColumn id="27" uniqueName="27" name="parceiro" queryTableFieldId="9"/>
    <tableColumn id="28" uniqueName="28" name="actividade" queryTableFieldId="10"/>
    <tableColumn id="29" uniqueName="29" name="nome" queryTableFieldId="11"/>
    <tableColumn id="30" uniqueName="30" name="organizacao" queryTableFieldId="12"/>
    <tableColumn id="31" uniqueName="31" name="proveniencia" queryTableFieldId="13"/>
    <tableColumn id="32" uniqueName="32" name="funcao" queryTableFieldId="14"/>
    <tableColumn id="33" uniqueName="33" name="sexo" queryTableFieldId="15"/>
    <tableColumn id="34" uniqueName="34" name="idade" queryTableFieldId="16"/>
    <tableColumn id="35" uniqueName="35" name="contacto" queryTableFieldId="17"/>
    <tableColumn id="36" uniqueName="36" name="numero" queryTableFieldId="1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Folha11_Table1" displayName="Folha11_Table1" ref="A1:R10" tableType="queryTable" totalsRowShown="0">
  <autoFilter ref="A1:R10"/>
  <tableColumns count="18">
    <tableColumn id="19" uniqueName="19" name="_NúmLinha" queryTableFieldId="1"/>
    <tableColumn id="20" uniqueName="20" name="data_digitacao" queryTableFieldId="2" dataDxfId="144"/>
    <tableColumn id="21" uniqueName="21" name="reference_id" queryTableFieldId="3"/>
    <tableColumn id="22" uniqueName="22" name="benificiario_id" queryTableFieldId="4"/>
    <tableColumn id="23" uniqueName="23" name="nome" queryTableFieldId="5"/>
    <tableColumn id="24" uniqueName="24" name="idade" queryTableFieldId="6"/>
    <tableColumn id="25" uniqueName="25" name="dataNasc" queryTableFieldId="7"/>
    <tableColumn id="26" uniqueName="26" name="sexo" queryTableFieldId="8"/>
    <tableColumn id="27" uniqueName="27" name="contacto" queryTableFieldId="9"/>
    <tableColumn id="28" uniqueName="28" name="bairo" queryTableFieldId="10"/>
    <tableColumn id="29" uniqueName="29" name="referido1" queryTableFieldId="11"/>
    <tableColumn id="30" uniqueName="30" name="data1" queryTableFieldId="12" dataDxfId="143"/>
    <tableColumn id="31" uniqueName="31" name="contrRecebida" queryTableFieldId="13"/>
    <tableColumn id="32" uniqueName="32" name="data2" queryTableFieldId="14" dataDxfId="142"/>
    <tableColumn id="33" uniqueName="33" name="referido2" queryTableFieldId="15"/>
    <tableColumn id="34" uniqueName="34" name="funcao" queryTableFieldId="16"/>
    <tableColumn id="35" uniqueName="35" name="contacto1" queryTableFieldId="17"/>
    <tableColumn id="36" uniqueName="36" name="ocb" queryTableFieldId="1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Folha12_Table1" displayName="Folha12_Table1" ref="A1:Z15" tableType="queryTable" totalsRowShown="0">
  <autoFilter ref="A1:Z15"/>
  <tableColumns count="26">
    <tableColumn id="27" uniqueName="27" name="_NúmLinha" queryTableFieldId="1"/>
    <tableColumn id="28" uniqueName="28" name="data_digitacao" queryTableFieldId="2" dataDxfId="130"/>
    <tableColumn id="29" uniqueName="29" name="modificado" queryTableFieldId="3" dataDxfId="129"/>
    <tableColumn id="30" uniqueName="30" name="servicosBross_id" queryTableFieldId="4"/>
    <tableColumn id="31" uniqueName="31" name="benificiario_id" queryTableFieldId="5"/>
    <tableColumn id="32" uniqueName="32" name="provincia" queryTableFieldId="6"/>
    <tableColumn id="33" uniqueName="33" name="destrito" queryTableFieldId="7"/>
    <tableColumn id="34" uniqueName="34" name="localidade" queryTableFieldId="8"/>
    <tableColumn id="35" uniqueName="35" name="bairro" queryTableFieldId="9"/>
    <tableColumn id="36" uniqueName="36" name="data" queryTableFieldId="10" dataDxfId="128"/>
    <tableColumn id="37" uniqueName="37" name="actvista" queryTableFieldId="11"/>
    <tableColumn id="38" uniqueName="38" name="supervisor" queryTableFieldId="12"/>
    <tableColumn id="39" uniqueName="39" name="nome" queryTableFieldId="13"/>
    <tableColumn id="40" uniqueName="40" name="mes" queryTableFieldId="14"/>
    <tableColumn id="41" uniqueName="41" name="cd_agreg" queryTableFieldId="15"/>
    <tableColumn id="42" uniqueName="42" name="idade" queryTableFieldId="16"/>
    <tableColumn id="43" uniqueName="43" name="sexo" queryTableFieldId="17"/>
    <tableColumn id="44" uniqueName="44" name="alimentacao" queryTableFieldId="18"/>
    <tableColumn id="45" uniqueName="45" name="educacao" queryTableFieldId="19"/>
    <tableColumn id="46" uniqueName="46" name="ajuda_legal" queryTableFieldId="20"/>
    <tableColumn id="47" uniqueName="47" name="saude" queryTableFieldId="21"/>
    <tableColumn id="48" uniqueName="48" name="Psico_Social" queryTableFieldId="22"/>
    <tableColumn id="49" uniqueName="49" name="apoio_financeiro" queryTableFieldId="23"/>
    <tableColumn id="50" uniqueName="50" name="apoio_habitacional" queryTableFieldId="24"/>
    <tableColumn id="51" uniqueName="51" name="data1" queryTableFieldId="25" dataDxfId="127"/>
    <tableColumn id="52" uniqueName="52" name="ocb" queryTableFieldId="2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Folha13_Table1" displayName="Folha13_Table1" ref="A1:BG11" tableType="queryTable" totalsRowShown="0">
  <autoFilter ref="A1:BG11"/>
  <tableColumns count="59">
    <tableColumn id="60" uniqueName="60" name="_NúmLinha" queryTableFieldId="1"/>
    <tableColumn id="61" uniqueName="61" name="data_digitacao" queryTableFieldId="2" dataDxfId="70"/>
    <tableColumn id="62" uniqueName="62" name="MAC_id" queryTableFieldId="3"/>
    <tableColumn id="63" uniqueName="63" name="benificiario_id" queryTableFieldId="4"/>
    <tableColumn id="64" uniqueName="64" name="nome" queryTableFieldId="5"/>
    <tableColumn id="65" uniqueName="65" name="idade" queryTableFieldId="6"/>
    <tableColumn id="66" uniqueName="66" name="cd_ident" queryTableFieldId="7"/>
    <tableColumn id="67" uniqueName="67" name="nome_cuidador" queryTableFieldId="8"/>
    <tableColumn id="68" uniqueName="68" name="sexo" queryTableFieldId="9"/>
    <tableColumn id="69" uniqueName="69" name="provincia" queryTableFieldId="10"/>
    <tableColumn id="70" uniqueName="70" name="nome_voluntario" queryTableFieldId="11"/>
    <tableColumn id="71" uniqueName="71" name="nome_lider" queryTableFieldId="12"/>
    <tableColumn id="72" uniqueName="72" name="nome_ocb" queryTableFieldId="13"/>
    <tableColumn id="73" uniqueName="73" name="destrito" queryTableFieldId="14"/>
    <tableColumn id="74" uniqueName="74" name="hiv" queryTableFieldId="15"/>
    <tableColumn id="75" uniqueName="75" name="tarv" queryTableFieldId="16"/>
    <tableColumn id="76" uniqueName="76" name="situacao_crianca" queryTableFieldId="17"/>
    <tableColumn id="77" uniqueName="77" name="saude_1" queryTableFieldId="18"/>
    <tableColumn id="78" uniqueName="78" name="saude_2" queryTableFieldId="19"/>
    <tableColumn id="79" uniqueName="79" name="saude_3" queryTableFieldId="20"/>
    <tableColumn id="80" uniqueName="80" name="saude_4" queryTableFieldId="21"/>
    <tableColumn id="81" uniqueName="81" name="saude_5" queryTableFieldId="22"/>
    <tableColumn id="82" uniqueName="82" name="saude_6" queryTableFieldId="23"/>
    <tableColumn id="83" uniqueName="83" name="saude_7" queryTableFieldId="24"/>
    <tableColumn id="84" uniqueName="84" name="alimentacao_nutricao_8" queryTableFieldId="25"/>
    <tableColumn id="85" uniqueName="85" name="alimentacao_nutricao_9" queryTableFieldId="26"/>
    <tableColumn id="86" uniqueName="86" name="educacao_10" queryTableFieldId="27"/>
    <tableColumn id="87" uniqueName="87" name="educacao_11" queryTableFieldId="28"/>
    <tableColumn id="88" uniqueName="88" name="educacao_12" queryTableFieldId="29"/>
    <tableColumn id="89" uniqueName="89" name="educacao_13" queryTableFieldId="30"/>
    <tableColumn id="90" uniqueName="90" name="educacao_14" queryTableFieldId="31"/>
    <tableColumn id="91" uniqueName="91" name="educacao_15" queryTableFieldId="32"/>
    <tableColumn id="92" uniqueName="92" name="educacao_16" queryTableFieldId="33"/>
    <tableColumn id="93" uniqueName="93" name="educacao_17" queryTableFieldId="34"/>
    <tableColumn id="94" uniqueName="94" name="protecao_apoio_18" queryTableFieldId="35"/>
    <tableColumn id="95" uniqueName="95" name="protecao_apoio_19" queryTableFieldId="36"/>
    <tableColumn id="96" uniqueName="96" name="protecao_apoio_20" queryTableFieldId="37"/>
    <tableColumn id="97" uniqueName="97" name="protecao_apoio_21" queryTableFieldId="38"/>
    <tableColumn id="98" uniqueName="98" name="habitacao_22" queryTableFieldId="39"/>
    <tableColumn id="99" uniqueName="99" name="apoio_social_23" queryTableFieldId="40"/>
    <tableColumn id="100" uniqueName="100" name="apoio_social_24" queryTableFieldId="41"/>
    <tableColumn id="101" uniqueName="101" name="apoio_social_25" queryTableFieldId="42"/>
    <tableColumn id="102" uniqueName="102" name="apoio_social_26" queryTableFieldId="43"/>
    <tableColumn id="103" uniqueName="103" name="apoio_social_27" queryTableFieldId="44"/>
    <tableColumn id="104" uniqueName="104" name="apoio_social_28" queryTableFieldId="45"/>
    <tableColumn id="105" uniqueName="105" name="apoio_social_29" queryTableFieldId="46"/>
    <tableColumn id="106" uniqueName="106" name="apoio_social_30" queryTableFieldId="47"/>
    <tableColumn id="107" uniqueName="107" name="apoio_social_31" queryTableFieldId="48"/>
    <tableColumn id="108" uniqueName="108" name="fort_economico_32" queryTableFieldId="49"/>
    <tableColumn id="109" uniqueName="109" name="fort_economico_33" queryTableFieldId="50"/>
    <tableColumn id="110" uniqueName="110" name="saude" queryTableFieldId="51"/>
    <tableColumn id="111" uniqueName="111" name="aliment_nutricao" queryTableFieldId="52"/>
    <tableColumn id="112" uniqueName="112" name="educacao" queryTableFieldId="53"/>
    <tableColumn id="113" uniqueName="113" name="protecao_legal" queryTableFieldId="54"/>
    <tableColumn id="114" uniqueName="114" name="habitacao" queryTableFieldId="55"/>
    <tableColumn id="115" uniqueName="115" name="apoio_social" queryTableFieldId="56"/>
    <tableColumn id="116" uniqueName="116" name="fort_economico" queryTableFieldId="57"/>
    <tableColumn id="117" uniqueName="117" name="plano_acao" queryTableFieldId="58"/>
    <tableColumn id="118" uniqueName="118" name="dataAval" queryTableFieldId="59" dataDxfId="6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7" name="Folha14_Table1" displayName="Folha14_Table1" ref="A1:AG10" tableType="queryTable" totalsRowShown="0">
  <autoFilter ref="A1:AG10"/>
  <tableColumns count="33">
    <tableColumn id="34" uniqueName="34" name="_NúmLinha" queryTableFieldId="1"/>
    <tableColumn id="35" uniqueName="35" name="data_digitacao" queryTableFieldId="2" dataDxfId="37"/>
    <tableColumn id="36" uniqueName="36" name="planoAcao_id" queryTableFieldId="3"/>
    <tableColumn id="37" uniqueName="37" name="nomeMembroCCPC" queryTableFieldId="4"/>
    <tableColumn id="38" uniqueName="38" name="nomeOCB" queryTableFieldId="5"/>
    <tableColumn id="39" uniqueName="39" name="distrito" queryTableFieldId="6"/>
    <tableColumn id="40" uniqueName="40" name="nomeCrianca" queryTableFieldId="7"/>
    <tableColumn id="41" uniqueName="41" name="codBen" queryTableFieldId="8"/>
    <tableColumn id="42" uniqueName="42" name="data" queryTableFieldId="9" dataDxfId="36"/>
    <tableColumn id="43" uniqueName="43" name="idade" queryTableFieldId="10"/>
    <tableColumn id="44" uniqueName="44" name="sexo" queryTableFieldId="11"/>
    <tableColumn id="45" uniqueName="45" name="dataPeriodoSeg" queryTableFieldId="12" dataDxfId="35"/>
    <tableColumn id="46" uniqueName="46" name="dataManutencao" queryTableFieldId="13" dataDxfId="34"/>
    <tableColumn id="47" uniqueName="47" name="dataGraduacao" queryTableFieldId="14" dataDxfId="33"/>
    <tableColumn id="48" uniqueName="48" name="areaServico" queryTableFieldId="15"/>
    <tableColumn id="49" uniqueName="49" name="necessidadePrioritarea" queryTableFieldId="16"/>
    <tableColumn id="50" uniqueName="50" name="pontuacao" queryTableFieldId="17"/>
    <tableColumn id="51" uniqueName="51" name="necessidadesResolvidas" queryTableFieldId="18"/>
    <tableColumn id="52" uniqueName="52" name="data_2" queryTableFieldId="19" dataDxfId="32"/>
    <tableColumn id="53" uniqueName="53" name="apoioDireito" queryTableFieldId="20"/>
    <tableColumn id="54" uniqueName="54" name="realizado" queryTableFieldId="21"/>
    <tableColumn id="55" uniqueName="55" name="data_3" queryTableFieldId="22" dataDxfId="31"/>
    <tableColumn id="56" uniqueName="56" name="apoioPorReferenc" queryTableFieldId="23"/>
    <tableColumn id="57" uniqueName="57" name="completou" queryTableFieldId="24"/>
    <tableColumn id="58" uniqueName="58" name="data_4" queryTableFieldId="25" dataDxfId="30"/>
    <tableColumn id="59" uniqueName="59" name="acaoDaFamilia" queryTableFieldId="26"/>
    <tableColumn id="60" uniqueName="60" name="realizado_1" queryTableFieldId="27"/>
    <tableColumn id="61" uniqueName="61" name="data_5" queryTableFieldId="28" dataDxfId="29"/>
    <tableColumn id="62" uniqueName="62" name="comentarios" queryTableFieldId="29"/>
    <tableColumn id="63" uniqueName="63" name="membroCCPC" queryTableFieldId="30"/>
    <tableColumn id="64" uniqueName="64" name="data_6" queryTableFieldId="31" dataDxfId="28"/>
    <tableColumn id="65" uniqueName="65" name="gestorCaso" queryTableFieldId="32"/>
    <tableColumn id="66" uniqueName="66" name="data_7" queryTableFieldId="33" dataDxfId="27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8" name="lista_covs_Table1" displayName="lista_covs_Table1" ref="A1:AC22" tableType="queryTable" totalsRowShown="0">
  <autoFilter ref="A1:AC22"/>
  <tableColumns count="29">
    <tableColumn id="30" uniqueName="30" name="_NúmLinha" queryTableFieldId="1"/>
    <tableColumn id="31" uniqueName="31" name="data_digitacao" queryTableFieldId="2" dataDxfId="0"/>
    <tableColumn id="32" uniqueName="32" name="listaCovs_id" queryTableFieldId="3"/>
    <tableColumn id="33" uniqueName="33" name="provincia" queryTableFieldId="4"/>
    <tableColumn id="34" uniqueName="34" name="destrito" queryTableFieldId="5"/>
    <tableColumn id="35" uniqueName="35" name="localidade" queryTableFieldId="6"/>
    <tableColumn id="36" uniqueName="36" name="codigo_escola" queryTableFieldId="7"/>
    <tableColumn id="37" uniqueName="37" name="nome_escola" queryTableFieldId="8"/>
    <tableColumn id="38" uniqueName="38" name="tipo_escola" queryTableFieldId="9"/>
    <tableColumn id="39" uniqueName="39" name="nome_diretor" queryTableFieldId="10"/>
    <tableColumn id="40" uniqueName="40" name="contacto" queryTableFieldId="11"/>
    <tableColumn id="41" uniqueName="41" name="lip" queryTableFieldId="12"/>
    <tableColumn id="42" uniqueName="42" name="nomeOCB" queryTableFieldId="13"/>
    <tableColumn id="43" uniqueName="43" name="nome_aluno" queryTableFieldId="14"/>
    <tableColumn id="44" uniqueName="44" name="idade" queryTableFieldId="15"/>
    <tableColumn id="45" uniqueName="45" name="genero" queryTableFieldId="16"/>
    <tableColumn id="46" uniqueName="46" name="ano1" queryTableFieldId="17"/>
    <tableColumn id="47" uniqueName="47" name="classe_2016" queryTableFieldId="18"/>
    <tableColumn id="48" uniqueName="48" name="ano2" queryTableFieldId="19"/>
    <tableColumn id="49" uniqueName="49" name="classe_2017" queryTableFieldId="20"/>
    <tableColumn id="50" uniqueName="50" name="ano3" queryTableFieldId="21"/>
    <tableColumn id="51" uniqueName="51" name="classe_2018" queryTableFieldId="22"/>
    <tableColumn id="52" uniqueName="52" name="repitente" queryTableFieldId="23"/>
    <tableColumn id="53" uniqueName="53" name="I_matricula" queryTableFieldId="24"/>
    <tableColumn id="54" uniqueName="54" name="M_escolares" queryTableFieldId="25"/>
    <tableColumn id="55" uniqueName="55" name="U_escolar" queryTableFieldId="26"/>
    <tableColumn id="56" uniqueName="56" name="P_guarda" queryTableFieldId="27"/>
    <tableColumn id="57" uniqueName="57" name="P_cdc" queryTableFieldId="28"/>
    <tableColumn id="58" uniqueName="58" name="Estado_do_aluno" queryTableFieldId="2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">
    <pageSetUpPr fitToPage="1"/>
  </sheetPr>
  <dimension ref="A1:BB21"/>
  <sheetViews>
    <sheetView showGridLines="0" topLeftCell="B1" workbookViewId="0">
      <selection activeCell="F11" sqref="F11"/>
    </sheetView>
  </sheetViews>
  <sheetFormatPr defaultRowHeight="15" x14ac:dyDescent="0.25"/>
  <cols>
    <col min="1" max="1" width="13.28515625" hidden="1" customWidth="1"/>
    <col min="2" max="3" width="16.28515625" bestFit="1" customWidth="1"/>
    <col min="4" max="4" width="16.42578125" bestFit="1" customWidth="1"/>
    <col min="5" max="5" width="15.7109375" bestFit="1" customWidth="1"/>
    <col min="6" max="6" width="18.28515625" bestFit="1" customWidth="1"/>
    <col min="7" max="7" width="15.28515625" bestFit="1" customWidth="1"/>
    <col min="8" max="8" width="12.28515625" bestFit="1" customWidth="1"/>
    <col min="9" max="9" width="7.42578125" bestFit="1" customWidth="1"/>
    <col min="10" max="10" width="8.28515625" bestFit="1" customWidth="1"/>
    <col min="11" max="11" width="14.5703125" bestFit="1" customWidth="1"/>
    <col min="12" max="12" width="20" bestFit="1" customWidth="1"/>
    <col min="13" max="13" width="19.5703125" bestFit="1" customWidth="1"/>
    <col min="14" max="14" width="11.42578125" bestFit="1" customWidth="1"/>
    <col min="15" max="15" width="10.28515625" bestFit="1" customWidth="1"/>
    <col min="16" max="16" width="22.42578125" bestFit="1" customWidth="1"/>
    <col min="17" max="17" width="12.42578125" bestFit="1" customWidth="1"/>
    <col min="18" max="18" width="8.5703125" bestFit="1" customWidth="1"/>
    <col min="19" max="19" width="12" bestFit="1" customWidth="1"/>
    <col min="20" max="20" width="18.85546875" bestFit="1" customWidth="1"/>
    <col min="21" max="21" width="10.28515625" bestFit="1" customWidth="1"/>
    <col min="22" max="22" width="12.28515625" bestFit="1" customWidth="1"/>
    <col min="23" max="23" width="18.28515625" bestFit="1" customWidth="1"/>
    <col min="24" max="25" width="8.5703125" bestFit="1" customWidth="1"/>
    <col min="26" max="26" width="23.42578125" bestFit="1" customWidth="1"/>
    <col min="27" max="27" width="27.42578125" bestFit="1" customWidth="1"/>
    <col min="28" max="28" width="21" bestFit="1" customWidth="1"/>
    <col min="29" max="29" width="14.85546875" bestFit="1" customWidth="1"/>
    <col min="30" max="30" width="12" bestFit="1" customWidth="1"/>
    <col min="31" max="31" width="24.42578125" bestFit="1" customWidth="1"/>
    <col min="32" max="32" width="11.7109375" bestFit="1" customWidth="1"/>
    <col min="33" max="33" width="13" bestFit="1" customWidth="1"/>
    <col min="34" max="34" width="21.85546875" bestFit="1" customWidth="1"/>
    <col min="35" max="35" width="11.28515625" bestFit="1" customWidth="1"/>
    <col min="36" max="36" width="15.5703125" bestFit="1" customWidth="1"/>
    <col min="37" max="37" width="11.5703125" bestFit="1" customWidth="1"/>
    <col min="38" max="38" width="16.5703125" bestFit="1" customWidth="1"/>
    <col min="39" max="39" width="10.5703125" bestFit="1" customWidth="1"/>
    <col min="40" max="40" width="12.140625" bestFit="1" customWidth="1"/>
    <col min="41" max="41" width="71.42578125" customWidth="1"/>
    <col min="42" max="42" width="13.28515625" bestFit="1" customWidth="1"/>
    <col min="43" max="43" width="16.42578125" bestFit="1" customWidth="1"/>
    <col min="44" max="44" width="9.28515625" bestFit="1" customWidth="1"/>
    <col min="45" max="45" width="15.85546875" bestFit="1" customWidth="1"/>
    <col min="46" max="46" width="20.7109375" bestFit="1" customWidth="1"/>
    <col min="47" max="47" width="9" bestFit="1" customWidth="1"/>
    <col min="48" max="48" width="11.85546875" bestFit="1" customWidth="1"/>
    <col min="49" max="49" width="10.7109375" bestFit="1" customWidth="1"/>
    <col min="50" max="50" width="20.28515625" bestFit="1" customWidth="1"/>
    <col min="51" max="51" width="10" bestFit="1" customWidth="1"/>
    <col min="52" max="52" width="10.85546875" bestFit="1" customWidth="1"/>
    <col min="53" max="53" width="10.7109375" bestFit="1" customWidth="1"/>
    <col min="54" max="54" width="18.28515625" bestFit="1" customWidth="1"/>
  </cols>
  <sheetData>
    <row r="1" spans="1:54" x14ac:dyDescent="0.25">
      <c r="A1" t="s">
        <v>342</v>
      </c>
      <c r="B1" t="s">
        <v>83</v>
      </c>
      <c r="C1" t="s">
        <v>82</v>
      </c>
      <c r="D1" t="s">
        <v>81</v>
      </c>
      <c r="E1" t="s">
        <v>80</v>
      </c>
      <c r="F1" t="s">
        <v>79</v>
      </c>
      <c r="G1" t="s">
        <v>78</v>
      </c>
      <c r="H1" t="s">
        <v>77</v>
      </c>
      <c r="I1" t="s">
        <v>76</v>
      </c>
      <c r="J1" t="s">
        <v>75</v>
      </c>
      <c r="K1" t="s">
        <v>74</v>
      </c>
      <c r="L1" t="s">
        <v>73</v>
      </c>
      <c r="M1" t="s">
        <v>72</v>
      </c>
      <c r="N1" t="s">
        <v>71</v>
      </c>
      <c r="O1" t="s">
        <v>70</v>
      </c>
      <c r="P1" t="s">
        <v>69</v>
      </c>
      <c r="Q1" t="s">
        <v>68</v>
      </c>
      <c r="R1" t="s">
        <v>67</v>
      </c>
      <c r="S1" t="s">
        <v>66</v>
      </c>
      <c r="T1" t="s">
        <v>65</v>
      </c>
      <c r="U1" t="s">
        <v>64</v>
      </c>
      <c r="V1" t="s">
        <v>63</v>
      </c>
      <c r="W1" t="s">
        <v>62</v>
      </c>
      <c r="X1" t="s">
        <v>61</v>
      </c>
      <c r="Y1" t="s">
        <v>60</v>
      </c>
      <c r="Z1" t="s">
        <v>59</v>
      </c>
      <c r="AA1" t="s">
        <v>58</v>
      </c>
      <c r="AB1" t="s">
        <v>57</v>
      </c>
      <c r="AC1" t="s">
        <v>56</v>
      </c>
      <c r="AD1" t="s">
        <v>55</v>
      </c>
      <c r="AE1" t="s">
        <v>54</v>
      </c>
      <c r="AF1" t="s">
        <v>53</v>
      </c>
      <c r="AG1" t="s">
        <v>52</v>
      </c>
      <c r="AH1" t="s">
        <v>51</v>
      </c>
      <c r="AI1" t="s">
        <v>50</v>
      </c>
      <c r="AJ1" t="s">
        <v>49</v>
      </c>
      <c r="AK1" t="s">
        <v>48</v>
      </c>
      <c r="AL1" t="s">
        <v>47</v>
      </c>
      <c r="AM1" t="s">
        <v>46</v>
      </c>
      <c r="AN1" t="s">
        <v>45</v>
      </c>
      <c r="AO1" t="s">
        <v>44</v>
      </c>
      <c r="AP1" t="s">
        <v>43</v>
      </c>
      <c r="AQ1" t="s">
        <v>42</v>
      </c>
      <c r="AR1" t="s">
        <v>41</v>
      </c>
      <c r="AS1" t="s">
        <v>40</v>
      </c>
      <c r="AT1" t="s">
        <v>39</v>
      </c>
      <c r="AU1" t="s">
        <v>38</v>
      </c>
      <c r="AV1" t="s">
        <v>37</v>
      </c>
      <c r="AW1" t="s">
        <v>36</v>
      </c>
      <c r="AX1" t="s">
        <v>35</v>
      </c>
      <c r="AY1" t="s">
        <v>34</v>
      </c>
      <c r="AZ1" t="s">
        <v>33</v>
      </c>
      <c r="BA1" t="s">
        <v>32</v>
      </c>
      <c r="BB1" t="s">
        <v>31</v>
      </c>
    </row>
    <row r="2" spans="1:54" x14ac:dyDescent="0.25">
      <c r="A2">
        <v>0</v>
      </c>
      <c r="B2" s="1">
        <v>43253</v>
      </c>
      <c r="C2">
        <v>6624</v>
      </c>
      <c r="D2" t="s">
        <v>341</v>
      </c>
      <c r="E2" t="s">
        <v>18</v>
      </c>
      <c r="F2" t="s">
        <v>19</v>
      </c>
      <c r="G2" t="s">
        <v>341</v>
      </c>
      <c r="H2" s="1">
        <v>36318</v>
      </c>
      <c r="I2" t="s">
        <v>341</v>
      </c>
      <c r="J2">
        <v>19</v>
      </c>
      <c r="K2" t="s">
        <v>341</v>
      </c>
      <c r="L2" t="s">
        <v>341</v>
      </c>
      <c r="M2" t="s">
        <v>341</v>
      </c>
      <c r="N2" t="s">
        <v>341</v>
      </c>
      <c r="O2" t="s">
        <v>341</v>
      </c>
      <c r="P2" t="s">
        <v>341</v>
      </c>
      <c r="Q2" t="s">
        <v>341</v>
      </c>
      <c r="R2" t="s">
        <v>341</v>
      </c>
      <c r="S2" t="s">
        <v>341</v>
      </c>
      <c r="T2" t="s">
        <v>341</v>
      </c>
      <c r="U2" t="s">
        <v>341</v>
      </c>
      <c r="V2" t="s">
        <v>341</v>
      </c>
      <c r="W2" t="s">
        <v>341</v>
      </c>
      <c r="X2" t="s">
        <v>17</v>
      </c>
      <c r="Y2" t="s">
        <v>341</v>
      </c>
      <c r="Z2" t="s">
        <v>341</v>
      </c>
      <c r="AA2" t="s">
        <v>341</v>
      </c>
      <c r="AB2" t="s">
        <v>341</v>
      </c>
      <c r="AC2" t="s">
        <v>341</v>
      </c>
      <c r="AD2" t="s">
        <v>341</v>
      </c>
      <c r="AE2" t="s">
        <v>341</v>
      </c>
      <c r="AF2" t="s">
        <v>341</v>
      </c>
      <c r="AG2" s="1">
        <v>42415</v>
      </c>
      <c r="AH2" t="s">
        <v>341</v>
      </c>
      <c r="AI2" t="s">
        <v>341</v>
      </c>
      <c r="AJ2" t="s">
        <v>341</v>
      </c>
      <c r="AK2" t="s">
        <v>341</v>
      </c>
      <c r="AL2" t="s">
        <v>341</v>
      </c>
      <c r="AM2" t="s">
        <v>341</v>
      </c>
      <c r="AN2" t="s">
        <v>341</v>
      </c>
      <c r="AO2" t="s">
        <v>341</v>
      </c>
      <c r="AP2" t="s">
        <v>341</v>
      </c>
      <c r="AQ2" t="s">
        <v>341</v>
      </c>
      <c r="AR2" t="s">
        <v>341</v>
      </c>
      <c r="AS2" t="s">
        <v>11</v>
      </c>
      <c r="AT2" t="s">
        <v>341</v>
      </c>
      <c r="AU2" t="s">
        <v>341</v>
      </c>
      <c r="AV2" t="s">
        <v>17</v>
      </c>
      <c r="AW2" s="1">
        <v>42103</v>
      </c>
      <c r="AX2" t="s">
        <v>341</v>
      </c>
      <c r="AY2" t="s">
        <v>341</v>
      </c>
      <c r="AZ2" t="s">
        <v>17</v>
      </c>
      <c r="BA2" s="1">
        <v>25569</v>
      </c>
      <c r="BB2" t="s">
        <v>341</v>
      </c>
    </row>
    <row r="3" spans="1:54" x14ac:dyDescent="0.25">
      <c r="A3">
        <v>1</v>
      </c>
      <c r="B3" s="1">
        <v>43253</v>
      </c>
      <c r="C3">
        <v>6625</v>
      </c>
      <c r="D3" t="s">
        <v>341</v>
      </c>
      <c r="E3" t="s">
        <v>641</v>
      </c>
      <c r="F3" t="s">
        <v>642</v>
      </c>
      <c r="G3" t="s">
        <v>341</v>
      </c>
      <c r="H3" s="1"/>
      <c r="I3" t="s">
        <v>341</v>
      </c>
      <c r="J3">
        <v>0</v>
      </c>
      <c r="K3" t="s">
        <v>341</v>
      </c>
      <c r="L3" t="s">
        <v>341</v>
      </c>
      <c r="M3" t="s">
        <v>341</v>
      </c>
      <c r="N3" t="s">
        <v>341</v>
      </c>
      <c r="O3" t="s">
        <v>341</v>
      </c>
      <c r="P3" t="s">
        <v>341</v>
      </c>
      <c r="Q3" t="s">
        <v>341</v>
      </c>
      <c r="R3" t="s">
        <v>341</v>
      </c>
      <c r="S3" t="s">
        <v>341</v>
      </c>
      <c r="T3" t="s">
        <v>341</v>
      </c>
      <c r="U3" t="s">
        <v>341</v>
      </c>
      <c r="W3" t="s">
        <v>341</v>
      </c>
      <c r="X3" t="s">
        <v>17</v>
      </c>
      <c r="Y3" t="s">
        <v>341</v>
      </c>
      <c r="Z3" t="s">
        <v>341</v>
      </c>
      <c r="AA3" t="s">
        <v>341</v>
      </c>
      <c r="AB3" t="s">
        <v>341</v>
      </c>
      <c r="AC3" t="s">
        <v>341</v>
      </c>
      <c r="AD3" t="s">
        <v>341</v>
      </c>
      <c r="AE3" t="s">
        <v>341</v>
      </c>
      <c r="AF3" t="s">
        <v>341</v>
      </c>
      <c r="AG3" s="1"/>
      <c r="AH3" t="s">
        <v>341</v>
      </c>
      <c r="AI3" t="s">
        <v>341</v>
      </c>
      <c r="AJ3" t="s">
        <v>341</v>
      </c>
      <c r="AK3" t="s">
        <v>341</v>
      </c>
      <c r="AL3" t="s">
        <v>341</v>
      </c>
      <c r="AM3" t="s">
        <v>341</v>
      </c>
      <c r="AN3" t="s">
        <v>341</v>
      </c>
      <c r="AO3" t="s">
        <v>341</v>
      </c>
      <c r="AP3" t="s">
        <v>341</v>
      </c>
      <c r="AQ3" t="s">
        <v>341</v>
      </c>
      <c r="AR3" t="s">
        <v>341</v>
      </c>
      <c r="AS3" t="s">
        <v>11</v>
      </c>
      <c r="AT3" t="s">
        <v>341</v>
      </c>
      <c r="AU3" t="s">
        <v>341</v>
      </c>
      <c r="AV3" t="s">
        <v>17</v>
      </c>
      <c r="AW3" s="1"/>
      <c r="AX3" t="s">
        <v>341</v>
      </c>
      <c r="AY3" t="s">
        <v>341</v>
      </c>
      <c r="AZ3" t="s">
        <v>17</v>
      </c>
      <c r="BA3" s="1"/>
      <c r="BB3" t="s">
        <v>341</v>
      </c>
    </row>
    <row r="4" spans="1:54" x14ac:dyDescent="0.25">
      <c r="A4">
        <v>2</v>
      </c>
      <c r="B4" s="1">
        <v>43254</v>
      </c>
      <c r="C4">
        <v>6627</v>
      </c>
      <c r="D4" t="s">
        <v>341</v>
      </c>
      <c r="E4" t="s">
        <v>643</v>
      </c>
      <c r="F4" t="s">
        <v>1</v>
      </c>
      <c r="G4" t="s">
        <v>341</v>
      </c>
      <c r="H4" s="1"/>
      <c r="I4" t="s">
        <v>341</v>
      </c>
      <c r="J4">
        <v>0</v>
      </c>
      <c r="K4" t="s">
        <v>341</v>
      </c>
      <c r="L4" t="s">
        <v>341</v>
      </c>
      <c r="M4" t="s">
        <v>341</v>
      </c>
      <c r="N4" t="s">
        <v>341</v>
      </c>
      <c r="O4" t="s">
        <v>341</v>
      </c>
      <c r="P4" t="s">
        <v>341</v>
      </c>
      <c r="Q4" t="s">
        <v>341</v>
      </c>
      <c r="R4" t="s">
        <v>341</v>
      </c>
      <c r="S4" t="s">
        <v>341</v>
      </c>
      <c r="T4" t="s">
        <v>341</v>
      </c>
      <c r="U4" t="s">
        <v>341</v>
      </c>
      <c r="W4" t="s">
        <v>341</v>
      </c>
      <c r="X4" t="s">
        <v>17</v>
      </c>
      <c r="Y4" t="s">
        <v>341</v>
      </c>
      <c r="Z4" t="s">
        <v>341</v>
      </c>
      <c r="AA4" t="s">
        <v>341</v>
      </c>
      <c r="AB4" t="s">
        <v>341</v>
      </c>
      <c r="AC4" t="s">
        <v>341</v>
      </c>
      <c r="AD4" t="s">
        <v>341</v>
      </c>
      <c r="AE4" t="s">
        <v>341</v>
      </c>
      <c r="AF4" t="s">
        <v>341</v>
      </c>
      <c r="AG4" s="1"/>
      <c r="AH4" t="s">
        <v>341</v>
      </c>
      <c r="AI4" t="s">
        <v>341</v>
      </c>
      <c r="AJ4" t="s">
        <v>341</v>
      </c>
      <c r="AK4" t="s">
        <v>341</v>
      </c>
      <c r="AL4" t="s">
        <v>341</v>
      </c>
      <c r="AM4" t="s">
        <v>341</v>
      </c>
      <c r="AN4" t="s">
        <v>341</v>
      </c>
      <c r="AO4" t="s">
        <v>341</v>
      </c>
      <c r="AP4" t="s">
        <v>341</v>
      </c>
      <c r="AQ4" t="s">
        <v>341</v>
      </c>
      <c r="AR4" t="s">
        <v>341</v>
      </c>
      <c r="AS4" t="s">
        <v>11</v>
      </c>
      <c r="AT4" t="s">
        <v>341</v>
      </c>
      <c r="AU4" t="s">
        <v>341</v>
      </c>
      <c r="AV4" t="s">
        <v>17</v>
      </c>
      <c r="AW4" s="1"/>
      <c r="AX4" t="s">
        <v>341</v>
      </c>
      <c r="AY4" t="s">
        <v>341</v>
      </c>
      <c r="AZ4" t="s">
        <v>17</v>
      </c>
      <c r="BA4" s="1"/>
      <c r="BB4" t="s">
        <v>20</v>
      </c>
    </row>
    <row r="5" spans="1:54" x14ac:dyDescent="0.25">
      <c r="A5">
        <v>3</v>
      </c>
      <c r="B5" s="1">
        <v>43255</v>
      </c>
      <c r="C5">
        <v>6630</v>
      </c>
      <c r="D5" t="s">
        <v>341</v>
      </c>
      <c r="E5" t="s">
        <v>21</v>
      </c>
      <c r="F5" t="s">
        <v>21</v>
      </c>
      <c r="G5" t="s">
        <v>341</v>
      </c>
      <c r="H5" s="1"/>
      <c r="I5" t="s">
        <v>341</v>
      </c>
      <c r="J5">
        <v>0</v>
      </c>
      <c r="K5" t="s">
        <v>341</v>
      </c>
      <c r="L5" t="s">
        <v>341</v>
      </c>
      <c r="M5" t="s">
        <v>341</v>
      </c>
      <c r="N5" t="s">
        <v>341</v>
      </c>
      <c r="O5" t="s">
        <v>341</v>
      </c>
      <c r="P5" t="s">
        <v>341</v>
      </c>
      <c r="Q5" t="s">
        <v>341</v>
      </c>
      <c r="R5" t="s">
        <v>341</v>
      </c>
      <c r="S5" t="s">
        <v>341</v>
      </c>
      <c r="T5" t="s">
        <v>341</v>
      </c>
      <c r="U5" t="s">
        <v>341</v>
      </c>
      <c r="W5" t="s">
        <v>341</v>
      </c>
      <c r="X5" t="s">
        <v>17</v>
      </c>
      <c r="Y5" t="s">
        <v>341</v>
      </c>
      <c r="Z5" t="s">
        <v>341</v>
      </c>
      <c r="AA5" t="s">
        <v>341</v>
      </c>
      <c r="AB5" t="s">
        <v>341</v>
      </c>
      <c r="AC5" t="s">
        <v>341</v>
      </c>
      <c r="AD5" t="s">
        <v>341</v>
      </c>
      <c r="AE5" t="s">
        <v>341</v>
      </c>
      <c r="AF5" t="s">
        <v>341</v>
      </c>
      <c r="AG5" s="1"/>
      <c r="AH5" t="s">
        <v>341</v>
      </c>
      <c r="AI5" t="s">
        <v>341</v>
      </c>
      <c r="AJ5" t="s">
        <v>341</v>
      </c>
      <c r="AK5" t="s">
        <v>341</v>
      </c>
      <c r="AL5" t="s">
        <v>341</v>
      </c>
      <c r="AM5" t="s">
        <v>341</v>
      </c>
      <c r="AN5" t="s">
        <v>341</v>
      </c>
      <c r="AO5" t="s">
        <v>341</v>
      </c>
      <c r="AP5" t="s">
        <v>341</v>
      </c>
      <c r="AQ5" t="s">
        <v>341</v>
      </c>
      <c r="AR5" t="s">
        <v>341</v>
      </c>
      <c r="AS5" t="s">
        <v>11</v>
      </c>
      <c r="AT5" t="s">
        <v>341</v>
      </c>
      <c r="AU5" t="s">
        <v>341</v>
      </c>
      <c r="AV5" t="s">
        <v>17</v>
      </c>
      <c r="AW5" s="1"/>
      <c r="AX5" t="s">
        <v>341</v>
      </c>
      <c r="AY5" t="s">
        <v>341</v>
      </c>
      <c r="AZ5" t="s">
        <v>17</v>
      </c>
      <c r="BA5" s="1"/>
      <c r="BB5" t="s">
        <v>20</v>
      </c>
    </row>
    <row r="6" spans="1:54" x14ac:dyDescent="0.25">
      <c r="A6">
        <v>4</v>
      </c>
      <c r="B6" s="1">
        <v>43255</v>
      </c>
      <c r="C6">
        <v>6631</v>
      </c>
      <c r="D6" t="s">
        <v>341</v>
      </c>
      <c r="E6" t="s">
        <v>22</v>
      </c>
      <c r="F6" t="s">
        <v>23</v>
      </c>
      <c r="G6" t="s">
        <v>341</v>
      </c>
      <c r="H6" s="1"/>
      <c r="I6" t="s">
        <v>341</v>
      </c>
      <c r="J6">
        <v>0</v>
      </c>
      <c r="K6" t="s">
        <v>341</v>
      </c>
      <c r="L6" t="s">
        <v>341</v>
      </c>
      <c r="M6" t="s">
        <v>341</v>
      </c>
      <c r="N6" t="s">
        <v>341</v>
      </c>
      <c r="O6" t="s">
        <v>341</v>
      </c>
      <c r="P6" t="s">
        <v>341</v>
      </c>
      <c r="Q6" t="s">
        <v>341</v>
      </c>
      <c r="R6" t="s">
        <v>341</v>
      </c>
      <c r="S6" t="s">
        <v>341</v>
      </c>
      <c r="T6" t="s">
        <v>341</v>
      </c>
      <c r="U6" t="s">
        <v>341</v>
      </c>
      <c r="W6" t="s">
        <v>341</v>
      </c>
      <c r="X6" t="s">
        <v>17</v>
      </c>
      <c r="Y6" t="s">
        <v>341</v>
      </c>
      <c r="Z6" t="s">
        <v>341</v>
      </c>
      <c r="AA6" t="s">
        <v>341</v>
      </c>
      <c r="AB6" t="s">
        <v>341</v>
      </c>
      <c r="AC6" t="s">
        <v>341</v>
      </c>
      <c r="AD6" t="s">
        <v>341</v>
      </c>
      <c r="AE6" t="s">
        <v>341</v>
      </c>
      <c r="AF6" t="s">
        <v>341</v>
      </c>
      <c r="AG6" s="1"/>
      <c r="AH6" t="s">
        <v>341</v>
      </c>
      <c r="AI6" t="s">
        <v>341</v>
      </c>
      <c r="AJ6" t="s">
        <v>341</v>
      </c>
      <c r="AK6" t="s">
        <v>341</v>
      </c>
      <c r="AL6" t="s">
        <v>341</v>
      </c>
      <c r="AM6" t="s">
        <v>341</v>
      </c>
      <c r="AN6" t="s">
        <v>341</v>
      </c>
      <c r="AO6" t="s">
        <v>341</v>
      </c>
      <c r="AP6" t="s">
        <v>341</v>
      </c>
      <c r="AQ6" t="s">
        <v>341</v>
      </c>
      <c r="AR6" t="s">
        <v>341</v>
      </c>
      <c r="AS6" t="s">
        <v>11</v>
      </c>
      <c r="AT6" t="s">
        <v>341</v>
      </c>
      <c r="AU6" t="s">
        <v>341</v>
      </c>
      <c r="AV6" t="s">
        <v>17</v>
      </c>
      <c r="AW6" s="1"/>
      <c r="AX6" t="s">
        <v>341</v>
      </c>
      <c r="AY6" t="s">
        <v>341</v>
      </c>
      <c r="AZ6" t="s">
        <v>17</v>
      </c>
      <c r="BA6" s="1"/>
      <c r="BB6" t="s">
        <v>20</v>
      </c>
    </row>
    <row r="7" spans="1:54" x14ac:dyDescent="0.25">
      <c r="A7">
        <v>5</v>
      </c>
      <c r="B7" s="1">
        <v>43255</v>
      </c>
      <c r="C7">
        <v>6632</v>
      </c>
      <c r="D7" t="s">
        <v>341</v>
      </c>
      <c r="E7" t="s">
        <v>24</v>
      </c>
      <c r="F7" t="s">
        <v>24</v>
      </c>
      <c r="G7" t="s">
        <v>341</v>
      </c>
      <c r="H7" s="1"/>
      <c r="I7" t="s">
        <v>341</v>
      </c>
      <c r="J7">
        <v>0</v>
      </c>
      <c r="K7" t="s">
        <v>341</v>
      </c>
      <c r="L7" t="s">
        <v>341</v>
      </c>
      <c r="M7" t="s">
        <v>341</v>
      </c>
      <c r="N7" t="s">
        <v>341</v>
      </c>
      <c r="O7" t="s">
        <v>341</v>
      </c>
      <c r="P7" t="s">
        <v>341</v>
      </c>
      <c r="Q7" t="s">
        <v>341</v>
      </c>
      <c r="R7" t="s">
        <v>341</v>
      </c>
      <c r="S7" t="s">
        <v>341</v>
      </c>
      <c r="T7" t="s">
        <v>341</v>
      </c>
      <c r="U7" t="s">
        <v>341</v>
      </c>
      <c r="W7" t="s">
        <v>341</v>
      </c>
      <c r="X7" t="s">
        <v>17</v>
      </c>
      <c r="Y7" t="s">
        <v>341</v>
      </c>
      <c r="Z7" t="s">
        <v>341</v>
      </c>
      <c r="AA7" t="s">
        <v>341</v>
      </c>
      <c r="AB7" t="s">
        <v>341</v>
      </c>
      <c r="AC7" t="s">
        <v>341</v>
      </c>
      <c r="AD7" t="s">
        <v>341</v>
      </c>
      <c r="AE7" t="s">
        <v>341</v>
      </c>
      <c r="AF7" t="s">
        <v>341</v>
      </c>
      <c r="AG7" s="1"/>
      <c r="AH7" t="s">
        <v>341</v>
      </c>
      <c r="AI7" t="s">
        <v>341</v>
      </c>
      <c r="AJ7" t="s">
        <v>341</v>
      </c>
      <c r="AK7" t="s">
        <v>341</v>
      </c>
      <c r="AL7" t="s">
        <v>341</v>
      </c>
      <c r="AM7" t="s">
        <v>341</v>
      </c>
      <c r="AN7" t="s">
        <v>341</v>
      </c>
      <c r="AO7" t="s">
        <v>341</v>
      </c>
      <c r="AP7" t="s">
        <v>341</v>
      </c>
      <c r="AQ7" t="s">
        <v>341</v>
      </c>
      <c r="AR7" t="s">
        <v>341</v>
      </c>
      <c r="AS7" t="s">
        <v>11</v>
      </c>
      <c r="AT7" t="s">
        <v>341</v>
      </c>
      <c r="AU7" t="s">
        <v>341</v>
      </c>
      <c r="AV7" t="s">
        <v>17</v>
      </c>
      <c r="AW7" s="1"/>
      <c r="AX7" t="s">
        <v>341</v>
      </c>
      <c r="AY7" t="s">
        <v>341</v>
      </c>
      <c r="AZ7" t="s">
        <v>17</v>
      </c>
      <c r="BA7" s="1"/>
      <c r="BB7" t="s">
        <v>20</v>
      </c>
    </row>
    <row r="8" spans="1:54" x14ac:dyDescent="0.25">
      <c r="A8">
        <v>6</v>
      </c>
      <c r="B8" s="1">
        <v>43255</v>
      </c>
      <c r="C8">
        <v>6633</v>
      </c>
      <c r="D8" t="s">
        <v>341</v>
      </c>
      <c r="E8" t="s">
        <v>25</v>
      </c>
      <c r="F8" t="s">
        <v>25</v>
      </c>
      <c r="G8" t="s">
        <v>341</v>
      </c>
      <c r="H8" s="1"/>
      <c r="I8" t="s">
        <v>341</v>
      </c>
      <c r="J8">
        <v>0</v>
      </c>
      <c r="K8" t="s">
        <v>341</v>
      </c>
      <c r="L8" t="s">
        <v>341</v>
      </c>
      <c r="M8" t="s">
        <v>341</v>
      </c>
      <c r="N8" t="s">
        <v>341</v>
      </c>
      <c r="O8" t="s">
        <v>341</v>
      </c>
      <c r="P8" t="s">
        <v>341</v>
      </c>
      <c r="Q8" t="s">
        <v>341</v>
      </c>
      <c r="R8" t="s">
        <v>341</v>
      </c>
      <c r="S8" t="s">
        <v>341</v>
      </c>
      <c r="T8" t="s">
        <v>341</v>
      </c>
      <c r="U8" t="s">
        <v>341</v>
      </c>
      <c r="W8" t="s">
        <v>341</v>
      </c>
      <c r="X8" t="s">
        <v>17</v>
      </c>
      <c r="Y8" t="s">
        <v>341</v>
      </c>
      <c r="Z8" t="s">
        <v>341</v>
      </c>
      <c r="AA8" t="s">
        <v>341</v>
      </c>
      <c r="AB8" t="s">
        <v>341</v>
      </c>
      <c r="AC8" t="s">
        <v>341</v>
      </c>
      <c r="AD8" t="s">
        <v>341</v>
      </c>
      <c r="AE8" t="s">
        <v>341</v>
      </c>
      <c r="AF8" t="s">
        <v>341</v>
      </c>
      <c r="AG8" s="1"/>
      <c r="AH8" t="s">
        <v>341</v>
      </c>
      <c r="AI8" t="s">
        <v>341</v>
      </c>
      <c r="AJ8" t="s">
        <v>341</v>
      </c>
      <c r="AK8" t="s">
        <v>341</v>
      </c>
      <c r="AL8" t="s">
        <v>341</v>
      </c>
      <c r="AM8" t="s">
        <v>341</v>
      </c>
      <c r="AN8" t="s">
        <v>341</v>
      </c>
      <c r="AO8" t="s">
        <v>341</v>
      </c>
      <c r="AP8" t="s">
        <v>341</v>
      </c>
      <c r="AQ8" t="s">
        <v>341</v>
      </c>
      <c r="AR8" t="s">
        <v>341</v>
      </c>
      <c r="AS8" t="s">
        <v>11</v>
      </c>
      <c r="AT8" t="s">
        <v>341</v>
      </c>
      <c r="AU8" t="s">
        <v>341</v>
      </c>
      <c r="AV8" t="s">
        <v>17</v>
      </c>
      <c r="AW8" s="1"/>
      <c r="AX8" t="s">
        <v>341</v>
      </c>
      <c r="AY8" t="s">
        <v>341</v>
      </c>
      <c r="AZ8" t="s">
        <v>17</v>
      </c>
      <c r="BA8" s="1"/>
      <c r="BB8" t="s">
        <v>20</v>
      </c>
    </row>
    <row r="9" spans="1:54" x14ac:dyDescent="0.25">
      <c r="A9">
        <v>7</v>
      </c>
      <c r="B9" s="1">
        <v>43255</v>
      </c>
      <c r="C9">
        <v>6634</v>
      </c>
      <c r="D9" t="s">
        <v>341</v>
      </c>
      <c r="E9" t="s">
        <v>26</v>
      </c>
      <c r="F9" t="s">
        <v>26</v>
      </c>
      <c r="G9" t="s">
        <v>341</v>
      </c>
      <c r="H9" s="1"/>
      <c r="I9" t="s">
        <v>341</v>
      </c>
      <c r="J9">
        <v>0</v>
      </c>
      <c r="K9" t="s">
        <v>341</v>
      </c>
      <c r="L9" t="s">
        <v>341</v>
      </c>
      <c r="M9" t="s">
        <v>341</v>
      </c>
      <c r="N9" t="s">
        <v>341</v>
      </c>
      <c r="O9" t="s">
        <v>341</v>
      </c>
      <c r="P9" t="s">
        <v>341</v>
      </c>
      <c r="Q9" t="s">
        <v>341</v>
      </c>
      <c r="R9" t="s">
        <v>341</v>
      </c>
      <c r="S9" t="s">
        <v>341</v>
      </c>
      <c r="T9" t="s">
        <v>341</v>
      </c>
      <c r="U9" t="s">
        <v>341</v>
      </c>
      <c r="W9" t="s">
        <v>341</v>
      </c>
      <c r="X9" t="s">
        <v>17</v>
      </c>
      <c r="Y9" t="s">
        <v>341</v>
      </c>
      <c r="Z9" t="s">
        <v>341</v>
      </c>
      <c r="AA9" t="s">
        <v>341</v>
      </c>
      <c r="AB9" t="s">
        <v>341</v>
      </c>
      <c r="AC9" t="s">
        <v>341</v>
      </c>
      <c r="AD9" t="s">
        <v>341</v>
      </c>
      <c r="AE9" t="s">
        <v>341</v>
      </c>
      <c r="AF9" t="s">
        <v>341</v>
      </c>
      <c r="AG9" s="1"/>
      <c r="AH9" t="s">
        <v>341</v>
      </c>
      <c r="AI9" t="s">
        <v>341</v>
      </c>
      <c r="AJ9" t="s">
        <v>341</v>
      </c>
      <c r="AK9" t="s">
        <v>341</v>
      </c>
      <c r="AL9" t="s">
        <v>341</v>
      </c>
      <c r="AM9" t="s">
        <v>341</v>
      </c>
      <c r="AN9" t="s">
        <v>341</v>
      </c>
      <c r="AO9" t="s">
        <v>341</v>
      </c>
      <c r="AP9" t="s">
        <v>341</v>
      </c>
      <c r="AQ9" t="s">
        <v>341</v>
      </c>
      <c r="AR9" t="s">
        <v>341</v>
      </c>
      <c r="AS9" t="s">
        <v>11</v>
      </c>
      <c r="AT9" t="s">
        <v>341</v>
      </c>
      <c r="AU9" t="s">
        <v>341</v>
      </c>
      <c r="AV9" t="s">
        <v>17</v>
      </c>
      <c r="AW9" s="1"/>
      <c r="AX9" t="s">
        <v>341</v>
      </c>
      <c r="AY9" t="s">
        <v>341</v>
      </c>
      <c r="AZ9" t="s">
        <v>17</v>
      </c>
      <c r="BA9" s="1"/>
      <c r="BB9" t="s">
        <v>20</v>
      </c>
    </row>
    <row r="10" spans="1:54" x14ac:dyDescent="0.25">
      <c r="A10">
        <v>8</v>
      </c>
      <c r="B10" s="1">
        <v>43255</v>
      </c>
      <c r="C10">
        <v>6635</v>
      </c>
      <c r="D10" t="s">
        <v>341</v>
      </c>
      <c r="E10" t="s">
        <v>27</v>
      </c>
      <c r="F10" t="s">
        <v>28</v>
      </c>
      <c r="G10" t="s">
        <v>341</v>
      </c>
      <c r="H10" s="1"/>
      <c r="I10" t="s">
        <v>341</v>
      </c>
      <c r="J10">
        <v>0</v>
      </c>
      <c r="K10" t="s">
        <v>341</v>
      </c>
      <c r="L10" t="s">
        <v>341</v>
      </c>
      <c r="M10" t="s">
        <v>341</v>
      </c>
      <c r="N10" t="s">
        <v>341</v>
      </c>
      <c r="O10" t="s">
        <v>341</v>
      </c>
      <c r="P10" t="s">
        <v>341</v>
      </c>
      <c r="Q10" t="s">
        <v>341</v>
      </c>
      <c r="R10" t="s">
        <v>341</v>
      </c>
      <c r="S10" t="s">
        <v>341</v>
      </c>
      <c r="T10" t="s">
        <v>341</v>
      </c>
      <c r="U10" t="s">
        <v>341</v>
      </c>
      <c r="W10" t="s">
        <v>341</v>
      </c>
      <c r="X10" t="s">
        <v>17</v>
      </c>
      <c r="Y10" t="s">
        <v>341</v>
      </c>
      <c r="Z10" t="s">
        <v>341</v>
      </c>
      <c r="AA10" t="s">
        <v>341</v>
      </c>
      <c r="AB10" t="s">
        <v>341</v>
      </c>
      <c r="AC10" t="s">
        <v>341</v>
      </c>
      <c r="AD10" t="s">
        <v>341</v>
      </c>
      <c r="AE10" t="s">
        <v>341</v>
      </c>
      <c r="AF10" t="s">
        <v>341</v>
      </c>
      <c r="AG10" s="1"/>
      <c r="AH10" t="s">
        <v>341</v>
      </c>
      <c r="AI10" t="s">
        <v>341</v>
      </c>
      <c r="AJ10" t="s">
        <v>341</v>
      </c>
      <c r="AK10" t="s">
        <v>341</v>
      </c>
      <c r="AL10" t="s">
        <v>341</v>
      </c>
      <c r="AM10" t="s">
        <v>341</v>
      </c>
      <c r="AN10" t="s">
        <v>341</v>
      </c>
      <c r="AO10" t="s">
        <v>341</v>
      </c>
      <c r="AP10" t="s">
        <v>341</v>
      </c>
      <c r="AQ10" t="s">
        <v>341</v>
      </c>
      <c r="AR10" t="s">
        <v>341</v>
      </c>
      <c r="AS10" t="s">
        <v>11</v>
      </c>
      <c r="AT10" t="s">
        <v>341</v>
      </c>
      <c r="AU10" t="s">
        <v>341</v>
      </c>
      <c r="AV10" t="s">
        <v>17</v>
      </c>
      <c r="AW10" s="1"/>
      <c r="AX10" t="s">
        <v>341</v>
      </c>
      <c r="AY10" t="s">
        <v>341</v>
      </c>
      <c r="AZ10" t="s">
        <v>17</v>
      </c>
      <c r="BA10" s="1"/>
      <c r="BB10" t="s">
        <v>20</v>
      </c>
    </row>
    <row r="11" spans="1:54" x14ac:dyDescent="0.25">
      <c r="A11">
        <v>9</v>
      </c>
      <c r="B11" s="1">
        <v>43256</v>
      </c>
      <c r="C11">
        <v>6636</v>
      </c>
      <c r="D11" t="s">
        <v>341</v>
      </c>
      <c r="E11" t="s">
        <v>16</v>
      </c>
      <c r="F11" t="s">
        <v>16</v>
      </c>
      <c r="G11" t="s">
        <v>341</v>
      </c>
      <c r="H11" s="1"/>
      <c r="I11" t="s">
        <v>341</v>
      </c>
      <c r="J11">
        <v>0</v>
      </c>
      <c r="K11" t="s">
        <v>341</v>
      </c>
      <c r="L11" t="s">
        <v>341</v>
      </c>
      <c r="M11" t="s">
        <v>341</v>
      </c>
      <c r="N11" t="s">
        <v>341</v>
      </c>
      <c r="O11" t="s">
        <v>341</v>
      </c>
      <c r="P11" t="s">
        <v>341</v>
      </c>
      <c r="Q11" t="s">
        <v>341</v>
      </c>
      <c r="R11" t="s">
        <v>341</v>
      </c>
      <c r="S11" t="s">
        <v>341</v>
      </c>
      <c r="T11" t="s">
        <v>341</v>
      </c>
      <c r="U11" t="s">
        <v>341</v>
      </c>
      <c r="W11" t="s">
        <v>341</v>
      </c>
      <c r="X11" t="s">
        <v>17</v>
      </c>
      <c r="Y11" t="s">
        <v>341</v>
      </c>
      <c r="Z11" t="s">
        <v>341</v>
      </c>
      <c r="AA11" t="s">
        <v>341</v>
      </c>
      <c r="AB11" t="s">
        <v>341</v>
      </c>
      <c r="AC11" t="s">
        <v>341</v>
      </c>
      <c r="AD11" t="s">
        <v>341</v>
      </c>
      <c r="AE11" t="s">
        <v>341</v>
      </c>
      <c r="AF11" t="s">
        <v>341</v>
      </c>
      <c r="AG11" s="1"/>
      <c r="AH11" t="s">
        <v>341</v>
      </c>
      <c r="AI11" t="s">
        <v>341</v>
      </c>
      <c r="AJ11" t="s">
        <v>341</v>
      </c>
      <c r="AK11" t="s">
        <v>341</v>
      </c>
      <c r="AL11" t="s">
        <v>341</v>
      </c>
      <c r="AM11" t="s">
        <v>341</v>
      </c>
      <c r="AN11" t="s">
        <v>341</v>
      </c>
      <c r="AO11" t="s">
        <v>341</v>
      </c>
      <c r="AP11" t="s">
        <v>341</v>
      </c>
      <c r="AQ11" t="s">
        <v>341</v>
      </c>
      <c r="AR11" t="s">
        <v>341</v>
      </c>
      <c r="AS11" t="s">
        <v>11</v>
      </c>
      <c r="AT11" t="s">
        <v>341</v>
      </c>
      <c r="AU11" t="s">
        <v>341</v>
      </c>
      <c r="AV11" t="s">
        <v>17</v>
      </c>
      <c r="AW11" s="1"/>
      <c r="AX11" t="s">
        <v>341</v>
      </c>
      <c r="AY11" t="s">
        <v>341</v>
      </c>
      <c r="AZ11" t="s">
        <v>17</v>
      </c>
      <c r="BA11" s="1"/>
      <c r="BB11" t="s">
        <v>20</v>
      </c>
    </row>
    <row r="12" spans="1:54" x14ac:dyDescent="0.25">
      <c r="A12">
        <v>10</v>
      </c>
      <c r="B12" s="1">
        <v>43256</v>
      </c>
      <c r="C12">
        <v>6637</v>
      </c>
      <c r="D12" t="s">
        <v>341</v>
      </c>
      <c r="E12" t="s">
        <v>29</v>
      </c>
      <c r="F12" t="s">
        <v>30</v>
      </c>
      <c r="G12" t="s">
        <v>341</v>
      </c>
      <c r="H12" s="1"/>
      <c r="I12" t="s">
        <v>341</v>
      </c>
      <c r="J12">
        <v>0</v>
      </c>
      <c r="K12" t="s">
        <v>341</v>
      </c>
      <c r="L12" t="s">
        <v>341</v>
      </c>
      <c r="M12" t="s">
        <v>341</v>
      </c>
      <c r="N12" t="s">
        <v>341</v>
      </c>
      <c r="O12" t="s">
        <v>341</v>
      </c>
      <c r="P12" t="s">
        <v>341</v>
      </c>
      <c r="Q12" t="s">
        <v>341</v>
      </c>
      <c r="R12" t="s">
        <v>341</v>
      </c>
      <c r="S12" t="s">
        <v>341</v>
      </c>
      <c r="T12" t="s">
        <v>341</v>
      </c>
      <c r="U12" t="s">
        <v>341</v>
      </c>
      <c r="W12" t="s">
        <v>341</v>
      </c>
      <c r="X12" t="s">
        <v>17</v>
      </c>
      <c r="Y12" t="s">
        <v>341</v>
      </c>
      <c r="Z12" t="s">
        <v>341</v>
      </c>
      <c r="AA12" t="s">
        <v>341</v>
      </c>
      <c r="AB12" t="s">
        <v>341</v>
      </c>
      <c r="AC12" t="s">
        <v>341</v>
      </c>
      <c r="AD12" t="s">
        <v>341</v>
      </c>
      <c r="AE12" t="s">
        <v>341</v>
      </c>
      <c r="AF12" t="s">
        <v>341</v>
      </c>
      <c r="AG12" s="1"/>
      <c r="AH12" t="s">
        <v>341</v>
      </c>
      <c r="AI12" t="s">
        <v>341</v>
      </c>
      <c r="AJ12" t="s">
        <v>341</v>
      </c>
      <c r="AK12" t="s">
        <v>341</v>
      </c>
      <c r="AL12" t="s">
        <v>341</v>
      </c>
      <c r="AM12" t="s">
        <v>341</v>
      </c>
      <c r="AN12" t="s">
        <v>341</v>
      </c>
      <c r="AO12" t="s">
        <v>341</v>
      </c>
      <c r="AP12" t="s">
        <v>341</v>
      </c>
      <c r="AQ12" t="s">
        <v>341</v>
      </c>
      <c r="AR12" t="s">
        <v>341</v>
      </c>
      <c r="AS12" t="s">
        <v>11</v>
      </c>
      <c r="AT12" t="s">
        <v>341</v>
      </c>
      <c r="AU12" t="s">
        <v>341</v>
      </c>
      <c r="AV12" t="s">
        <v>17</v>
      </c>
      <c r="AW12" s="1"/>
      <c r="AX12" t="s">
        <v>341</v>
      </c>
      <c r="AY12" t="s">
        <v>341</v>
      </c>
      <c r="AZ12" t="s">
        <v>17</v>
      </c>
      <c r="BA12" s="1"/>
      <c r="BB12" t="s">
        <v>20</v>
      </c>
    </row>
    <row r="13" spans="1:54" x14ac:dyDescent="0.25">
      <c r="A13">
        <v>11</v>
      </c>
      <c r="B13" s="1">
        <v>43256</v>
      </c>
      <c r="C13">
        <v>6638</v>
      </c>
      <c r="D13" t="s">
        <v>341</v>
      </c>
      <c r="E13" t="s">
        <v>644</v>
      </c>
      <c r="F13" t="s">
        <v>645</v>
      </c>
      <c r="G13" t="s">
        <v>646</v>
      </c>
      <c r="H13" s="1">
        <v>38870</v>
      </c>
      <c r="I13" t="s">
        <v>3</v>
      </c>
      <c r="J13">
        <v>12</v>
      </c>
      <c r="K13" t="s">
        <v>647</v>
      </c>
      <c r="L13" t="s">
        <v>341</v>
      </c>
      <c r="M13" t="s">
        <v>341</v>
      </c>
      <c r="N13" t="s">
        <v>389</v>
      </c>
      <c r="O13" t="s">
        <v>647</v>
      </c>
      <c r="P13" t="s">
        <v>648</v>
      </c>
      <c r="Q13" t="s">
        <v>648</v>
      </c>
      <c r="R13" t="s">
        <v>649</v>
      </c>
      <c r="S13" t="s">
        <v>650</v>
      </c>
      <c r="T13" t="s">
        <v>651</v>
      </c>
      <c r="U13" t="s">
        <v>341</v>
      </c>
      <c r="V13" t="s">
        <v>650</v>
      </c>
      <c r="W13" t="s">
        <v>652</v>
      </c>
      <c r="X13" t="s">
        <v>393</v>
      </c>
      <c r="Y13" t="s">
        <v>653</v>
      </c>
      <c r="Z13" t="s">
        <v>341</v>
      </c>
      <c r="AA13" t="s">
        <v>341</v>
      </c>
      <c r="AB13" t="s">
        <v>341</v>
      </c>
      <c r="AC13" t="s">
        <v>341</v>
      </c>
      <c r="AD13" t="s">
        <v>9</v>
      </c>
      <c r="AE13" t="s">
        <v>9</v>
      </c>
      <c r="AF13" t="s">
        <v>10</v>
      </c>
      <c r="AG13" s="1">
        <v>42179</v>
      </c>
      <c r="AH13" t="s">
        <v>9</v>
      </c>
      <c r="AI13" t="s">
        <v>341</v>
      </c>
      <c r="AJ13" t="s">
        <v>654</v>
      </c>
      <c r="AK13" t="s">
        <v>341</v>
      </c>
      <c r="AL13" t="s">
        <v>341</v>
      </c>
      <c r="AM13" t="s">
        <v>341</v>
      </c>
      <c r="AN13" t="s">
        <v>341</v>
      </c>
      <c r="AO13" t="s">
        <v>655</v>
      </c>
      <c r="AP13" t="s">
        <v>341</v>
      </c>
      <c r="AQ13" t="s">
        <v>656</v>
      </c>
      <c r="AR13" t="s">
        <v>657</v>
      </c>
      <c r="AS13" t="s">
        <v>11</v>
      </c>
      <c r="AT13" t="s">
        <v>13</v>
      </c>
      <c r="AU13" t="s">
        <v>341</v>
      </c>
      <c r="AV13" t="s">
        <v>658</v>
      </c>
      <c r="AW13" s="1">
        <v>42717</v>
      </c>
      <c r="AX13" t="s">
        <v>659</v>
      </c>
      <c r="AY13" t="s">
        <v>660</v>
      </c>
      <c r="AZ13" t="s">
        <v>661</v>
      </c>
      <c r="BA13" s="1">
        <v>42718</v>
      </c>
      <c r="BB13" t="s">
        <v>20</v>
      </c>
    </row>
    <row r="14" spans="1:54" x14ac:dyDescent="0.25">
      <c r="A14">
        <v>12</v>
      </c>
      <c r="B14" s="1">
        <v>43259</v>
      </c>
      <c r="C14">
        <v>6639</v>
      </c>
      <c r="D14" t="s">
        <v>341</v>
      </c>
      <c r="E14" t="s">
        <v>662</v>
      </c>
      <c r="F14" t="s">
        <v>662</v>
      </c>
      <c r="G14" t="s">
        <v>341</v>
      </c>
      <c r="H14" s="1">
        <v>25569</v>
      </c>
      <c r="I14" t="s">
        <v>341</v>
      </c>
      <c r="J14">
        <v>48</v>
      </c>
      <c r="K14" t="s">
        <v>341</v>
      </c>
      <c r="L14" t="s">
        <v>341</v>
      </c>
      <c r="M14" t="s">
        <v>341</v>
      </c>
      <c r="N14" t="s">
        <v>341</v>
      </c>
      <c r="O14" t="s">
        <v>341</v>
      </c>
      <c r="P14" t="s">
        <v>341</v>
      </c>
      <c r="Q14" t="s">
        <v>341</v>
      </c>
      <c r="R14" t="s">
        <v>341</v>
      </c>
      <c r="S14" t="s">
        <v>341</v>
      </c>
      <c r="T14" t="s">
        <v>341</v>
      </c>
      <c r="U14" t="s">
        <v>341</v>
      </c>
      <c r="W14" t="s">
        <v>341</v>
      </c>
      <c r="X14" t="s">
        <v>341</v>
      </c>
      <c r="Y14" t="s">
        <v>341</v>
      </c>
      <c r="Z14" t="s">
        <v>341</v>
      </c>
      <c r="AA14" t="s">
        <v>341</v>
      </c>
      <c r="AB14" t="s">
        <v>341</v>
      </c>
      <c r="AC14" t="s">
        <v>341</v>
      </c>
      <c r="AD14" t="s">
        <v>341</v>
      </c>
      <c r="AE14" t="s">
        <v>341</v>
      </c>
      <c r="AF14" t="s">
        <v>341</v>
      </c>
      <c r="AG14" s="1">
        <v>25569</v>
      </c>
      <c r="AH14" t="s">
        <v>341</v>
      </c>
      <c r="AI14" t="s">
        <v>341</v>
      </c>
      <c r="AJ14" t="s">
        <v>341</v>
      </c>
      <c r="AK14" t="s">
        <v>341</v>
      </c>
      <c r="AL14" t="s">
        <v>341</v>
      </c>
      <c r="AM14" t="s">
        <v>341</v>
      </c>
      <c r="AN14" t="s">
        <v>341</v>
      </c>
      <c r="AO14" t="s">
        <v>341</v>
      </c>
      <c r="AP14" t="s">
        <v>341</v>
      </c>
      <c r="AQ14" t="s">
        <v>341</v>
      </c>
      <c r="AR14" t="s">
        <v>341</v>
      </c>
      <c r="AS14" t="s">
        <v>11</v>
      </c>
      <c r="AT14" t="s">
        <v>341</v>
      </c>
      <c r="AU14" t="s">
        <v>341</v>
      </c>
      <c r="AV14" t="s">
        <v>341</v>
      </c>
      <c r="AW14" s="1">
        <v>25569</v>
      </c>
      <c r="AX14" t="s">
        <v>341</v>
      </c>
      <c r="AY14" t="s">
        <v>341</v>
      </c>
      <c r="AZ14" t="s">
        <v>341</v>
      </c>
      <c r="BA14" s="1">
        <v>25569</v>
      </c>
      <c r="BB14" t="s">
        <v>341</v>
      </c>
    </row>
    <row r="15" spans="1:54" x14ac:dyDescent="0.25">
      <c r="A15">
        <v>13</v>
      </c>
      <c r="B15" s="1">
        <v>43259</v>
      </c>
      <c r="C15">
        <v>6640</v>
      </c>
      <c r="D15" t="s">
        <v>341</v>
      </c>
      <c r="E15" t="s">
        <v>662</v>
      </c>
      <c r="F15" t="s">
        <v>662</v>
      </c>
      <c r="G15" t="s">
        <v>341</v>
      </c>
      <c r="H15" s="1">
        <v>25569</v>
      </c>
      <c r="I15" t="s">
        <v>341</v>
      </c>
      <c r="J15">
        <v>48</v>
      </c>
      <c r="K15" t="s">
        <v>341</v>
      </c>
      <c r="L15" t="s">
        <v>341</v>
      </c>
      <c r="M15" t="s">
        <v>341</v>
      </c>
      <c r="N15" t="s">
        <v>341</v>
      </c>
      <c r="O15" t="s">
        <v>341</v>
      </c>
      <c r="P15" t="s">
        <v>341</v>
      </c>
      <c r="Q15" t="s">
        <v>341</v>
      </c>
      <c r="R15" t="s">
        <v>341</v>
      </c>
      <c r="S15" t="s">
        <v>341</v>
      </c>
      <c r="T15" t="s">
        <v>341</v>
      </c>
      <c r="U15" t="s">
        <v>341</v>
      </c>
      <c r="V15" t="s">
        <v>341</v>
      </c>
      <c r="W15" t="s">
        <v>341</v>
      </c>
      <c r="X15" t="s">
        <v>341</v>
      </c>
      <c r="Y15" t="s">
        <v>341</v>
      </c>
      <c r="Z15" t="s">
        <v>341</v>
      </c>
      <c r="AA15" t="s">
        <v>341</v>
      </c>
      <c r="AB15" t="s">
        <v>341</v>
      </c>
      <c r="AC15" t="s">
        <v>341</v>
      </c>
      <c r="AD15" t="s">
        <v>341</v>
      </c>
      <c r="AE15" t="s">
        <v>341</v>
      </c>
      <c r="AF15" t="s">
        <v>341</v>
      </c>
      <c r="AG15" s="1">
        <v>25569</v>
      </c>
      <c r="AH15" t="s">
        <v>341</v>
      </c>
      <c r="AI15" t="s">
        <v>341</v>
      </c>
      <c r="AJ15" t="s">
        <v>341</v>
      </c>
      <c r="AK15" t="s">
        <v>341</v>
      </c>
      <c r="AL15" t="s">
        <v>341</v>
      </c>
      <c r="AM15" t="s">
        <v>341</v>
      </c>
      <c r="AN15" t="s">
        <v>341</v>
      </c>
      <c r="AO15" t="s">
        <v>341</v>
      </c>
      <c r="AP15" t="s">
        <v>341</v>
      </c>
      <c r="AQ15" t="s">
        <v>341</v>
      </c>
      <c r="AR15" t="s">
        <v>341</v>
      </c>
      <c r="AS15" t="s">
        <v>11</v>
      </c>
      <c r="AT15" t="s">
        <v>341</v>
      </c>
      <c r="AU15" t="s">
        <v>341</v>
      </c>
      <c r="AV15" t="s">
        <v>341</v>
      </c>
      <c r="AW15" s="1">
        <v>25569</v>
      </c>
      <c r="AX15" t="s">
        <v>341</v>
      </c>
      <c r="AY15" t="s">
        <v>341</v>
      </c>
      <c r="AZ15" t="s">
        <v>341</v>
      </c>
      <c r="BA15" s="1">
        <v>43262</v>
      </c>
      <c r="BB15" t="s">
        <v>341</v>
      </c>
    </row>
    <row r="16" spans="1:54" x14ac:dyDescent="0.25">
      <c r="A16">
        <v>14</v>
      </c>
      <c r="B16" s="1">
        <v>43259</v>
      </c>
      <c r="C16">
        <v>6641</v>
      </c>
      <c r="D16" t="s">
        <v>341</v>
      </c>
      <c r="E16" t="s">
        <v>662</v>
      </c>
      <c r="F16" t="s">
        <v>662</v>
      </c>
      <c r="G16" t="s">
        <v>341</v>
      </c>
      <c r="H16" s="1">
        <v>25569</v>
      </c>
      <c r="I16" t="s">
        <v>341</v>
      </c>
      <c r="J16">
        <v>48</v>
      </c>
      <c r="K16" t="s">
        <v>341</v>
      </c>
      <c r="L16" t="s">
        <v>341</v>
      </c>
      <c r="M16" t="s">
        <v>341</v>
      </c>
      <c r="N16" t="s">
        <v>341</v>
      </c>
      <c r="O16" t="s">
        <v>341</v>
      </c>
      <c r="P16" t="s">
        <v>341</v>
      </c>
      <c r="Q16" t="s">
        <v>341</v>
      </c>
      <c r="R16" t="s">
        <v>341</v>
      </c>
      <c r="S16" t="s">
        <v>341</v>
      </c>
      <c r="T16" t="s">
        <v>341</v>
      </c>
      <c r="U16" t="s">
        <v>341</v>
      </c>
      <c r="W16" t="s">
        <v>341</v>
      </c>
      <c r="X16" t="s">
        <v>341</v>
      </c>
      <c r="Y16" t="s">
        <v>341</v>
      </c>
      <c r="Z16" t="s">
        <v>341</v>
      </c>
      <c r="AA16" t="s">
        <v>341</v>
      </c>
      <c r="AB16" t="s">
        <v>341</v>
      </c>
      <c r="AC16" t="s">
        <v>341</v>
      </c>
      <c r="AD16" t="s">
        <v>341</v>
      </c>
      <c r="AE16" t="s">
        <v>341</v>
      </c>
      <c r="AF16" t="s">
        <v>341</v>
      </c>
      <c r="AG16" s="1">
        <v>25569</v>
      </c>
      <c r="AH16" t="s">
        <v>341</v>
      </c>
      <c r="AI16" t="s">
        <v>341</v>
      </c>
      <c r="AJ16" t="s">
        <v>341</v>
      </c>
      <c r="AK16" t="s">
        <v>341</v>
      </c>
      <c r="AL16" t="s">
        <v>341</v>
      </c>
      <c r="AM16" t="s">
        <v>341</v>
      </c>
      <c r="AN16" t="s">
        <v>341</v>
      </c>
      <c r="AO16" t="s">
        <v>341</v>
      </c>
      <c r="AP16" t="s">
        <v>341</v>
      </c>
      <c r="AQ16" t="s">
        <v>341</v>
      </c>
      <c r="AR16" t="s">
        <v>341</v>
      </c>
      <c r="AS16" t="s">
        <v>11</v>
      </c>
      <c r="AT16" t="s">
        <v>341</v>
      </c>
      <c r="AU16" t="s">
        <v>341</v>
      </c>
      <c r="AV16" t="s">
        <v>341</v>
      </c>
      <c r="AW16" s="1">
        <v>25569</v>
      </c>
      <c r="AX16" t="s">
        <v>341</v>
      </c>
      <c r="AY16" t="s">
        <v>341</v>
      </c>
      <c r="AZ16" t="s">
        <v>341</v>
      </c>
      <c r="BA16" s="1">
        <v>25569</v>
      </c>
      <c r="BB16" t="s">
        <v>341</v>
      </c>
    </row>
    <row r="17" spans="1:54" x14ac:dyDescent="0.25">
      <c r="A17">
        <v>15</v>
      </c>
      <c r="B17" s="1">
        <v>43259</v>
      </c>
      <c r="C17">
        <v>6642</v>
      </c>
      <c r="D17" t="s">
        <v>341</v>
      </c>
      <c r="E17" t="s">
        <v>314</v>
      </c>
      <c r="F17" t="s">
        <v>314</v>
      </c>
      <c r="G17" t="s">
        <v>341</v>
      </c>
      <c r="H17" s="1">
        <v>25569</v>
      </c>
      <c r="I17" t="s">
        <v>341</v>
      </c>
      <c r="J17">
        <v>48</v>
      </c>
      <c r="K17" t="s">
        <v>341</v>
      </c>
      <c r="L17" t="s">
        <v>341</v>
      </c>
      <c r="M17" t="s">
        <v>341</v>
      </c>
      <c r="N17" t="s">
        <v>341</v>
      </c>
      <c r="O17" t="s">
        <v>341</v>
      </c>
      <c r="P17" t="s">
        <v>341</v>
      </c>
      <c r="Q17" t="s">
        <v>341</v>
      </c>
      <c r="R17" t="s">
        <v>341</v>
      </c>
      <c r="S17" t="s">
        <v>341</v>
      </c>
      <c r="T17" t="s">
        <v>341</v>
      </c>
      <c r="U17" t="s">
        <v>341</v>
      </c>
      <c r="W17" t="s">
        <v>341</v>
      </c>
      <c r="X17" t="s">
        <v>341</v>
      </c>
      <c r="Y17" t="s">
        <v>341</v>
      </c>
      <c r="Z17" t="s">
        <v>341</v>
      </c>
      <c r="AA17" t="s">
        <v>341</v>
      </c>
      <c r="AB17" t="s">
        <v>341</v>
      </c>
      <c r="AC17" t="s">
        <v>341</v>
      </c>
      <c r="AD17" t="s">
        <v>341</v>
      </c>
      <c r="AE17" t="s">
        <v>341</v>
      </c>
      <c r="AF17" t="s">
        <v>341</v>
      </c>
      <c r="AG17" s="1">
        <v>25569</v>
      </c>
      <c r="AH17" t="s">
        <v>341</v>
      </c>
      <c r="AI17" t="s">
        <v>341</v>
      </c>
      <c r="AJ17" t="s">
        <v>341</v>
      </c>
      <c r="AK17" t="s">
        <v>341</v>
      </c>
      <c r="AL17" t="s">
        <v>341</v>
      </c>
      <c r="AM17" t="s">
        <v>341</v>
      </c>
      <c r="AN17" t="s">
        <v>341</v>
      </c>
      <c r="AO17" t="s">
        <v>341</v>
      </c>
      <c r="AP17" t="s">
        <v>341</v>
      </c>
      <c r="AQ17" t="s">
        <v>341</v>
      </c>
      <c r="AR17" t="s">
        <v>341</v>
      </c>
      <c r="AS17" t="s">
        <v>11</v>
      </c>
      <c r="AT17" t="s">
        <v>341</v>
      </c>
      <c r="AU17" t="s">
        <v>341</v>
      </c>
      <c r="AV17" t="s">
        <v>341</v>
      </c>
      <c r="AW17" s="1">
        <v>25569</v>
      </c>
      <c r="AX17" t="s">
        <v>341</v>
      </c>
      <c r="AY17" t="s">
        <v>341</v>
      </c>
      <c r="AZ17" t="s">
        <v>341</v>
      </c>
      <c r="BA17" s="1">
        <v>25569</v>
      </c>
      <c r="BB17" t="s">
        <v>341</v>
      </c>
    </row>
    <row r="18" spans="1:54" x14ac:dyDescent="0.25">
      <c r="A18">
        <v>16</v>
      </c>
      <c r="B18" s="1">
        <v>43260</v>
      </c>
      <c r="C18">
        <v>6643</v>
      </c>
      <c r="D18" t="s">
        <v>341</v>
      </c>
      <c r="E18" t="s">
        <v>662</v>
      </c>
      <c r="F18" t="s">
        <v>662</v>
      </c>
      <c r="G18" t="s">
        <v>341</v>
      </c>
      <c r="H18" s="1">
        <v>25569</v>
      </c>
      <c r="I18" t="s">
        <v>341</v>
      </c>
      <c r="J18">
        <v>48</v>
      </c>
      <c r="K18" t="s">
        <v>341</v>
      </c>
      <c r="L18" t="s">
        <v>341</v>
      </c>
      <c r="M18" t="s">
        <v>341</v>
      </c>
      <c r="N18" t="s">
        <v>341</v>
      </c>
      <c r="O18" t="s">
        <v>341</v>
      </c>
      <c r="P18" t="s">
        <v>341</v>
      </c>
      <c r="Q18" t="s">
        <v>341</v>
      </c>
      <c r="R18" t="s">
        <v>341</v>
      </c>
      <c r="S18" t="s">
        <v>341</v>
      </c>
      <c r="T18" t="s">
        <v>341</v>
      </c>
      <c r="U18" t="s">
        <v>341</v>
      </c>
      <c r="W18" t="s">
        <v>341</v>
      </c>
      <c r="X18" t="s">
        <v>341</v>
      </c>
      <c r="Y18" t="s">
        <v>341</v>
      </c>
      <c r="Z18" t="s">
        <v>341</v>
      </c>
      <c r="AA18" t="s">
        <v>341</v>
      </c>
      <c r="AB18" t="s">
        <v>341</v>
      </c>
      <c r="AC18" t="s">
        <v>341</v>
      </c>
      <c r="AD18" t="s">
        <v>341</v>
      </c>
      <c r="AE18" t="s">
        <v>341</v>
      </c>
      <c r="AF18" t="s">
        <v>341</v>
      </c>
      <c r="AG18" s="1">
        <v>25569</v>
      </c>
      <c r="AH18" t="s">
        <v>341</v>
      </c>
      <c r="AI18" t="s">
        <v>341</v>
      </c>
      <c r="AJ18" t="s">
        <v>341</v>
      </c>
      <c r="AK18" t="s">
        <v>341</v>
      </c>
      <c r="AL18" t="s">
        <v>341</v>
      </c>
      <c r="AM18" t="s">
        <v>341</v>
      </c>
      <c r="AN18" t="s">
        <v>341</v>
      </c>
      <c r="AO18" t="s">
        <v>341</v>
      </c>
      <c r="AP18" t="s">
        <v>341</v>
      </c>
      <c r="AQ18" t="s">
        <v>341</v>
      </c>
      <c r="AR18" t="s">
        <v>341</v>
      </c>
      <c r="AS18" t="s">
        <v>11</v>
      </c>
      <c r="AT18" t="s">
        <v>341</v>
      </c>
      <c r="AU18" t="s">
        <v>341</v>
      </c>
      <c r="AV18" t="s">
        <v>341</v>
      </c>
      <c r="AW18" s="1">
        <v>25569</v>
      </c>
      <c r="AX18" t="s">
        <v>341</v>
      </c>
      <c r="AY18" t="s">
        <v>341</v>
      </c>
      <c r="AZ18" t="s">
        <v>341</v>
      </c>
      <c r="BA18" s="1">
        <v>25569</v>
      </c>
      <c r="BB18" t="s">
        <v>341</v>
      </c>
    </row>
    <row r="19" spans="1:54" x14ac:dyDescent="0.25">
      <c r="A19">
        <v>17</v>
      </c>
      <c r="B19" s="1">
        <v>43260</v>
      </c>
      <c r="C19">
        <v>6644</v>
      </c>
      <c r="D19" t="s">
        <v>341</v>
      </c>
      <c r="E19" t="s">
        <v>663</v>
      </c>
      <c r="F19" t="s">
        <v>663</v>
      </c>
      <c r="G19" t="s">
        <v>341</v>
      </c>
      <c r="H19" s="1">
        <v>25569</v>
      </c>
      <c r="I19" t="s">
        <v>341</v>
      </c>
      <c r="J19">
        <v>48</v>
      </c>
      <c r="K19" t="s">
        <v>341</v>
      </c>
      <c r="L19" t="s">
        <v>341</v>
      </c>
      <c r="M19" t="s">
        <v>341</v>
      </c>
      <c r="N19" t="s">
        <v>341</v>
      </c>
      <c r="O19" t="s">
        <v>341</v>
      </c>
      <c r="P19" t="s">
        <v>341</v>
      </c>
      <c r="Q19" t="s">
        <v>341</v>
      </c>
      <c r="R19" t="s">
        <v>341</v>
      </c>
      <c r="S19" t="s">
        <v>341</v>
      </c>
      <c r="T19" t="s">
        <v>341</v>
      </c>
      <c r="U19" t="s">
        <v>341</v>
      </c>
      <c r="W19" t="s">
        <v>341</v>
      </c>
      <c r="X19" t="s">
        <v>341</v>
      </c>
      <c r="Y19" t="s">
        <v>341</v>
      </c>
      <c r="Z19" t="s">
        <v>341</v>
      </c>
      <c r="AA19" t="s">
        <v>341</v>
      </c>
      <c r="AB19" t="s">
        <v>341</v>
      </c>
      <c r="AC19" t="s">
        <v>341</v>
      </c>
      <c r="AD19" t="s">
        <v>341</v>
      </c>
      <c r="AE19" t="s">
        <v>341</v>
      </c>
      <c r="AF19" t="s">
        <v>341</v>
      </c>
      <c r="AG19" s="1">
        <v>25569</v>
      </c>
      <c r="AH19" t="s">
        <v>341</v>
      </c>
      <c r="AI19" t="s">
        <v>341</v>
      </c>
      <c r="AJ19" t="s">
        <v>341</v>
      </c>
      <c r="AK19" t="s">
        <v>341</v>
      </c>
      <c r="AL19" t="s">
        <v>341</v>
      </c>
      <c r="AM19" t="s">
        <v>341</v>
      </c>
      <c r="AN19" t="s">
        <v>341</v>
      </c>
      <c r="AO19" t="s">
        <v>341</v>
      </c>
      <c r="AP19" t="s">
        <v>341</v>
      </c>
      <c r="AQ19" t="s">
        <v>341</v>
      </c>
      <c r="AR19" t="s">
        <v>341</v>
      </c>
      <c r="AS19" t="s">
        <v>11</v>
      </c>
      <c r="AT19" t="s">
        <v>341</v>
      </c>
      <c r="AU19" t="s">
        <v>341</v>
      </c>
      <c r="AV19" t="s">
        <v>341</v>
      </c>
      <c r="AW19" s="1">
        <v>25569</v>
      </c>
      <c r="AX19" t="s">
        <v>341</v>
      </c>
      <c r="AY19" t="s">
        <v>341</v>
      </c>
      <c r="AZ19" t="s">
        <v>341</v>
      </c>
      <c r="BA19" s="1">
        <v>25569</v>
      </c>
      <c r="BB19" t="s">
        <v>341</v>
      </c>
    </row>
    <row r="20" spans="1:54" x14ac:dyDescent="0.25">
      <c r="A20">
        <v>18</v>
      </c>
      <c r="B20" s="1">
        <v>43263</v>
      </c>
      <c r="C20">
        <v>6645</v>
      </c>
      <c r="D20" t="s">
        <v>341</v>
      </c>
      <c r="E20" t="s">
        <v>664</v>
      </c>
      <c r="F20" t="s">
        <v>665</v>
      </c>
      <c r="G20" t="s">
        <v>341</v>
      </c>
      <c r="H20" s="1">
        <v>25569</v>
      </c>
      <c r="I20" t="s">
        <v>341</v>
      </c>
      <c r="J20">
        <v>48</v>
      </c>
      <c r="K20" t="s">
        <v>341</v>
      </c>
      <c r="L20" t="s">
        <v>341</v>
      </c>
      <c r="M20" t="s">
        <v>341</v>
      </c>
      <c r="N20" t="s">
        <v>341</v>
      </c>
      <c r="O20" t="s">
        <v>341</v>
      </c>
      <c r="P20" t="s">
        <v>341</v>
      </c>
      <c r="Q20" t="s">
        <v>341</v>
      </c>
      <c r="R20" t="s">
        <v>341</v>
      </c>
      <c r="S20" t="s">
        <v>341</v>
      </c>
      <c r="T20" t="s">
        <v>341</v>
      </c>
      <c r="U20" t="s">
        <v>341</v>
      </c>
      <c r="W20" t="s">
        <v>341</v>
      </c>
      <c r="X20" t="s">
        <v>341</v>
      </c>
      <c r="Y20" t="s">
        <v>341</v>
      </c>
      <c r="Z20" t="s">
        <v>341</v>
      </c>
      <c r="AA20" t="s">
        <v>341</v>
      </c>
      <c r="AB20" t="s">
        <v>341</v>
      </c>
      <c r="AC20" t="s">
        <v>341</v>
      </c>
      <c r="AD20" t="s">
        <v>341</v>
      </c>
      <c r="AE20" t="s">
        <v>341</v>
      </c>
      <c r="AF20" t="s">
        <v>341</v>
      </c>
      <c r="AG20" s="1">
        <v>25569</v>
      </c>
      <c r="AH20" t="s">
        <v>341</v>
      </c>
      <c r="AI20" t="s">
        <v>341</v>
      </c>
      <c r="AJ20" t="s">
        <v>341</v>
      </c>
      <c r="AK20" t="s">
        <v>341</v>
      </c>
      <c r="AL20" t="s">
        <v>341</v>
      </c>
      <c r="AM20" t="s">
        <v>341</v>
      </c>
      <c r="AN20" t="s">
        <v>341</v>
      </c>
      <c r="AO20" t="s">
        <v>341</v>
      </c>
      <c r="AP20" t="s">
        <v>341</v>
      </c>
      <c r="AQ20" t="s">
        <v>341</v>
      </c>
      <c r="AR20" t="s">
        <v>341</v>
      </c>
      <c r="AS20" t="s">
        <v>11</v>
      </c>
      <c r="AT20" t="s">
        <v>341</v>
      </c>
      <c r="AU20" t="s">
        <v>341</v>
      </c>
      <c r="AV20" t="s">
        <v>341</v>
      </c>
      <c r="AW20" s="1">
        <v>25569</v>
      </c>
      <c r="AX20" t="s">
        <v>341</v>
      </c>
      <c r="AY20" t="s">
        <v>341</v>
      </c>
      <c r="AZ20" t="s">
        <v>341</v>
      </c>
      <c r="BA20" s="1">
        <v>25569</v>
      </c>
      <c r="BB20" t="s">
        <v>341</v>
      </c>
    </row>
    <row r="21" spans="1:54" x14ac:dyDescent="0.25">
      <c r="A21">
        <v>19</v>
      </c>
      <c r="B21" s="1">
        <v>43266</v>
      </c>
      <c r="C21">
        <v>6646</v>
      </c>
      <c r="D21" t="s">
        <v>341</v>
      </c>
      <c r="E21" t="s">
        <v>666</v>
      </c>
      <c r="F21" t="s">
        <v>667</v>
      </c>
      <c r="G21" t="s">
        <v>341</v>
      </c>
      <c r="H21" s="1">
        <v>39853</v>
      </c>
      <c r="I21" t="s">
        <v>341</v>
      </c>
      <c r="J21">
        <v>9</v>
      </c>
      <c r="K21" t="s">
        <v>341</v>
      </c>
      <c r="L21" t="s">
        <v>341</v>
      </c>
      <c r="M21" t="s">
        <v>341</v>
      </c>
      <c r="N21" t="s">
        <v>341</v>
      </c>
      <c r="O21" t="s">
        <v>341</v>
      </c>
      <c r="P21" t="s">
        <v>341</v>
      </c>
      <c r="Q21" t="s">
        <v>341</v>
      </c>
      <c r="R21" t="s">
        <v>341</v>
      </c>
      <c r="S21" t="s">
        <v>341</v>
      </c>
      <c r="T21" t="s">
        <v>341</v>
      </c>
      <c r="U21" t="s">
        <v>341</v>
      </c>
      <c r="V21" t="s">
        <v>341</v>
      </c>
      <c r="W21" t="s">
        <v>341</v>
      </c>
      <c r="X21" t="s">
        <v>341</v>
      </c>
      <c r="Y21" t="s">
        <v>341</v>
      </c>
      <c r="Z21" t="s">
        <v>341</v>
      </c>
      <c r="AA21" t="s">
        <v>341</v>
      </c>
      <c r="AB21" t="s">
        <v>341</v>
      </c>
      <c r="AC21" t="s">
        <v>341</v>
      </c>
      <c r="AD21" t="s">
        <v>341</v>
      </c>
      <c r="AE21" t="s">
        <v>341</v>
      </c>
      <c r="AF21" t="s">
        <v>341</v>
      </c>
      <c r="AG21" s="1">
        <v>25569</v>
      </c>
      <c r="AH21" t="s">
        <v>341</v>
      </c>
      <c r="AI21" t="s">
        <v>341</v>
      </c>
      <c r="AJ21" t="s">
        <v>341</v>
      </c>
      <c r="AK21" t="s">
        <v>341</v>
      </c>
      <c r="AL21" t="s">
        <v>341</v>
      </c>
      <c r="AM21" t="s">
        <v>341</v>
      </c>
      <c r="AN21" t="s">
        <v>341</v>
      </c>
      <c r="AO21" t="s">
        <v>341</v>
      </c>
      <c r="AP21" t="s">
        <v>341</v>
      </c>
      <c r="AQ21" t="s">
        <v>341</v>
      </c>
      <c r="AR21" t="s">
        <v>341</v>
      </c>
      <c r="AS21" t="s">
        <v>11</v>
      </c>
      <c r="AT21" t="s">
        <v>341</v>
      </c>
      <c r="AU21" t="s">
        <v>341</v>
      </c>
      <c r="AV21" t="s">
        <v>341</v>
      </c>
      <c r="AW21" s="1">
        <v>25569</v>
      </c>
      <c r="AX21" t="s">
        <v>341</v>
      </c>
      <c r="AY21" t="s">
        <v>341</v>
      </c>
      <c r="AZ21" t="s">
        <v>341</v>
      </c>
      <c r="BA21" s="1">
        <v>25569</v>
      </c>
      <c r="BB21" t="s">
        <v>341</v>
      </c>
    </row>
  </sheetData>
  <conditionalFormatting sqref="B2:B21">
    <cfRule type="expression" dxfId="171" priority="1">
      <formula>_xludf.ISBLANK(B2)</formula>
    </cfRule>
  </conditionalFormatting>
  <conditionalFormatting sqref="AS2:AS21">
    <cfRule type="expression" dxfId="170" priority="2">
      <formula>_xludf.ISBLANK(AS2)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10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1"/>
  <dimension ref="A1:B25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2" x14ac:dyDescent="0.25">
      <c r="A1" s="411" t="s">
        <v>332</v>
      </c>
    </row>
    <row r="2" spans="1:2" x14ac:dyDescent="0.25">
      <c r="A2" t="s">
        <v>848</v>
      </c>
    </row>
    <row r="3" spans="1:2" x14ac:dyDescent="0.25">
      <c r="A3" t="s">
        <v>342</v>
      </c>
      <c r="B3" t="s">
        <v>359</v>
      </c>
    </row>
    <row r="4" spans="1:2" x14ac:dyDescent="0.25">
      <c r="A4">
        <v>0</v>
      </c>
      <c r="B4">
        <v>17</v>
      </c>
    </row>
    <row r="5" spans="1:2" x14ac:dyDescent="0.25">
      <c r="A5">
        <v>1</v>
      </c>
      <c r="B5">
        <v>18</v>
      </c>
    </row>
    <row r="6" spans="1:2" x14ac:dyDescent="0.25">
      <c r="A6">
        <v>2</v>
      </c>
      <c r="B6">
        <v>19</v>
      </c>
    </row>
    <row r="7" spans="1:2" x14ac:dyDescent="0.25">
      <c r="A7">
        <v>3</v>
      </c>
      <c r="B7">
        <v>20</v>
      </c>
    </row>
    <row r="8" spans="1:2" x14ac:dyDescent="0.25">
      <c r="A8">
        <v>4</v>
      </c>
      <c r="B8">
        <v>22</v>
      </c>
    </row>
    <row r="9" spans="1:2" x14ac:dyDescent="0.25">
      <c r="A9">
        <v>5</v>
      </c>
      <c r="B9">
        <v>23</v>
      </c>
    </row>
    <row r="10" spans="1:2" x14ac:dyDescent="0.25">
      <c r="A10">
        <v>6</v>
      </c>
      <c r="B10">
        <v>24</v>
      </c>
    </row>
    <row r="11" spans="1:2" x14ac:dyDescent="0.25">
      <c r="A11">
        <v>7</v>
      </c>
      <c r="B11">
        <v>25</v>
      </c>
    </row>
    <row r="12" spans="1:2" x14ac:dyDescent="0.25">
      <c r="A12">
        <v>8</v>
      </c>
      <c r="B12">
        <v>26</v>
      </c>
    </row>
    <row r="13" spans="1:2" x14ac:dyDescent="0.25">
      <c r="A13">
        <v>9</v>
      </c>
      <c r="B13">
        <v>27</v>
      </c>
    </row>
    <row r="14" spans="1:2" x14ac:dyDescent="0.25">
      <c r="A14">
        <v>10</v>
      </c>
      <c r="B14">
        <v>28</v>
      </c>
    </row>
    <row r="15" spans="1:2" x14ac:dyDescent="0.25">
      <c r="A15">
        <v>11</v>
      </c>
      <c r="B15">
        <v>29</v>
      </c>
    </row>
    <row r="16" spans="1:2" x14ac:dyDescent="0.25">
      <c r="A16">
        <v>12</v>
      </c>
      <c r="B16">
        <v>30</v>
      </c>
    </row>
    <row r="17" spans="1:2" x14ac:dyDescent="0.25">
      <c r="A17">
        <v>13</v>
      </c>
      <c r="B17">
        <v>31</v>
      </c>
    </row>
    <row r="18" spans="1:2" x14ac:dyDescent="0.25">
      <c r="A18">
        <v>14</v>
      </c>
      <c r="B18">
        <v>32</v>
      </c>
    </row>
    <row r="19" spans="1:2" x14ac:dyDescent="0.25">
      <c r="A19">
        <v>15</v>
      </c>
      <c r="B19">
        <v>33</v>
      </c>
    </row>
    <row r="20" spans="1:2" x14ac:dyDescent="0.25">
      <c r="A20">
        <v>16</v>
      </c>
      <c r="B20">
        <v>34</v>
      </c>
    </row>
    <row r="21" spans="1:2" x14ac:dyDescent="0.25">
      <c r="A21">
        <v>17</v>
      </c>
      <c r="B21">
        <v>35</v>
      </c>
    </row>
    <row r="22" spans="1:2" x14ac:dyDescent="0.25">
      <c r="A22">
        <v>18</v>
      </c>
      <c r="B22">
        <v>36</v>
      </c>
    </row>
    <row r="23" spans="1:2" x14ac:dyDescent="0.25">
      <c r="A23">
        <v>19</v>
      </c>
      <c r="B23">
        <v>37</v>
      </c>
    </row>
    <row r="24" spans="1:2" x14ac:dyDescent="0.25">
      <c r="A24">
        <v>20</v>
      </c>
      <c r="B24">
        <v>38</v>
      </c>
    </row>
    <row r="25" spans="1:2" x14ac:dyDescent="0.25">
      <c r="A25" t="s">
        <v>849</v>
      </c>
    </row>
  </sheetData>
  <dataValidations count="1">
    <dataValidation allowBlank="1" showInputMessage="1" showErrorMessage="1" sqref="A1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2"/>
  <dimension ref="A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1" x14ac:dyDescent="0.25">
      <c r="A1" s="411" t="s">
        <v>332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3"/>
  <dimension ref="A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3" width="28.5703125" customWidth="1"/>
  </cols>
  <sheetData>
    <row r="1" spans="1:1" x14ac:dyDescent="0.25">
      <c r="A1" t="s">
        <v>332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2">
    <pageSetUpPr fitToPage="1"/>
  </sheetPr>
  <dimension ref="A1:R19"/>
  <sheetViews>
    <sheetView showGridLines="0" topLeftCell="K1" workbookViewId="0">
      <selection activeCell="N13" sqref="N13"/>
    </sheetView>
  </sheetViews>
  <sheetFormatPr defaultRowHeight="15" x14ac:dyDescent="0.25"/>
  <cols>
    <col min="1" max="1" width="13.28515625" customWidth="1"/>
    <col min="2" max="2" width="16.28515625" bestFit="1" customWidth="1"/>
    <col min="3" max="3" width="14" bestFit="1" customWidth="1"/>
    <col min="4" max="4" width="10.7109375" bestFit="1" customWidth="1"/>
    <col min="5" max="5" width="13" bestFit="1" customWidth="1"/>
    <col min="6" max="6" width="11.140625" bestFit="1" customWidth="1"/>
    <col min="7" max="7" width="11.42578125" bestFit="1" customWidth="1"/>
    <col min="8" max="8" width="9.7109375" bestFit="1" customWidth="1"/>
    <col min="9" max="9" width="11.42578125" bestFit="1" customWidth="1"/>
    <col min="10" max="10" width="160.140625" bestFit="1" customWidth="1"/>
    <col min="11" max="11" width="20" bestFit="1" customWidth="1"/>
    <col min="12" max="12" width="13.7109375" bestFit="1" customWidth="1"/>
    <col min="13" max="13" width="14.85546875" bestFit="1" customWidth="1"/>
    <col min="14" max="14" width="10.42578125" bestFit="1" customWidth="1"/>
    <col min="15" max="15" width="7.42578125" bestFit="1" customWidth="1"/>
    <col min="16" max="16" width="12.42578125" bestFit="1" customWidth="1"/>
    <col min="17" max="17" width="10.85546875" bestFit="1" customWidth="1"/>
    <col min="18" max="18" width="10.28515625" bestFit="1" customWidth="1"/>
  </cols>
  <sheetData>
    <row r="1" spans="1:18" x14ac:dyDescent="0.25">
      <c r="A1" t="s">
        <v>342</v>
      </c>
      <c r="B1" t="s">
        <v>83</v>
      </c>
      <c r="C1" t="s">
        <v>94</v>
      </c>
      <c r="D1" t="s">
        <v>93</v>
      </c>
      <c r="E1" t="s">
        <v>92</v>
      </c>
      <c r="F1" t="s">
        <v>91</v>
      </c>
      <c r="G1" t="s">
        <v>71</v>
      </c>
      <c r="H1" t="s">
        <v>90</v>
      </c>
      <c r="I1" t="s">
        <v>89</v>
      </c>
      <c r="J1" t="s">
        <v>88</v>
      </c>
      <c r="K1" t="s">
        <v>78</v>
      </c>
      <c r="L1" t="s">
        <v>87</v>
      </c>
      <c r="M1" t="s">
        <v>86</v>
      </c>
      <c r="N1" t="s">
        <v>41</v>
      </c>
      <c r="O1" t="s">
        <v>76</v>
      </c>
      <c r="P1" t="s">
        <v>75</v>
      </c>
      <c r="Q1" t="s">
        <v>33</v>
      </c>
      <c r="R1" t="s">
        <v>85</v>
      </c>
    </row>
    <row r="2" spans="1:18" x14ac:dyDescent="0.25">
      <c r="A2">
        <v>0</v>
      </c>
      <c r="B2" s="1">
        <v>43258</v>
      </c>
      <c r="C2">
        <v>51</v>
      </c>
      <c r="D2" t="s">
        <v>13</v>
      </c>
      <c r="E2" s="1"/>
      <c r="F2" s="1"/>
      <c r="G2" t="s">
        <v>4</v>
      </c>
      <c r="H2" t="s">
        <v>6</v>
      </c>
      <c r="I2" t="s">
        <v>11</v>
      </c>
      <c r="J2" t="s">
        <v>298</v>
      </c>
      <c r="K2" t="s">
        <v>2</v>
      </c>
      <c r="L2" t="s">
        <v>84</v>
      </c>
      <c r="M2" t="s">
        <v>6</v>
      </c>
      <c r="N2" t="s">
        <v>341</v>
      </c>
      <c r="O2" t="s">
        <v>3</v>
      </c>
      <c r="P2" t="s">
        <v>210</v>
      </c>
      <c r="Q2">
        <v>0</v>
      </c>
    </row>
    <row r="3" spans="1:18" x14ac:dyDescent="0.25">
      <c r="A3">
        <v>1</v>
      </c>
      <c r="B3" s="1">
        <v>43258</v>
      </c>
      <c r="C3">
        <v>52</v>
      </c>
      <c r="D3" t="s">
        <v>13</v>
      </c>
      <c r="E3" s="1"/>
      <c r="F3" s="1"/>
      <c r="G3" t="s">
        <v>4</v>
      </c>
      <c r="H3" t="s">
        <v>6</v>
      </c>
      <c r="I3" t="s">
        <v>11</v>
      </c>
      <c r="J3" t="s">
        <v>298</v>
      </c>
      <c r="K3" t="s">
        <v>2</v>
      </c>
      <c r="L3" t="s">
        <v>341</v>
      </c>
      <c r="M3" t="s">
        <v>341</v>
      </c>
      <c r="N3" t="s">
        <v>341</v>
      </c>
      <c r="O3" t="s">
        <v>3</v>
      </c>
      <c r="P3" t="s">
        <v>210</v>
      </c>
      <c r="Q3">
        <v>0</v>
      </c>
    </row>
    <row r="4" spans="1:18" x14ac:dyDescent="0.25">
      <c r="A4">
        <v>2</v>
      </c>
      <c r="B4" s="1">
        <v>43258</v>
      </c>
      <c r="C4">
        <v>53</v>
      </c>
      <c r="D4" t="s">
        <v>13</v>
      </c>
      <c r="E4" s="1"/>
      <c r="F4" s="1"/>
      <c r="G4" t="s">
        <v>4</v>
      </c>
      <c r="H4" t="s">
        <v>6</v>
      </c>
      <c r="I4" t="s">
        <v>11</v>
      </c>
      <c r="J4" t="s">
        <v>299</v>
      </c>
      <c r="K4" t="s">
        <v>2</v>
      </c>
      <c r="L4" t="s">
        <v>341</v>
      </c>
      <c r="M4" t="s">
        <v>341</v>
      </c>
      <c r="N4" t="s">
        <v>341</v>
      </c>
      <c r="O4" t="s">
        <v>3</v>
      </c>
      <c r="P4" t="s">
        <v>300</v>
      </c>
      <c r="Q4">
        <v>0</v>
      </c>
    </row>
    <row r="5" spans="1:18" x14ac:dyDescent="0.25">
      <c r="A5">
        <v>3</v>
      </c>
      <c r="B5" s="1">
        <v>43258</v>
      </c>
      <c r="C5">
        <v>54</v>
      </c>
      <c r="D5" t="s">
        <v>13</v>
      </c>
      <c r="E5" s="1"/>
      <c r="F5" s="1"/>
      <c r="G5" t="s">
        <v>4</v>
      </c>
      <c r="H5" t="s">
        <v>6</v>
      </c>
      <c r="I5" t="s">
        <v>11</v>
      </c>
      <c r="J5" t="s">
        <v>292</v>
      </c>
      <c r="K5" t="s">
        <v>2</v>
      </c>
      <c r="L5" t="s">
        <v>341</v>
      </c>
      <c r="M5" t="s">
        <v>341</v>
      </c>
      <c r="N5" t="s">
        <v>341</v>
      </c>
      <c r="O5" t="s">
        <v>3</v>
      </c>
      <c r="P5" t="s">
        <v>0</v>
      </c>
      <c r="Q5">
        <v>0</v>
      </c>
    </row>
    <row r="6" spans="1:18" x14ac:dyDescent="0.25">
      <c r="A6">
        <v>4</v>
      </c>
      <c r="B6" s="1">
        <v>43258</v>
      </c>
      <c r="C6">
        <v>55</v>
      </c>
      <c r="D6" t="s">
        <v>13</v>
      </c>
      <c r="E6" s="1"/>
      <c r="F6" s="1"/>
      <c r="G6" t="s">
        <v>4</v>
      </c>
      <c r="H6" t="s">
        <v>6</v>
      </c>
      <c r="I6" t="s">
        <v>11</v>
      </c>
      <c r="J6" t="s">
        <v>301</v>
      </c>
      <c r="K6" t="s">
        <v>302</v>
      </c>
      <c r="L6" t="s">
        <v>341</v>
      </c>
      <c r="M6" t="s">
        <v>341</v>
      </c>
      <c r="N6" t="s">
        <v>341</v>
      </c>
      <c r="O6" t="s">
        <v>3</v>
      </c>
      <c r="P6" t="s">
        <v>210</v>
      </c>
      <c r="Q6">
        <v>0</v>
      </c>
    </row>
    <row r="7" spans="1:18" x14ac:dyDescent="0.25">
      <c r="A7">
        <v>5</v>
      </c>
      <c r="B7" s="1">
        <v>43258</v>
      </c>
      <c r="C7">
        <v>56</v>
      </c>
      <c r="D7" t="s">
        <v>13</v>
      </c>
      <c r="E7" s="1"/>
      <c r="F7" s="1"/>
      <c r="G7" t="s">
        <v>4</v>
      </c>
      <c r="H7" t="s">
        <v>303</v>
      </c>
      <c r="I7" t="s">
        <v>11</v>
      </c>
      <c r="J7" t="s">
        <v>304</v>
      </c>
      <c r="K7" t="s">
        <v>302</v>
      </c>
      <c r="L7" t="s">
        <v>305</v>
      </c>
      <c r="M7" t="s">
        <v>6</v>
      </c>
      <c r="N7" t="s">
        <v>12</v>
      </c>
      <c r="O7" t="s">
        <v>3</v>
      </c>
      <c r="P7" t="s">
        <v>210</v>
      </c>
      <c r="Q7">
        <v>0</v>
      </c>
    </row>
    <row r="8" spans="1:18" x14ac:dyDescent="0.25">
      <c r="A8">
        <v>6</v>
      </c>
      <c r="B8" s="1">
        <v>43258</v>
      </c>
      <c r="C8">
        <v>57</v>
      </c>
      <c r="D8" t="s">
        <v>13</v>
      </c>
      <c r="E8" s="1"/>
      <c r="F8" s="1"/>
      <c r="G8" t="s">
        <v>341</v>
      </c>
      <c r="H8" t="s">
        <v>17</v>
      </c>
      <c r="I8" t="s">
        <v>11</v>
      </c>
      <c r="J8" t="s">
        <v>294</v>
      </c>
      <c r="L8" t="s">
        <v>341</v>
      </c>
      <c r="M8" t="s">
        <v>341</v>
      </c>
      <c r="N8" t="s">
        <v>341</v>
      </c>
      <c r="Q8">
        <v>0</v>
      </c>
      <c r="R8">
        <v>4</v>
      </c>
    </row>
    <row r="9" spans="1:18" x14ac:dyDescent="0.25">
      <c r="A9">
        <v>7</v>
      </c>
      <c r="B9" s="1">
        <v>43258</v>
      </c>
      <c r="C9">
        <v>58</v>
      </c>
      <c r="D9" t="s">
        <v>13</v>
      </c>
      <c r="E9" s="1"/>
      <c r="F9" s="1"/>
      <c r="G9" t="s">
        <v>341</v>
      </c>
      <c r="H9" t="s">
        <v>17</v>
      </c>
      <c r="I9" t="s">
        <v>11</v>
      </c>
      <c r="J9" t="s">
        <v>291</v>
      </c>
      <c r="L9" t="s">
        <v>341</v>
      </c>
      <c r="M9" t="s">
        <v>341</v>
      </c>
      <c r="N9" t="s">
        <v>341</v>
      </c>
      <c r="Q9">
        <v>0</v>
      </c>
      <c r="R9">
        <v>0</v>
      </c>
    </row>
    <row r="10" spans="1:18" x14ac:dyDescent="0.25">
      <c r="A10">
        <v>8</v>
      </c>
      <c r="B10" s="1">
        <v>43258</v>
      </c>
      <c r="C10">
        <v>59</v>
      </c>
      <c r="D10" t="s">
        <v>13</v>
      </c>
      <c r="E10" s="1"/>
      <c r="F10" s="1"/>
      <c r="G10" t="s">
        <v>341</v>
      </c>
      <c r="H10" t="s">
        <v>17</v>
      </c>
      <c r="I10" t="s">
        <v>11</v>
      </c>
      <c r="J10" t="s">
        <v>293</v>
      </c>
      <c r="L10" t="s">
        <v>341</v>
      </c>
      <c r="M10" t="s">
        <v>341</v>
      </c>
      <c r="N10" t="s">
        <v>341</v>
      </c>
      <c r="Q10">
        <v>0</v>
      </c>
      <c r="R10">
        <v>8</v>
      </c>
    </row>
    <row r="11" spans="1:18" x14ac:dyDescent="0.25">
      <c r="A11">
        <v>9</v>
      </c>
      <c r="B11" s="1">
        <v>43258</v>
      </c>
      <c r="C11">
        <v>60</v>
      </c>
      <c r="D11" t="s">
        <v>13</v>
      </c>
      <c r="E11" s="1"/>
      <c r="F11" s="1"/>
      <c r="G11" t="s">
        <v>341</v>
      </c>
      <c r="H11" t="s">
        <v>17</v>
      </c>
      <c r="I11" t="s">
        <v>11</v>
      </c>
      <c r="J11" t="s">
        <v>295</v>
      </c>
      <c r="L11" t="s">
        <v>341</v>
      </c>
      <c r="M11" t="s">
        <v>341</v>
      </c>
      <c r="N11" t="s">
        <v>341</v>
      </c>
      <c r="Q11">
        <v>0</v>
      </c>
      <c r="R11">
        <v>12</v>
      </c>
    </row>
    <row r="12" spans="1:18" x14ac:dyDescent="0.25">
      <c r="A12">
        <v>10</v>
      </c>
      <c r="B12" s="1">
        <v>43258</v>
      </c>
      <c r="C12">
        <v>61</v>
      </c>
      <c r="D12" t="s">
        <v>13</v>
      </c>
      <c r="E12" s="1"/>
      <c r="F12" s="1"/>
      <c r="G12" t="s">
        <v>341</v>
      </c>
      <c r="H12" t="s">
        <v>17</v>
      </c>
      <c r="I12" t="s">
        <v>11</v>
      </c>
      <c r="J12" t="s">
        <v>279</v>
      </c>
      <c r="L12" t="s">
        <v>341</v>
      </c>
      <c r="M12" t="s">
        <v>341</v>
      </c>
      <c r="N12" t="s">
        <v>341</v>
      </c>
      <c r="Q12">
        <v>0</v>
      </c>
      <c r="R12">
        <v>11</v>
      </c>
    </row>
    <row r="13" spans="1:18" x14ac:dyDescent="0.25">
      <c r="A13">
        <v>11</v>
      </c>
      <c r="B13" s="1">
        <v>43258</v>
      </c>
      <c r="C13">
        <v>62</v>
      </c>
      <c r="D13" t="s">
        <v>13</v>
      </c>
      <c r="E13" s="1"/>
      <c r="F13" s="1"/>
      <c r="G13" t="s">
        <v>341</v>
      </c>
      <c r="H13" t="s">
        <v>17</v>
      </c>
      <c r="I13" t="s">
        <v>11</v>
      </c>
      <c r="J13" t="s">
        <v>296</v>
      </c>
      <c r="L13" t="s">
        <v>341</v>
      </c>
      <c r="M13" t="s">
        <v>341</v>
      </c>
      <c r="N13" t="s">
        <v>341</v>
      </c>
      <c r="Q13">
        <v>0</v>
      </c>
      <c r="R13">
        <v>23</v>
      </c>
    </row>
    <row r="14" spans="1:18" x14ac:dyDescent="0.25">
      <c r="A14">
        <v>12</v>
      </c>
      <c r="B14" s="1">
        <v>43258</v>
      </c>
      <c r="C14">
        <v>64</v>
      </c>
      <c r="D14" t="s">
        <v>13</v>
      </c>
      <c r="E14" s="1"/>
      <c r="F14" s="1"/>
      <c r="G14" t="s">
        <v>4</v>
      </c>
      <c r="H14" t="s">
        <v>303</v>
      </c>
      <c r="I14" t="s">
        <v>11</v>
      </c>
      <c r="J14" t="s">
        <v>304</v>
      </c>
      <c r="K14" t="s">
        <v>314</v>
      </c>
      <c r="L14" t="s">
        <v>84</v>
      </c>
      <c r="M14" t="s">
        <v>6</v>
      </c>
      <c r="N14" t="s">
        <v>12</v>
      </c>
      <c r="O14" t="s">
        <v>3</v>
      </c>
      <c r="P14" t="s">
        <v>300</v>
      </c>
      <c r="Q14">
        <v>0</v>
      </c>
    </row>
    <row r="15" spans="1:18" x14ac:dyDescent="0.25">
      <c r="A15">
        <v>13</v>
      </c>
      <c r="B15" s="1">
        <v>43260</v>
      </c>
      <c r="C15">
        <v>67</v>
      </c>
      <c r="D15" t="s">
        <v>13</v>
      </c>
      <c r="E15" s="1">
        <v>25569</v>
      </c>
      <c r="F15" s="1">
        <v>25569</v>
      </c>
      <c r="G15" t="s">
        <v>341</v>
      </c>
      <c r="H15" t="s">
        <v>17</v>
      </c>
      <c r="I15" t="s">
        <v>11</v>
      </c>
      <c r="J15" t="s">
        <v>341</v>
      </c>
      <c r="L15" t="s">
        <v>341</v>
      </c>
      <c r="M15" t="s">
        <v>341</v>
      </c>
      <c r="N15" t="s">
        <v>341</v>
      </c>
      <c r="Q15">
        <v>0</v>
      </c>
      <c r="R15">
        <v>0</v>
      </c>
    </row>
    <row r="16" spans="1:18" x14ac:dyDescent="0.25">
      <c r="A16">
        <v>14</v>
      </c>
      <c r="B16" s="1">
        <v>43261</v>
      </c>
      <c r="C16">
        <v>69</v>
      </c>
      <c r="D16" t="s">
        <v>13</v>
      </c>
      <c r="E16" s="1">
        <v>43261</v>
      </c>
      <c r="F16" s="1">
        <v>43261</v>
      </c>
      <c r="G16" t="s">
        <v>4</v>
      </c>
      <c r="H16" t="s">
        <v>6</v>
      </c>
      <c r="I16" t="s">
        <v>11</v>
      </c>
      <c r="J16" t="s">
        <v>295</v>
      </c>
      <c r="L16" t="s">
        <v>84</v>
      </c>
      <c r="M16" t="s">
        <v>6</v>
      </c>
      <c r="N16" t="s">
        <v>634</v>
      </c>
      <c r="Q16">
        <v>849084365</v>
      </c>
      <c r="R16">
        <v>5</v>
      </c>
    </row>
    <row r="17" spans="1:18" x14ac:dyDescent="0.25">
      <c r="A17">
        <v>15</v>
      </c>
      <c r="B17" s="1">
        <v>43261</v>
      </c>
      <c r="C17">
        <v>70</v>
      </c>
      <c r="D17" t="s">
        <v>13</v>
      </c>
      <c r="E17" s="1">
        <v>25569</v>
      </c>
      <c r="F17" s="1">
        <v>25569</v>
      </c>
      <c r="G17" t="s">
        <v>341</v>
      </c>
      <c r="H17" t="s">
        <v>17</v>
      </c>
      <c r="I17" t="s">
        <v>11</v>
      </c>
      <c r="J17" t="s">
        <v>341</v>
      </c>
      <c r="L17" t="s">
        <v>341</v>
      </c>
      <c r="M17" t="s">
        <v>341</v>
      </c>
      <c r="N17" t="s">
        <v>341</v>
      </c>
      <c r="Q17">
        <v>0</v>
      </c>
      <c r="R17">
        <v>0</v>
      </c>
    </row>
    <row r="18" spans="1:18" x14ac:dyDescent="0.25">
      <c r="A18">
        <v>16</v>
      </c>
      <c r="B18" s="1">
        <v>43263</v>
      </c>
      <c r="C18">
        <v>71</v>
      </c>
      <c r="D18" t="s">
        <v>13</v>
      </c>
      <c r="E18" s="1">
        <v>25569</v>
      </c>
      <c r="F18" s="1">
        <v>25569</v>
      </c>
      <c r="G18" t="s">
        <v>341</v>
      </c>
      <c r="H18" t="s">
        <v>17</v>
      </c>
      <c r="I18" t="s">
        <v>11</v>
      </c>
      <c r="J18" t="s">
        <v>341</v>
      </c>
      <c r="K18" t="s">
        <v>341</v>
      </c>
      <c r="L18" t="s">
        <v>341</v>
      </c>
      <c r="M18" t="s">
        <v>341</v>
      </c>
      <c r="N18" t="s">
        <v>341</v>
      </c>
      <c r="O18" t="s">
        <v>341</v>
      </c>
      <c r="P18" t="s">
        <v>341</v>
      </c>
      <c r="Q18">
        <v>0</v>
      </c>
      <c r="R18">
        <v>0</v>
      </c>
    </row>
    <row r="19" spans="1:18" x14ac:dyDescent="0.25">
      <c r="A19">
        <v>17</v>
      </c>
      <c r="B19" s="1">
        <v>43263</v>
      </c>
      <c r="C19">
        <v>72</v>
      </c>
      <c r="D19" t="s">
        <v>13</v>
      </c>
      <c r="E19" s="1">
        <v>25569</v>
      </c>
      <c r="F19" s="1">
        <v>25569</v>
      </c>
      <c r="G19" t="s">
        <v>341</v>
      </c>
      <c r="H19" t="s">
        <v>17</v>
      </c>
      <c r="I19" t="s">
        <v>11</v>
      </c>
      <c r="J19" t="s">
        <v>279</v>
      </c>
      <c r="L19" t="s">
        <v>341</v>
      </c>
      <c r="M19" t="s">
        <v>341</v>
      </c>
      <c r="N19" t="s">
        <v>341</v>
      </c>
      <c r="Q19">
        <v>0</v>
      </c>
      <c r="R19">
        <v>6</v>
      </c>
    </row>
  </sheetData>
  <conditionalFormatting sqref="B2:B19 D2:J19 L2:N19 Q2:Q19">
    <cfRule type="expression" dxfId="164" priority="1">
      <formula>_xludf.ISBLANK(B2)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33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3">
    <pageSetUpPr fitToPage="1"/>
  </sheetPr>
  <dimension ref="A1:R10"/>
  <sheetViews>
    <sheetView showGridLines="0" topLeftCell="B1" workbookViewId="0">
      <selection activeCell="E2" sqref="E2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4.7109375" bestFit="1" customWidth="1"/>
    <col min="4" max="4" width="16.28515625" bestFit="1" customWidth="1"/>
    <col min="5" max="5" width="22.140625" bestFit="1" customWidth="1"/>
    <col min="6" max="6" width="8.28515625" bestFit="1" customWidth="1"/>
    <col min="7" max="7" width="11.28515625" bestFit="1" customWidth="1"/>
    <col min="8" max="8" width="7.42578125" bestFit="1" customWidth="1"/>
    <col min="9" max="9" width="10.85546875" bestFit="1" customWidth="1"/>
    <col min="10" max="10" width="11.28515625" bestFit="1" customWidth="1"/>
    <col min="11" max="11" width="35" bestFit="1" customWidth="1"/>
    <col min="12" max="12" width="8.7109375" bestFit="1" customWidth="1"/>
    <col min="13" max="13" width="16.140625" bestFit="1" customWidth="1"/>
    <col min="14" max="14" width="9.7109375" bestFit="1" customWidth="1"/>
    <col min="15" max="15" width="11.5703125" bestFit="1" customWidth="1"/>
    <col min="16" max="16" width="10.42578125" bestFit="1" customWidth="1"/>
    <col min="17" max="17" width="11.85546875" bestFit="1" customWidth="1"/>
    <col min="18" max="18" width="11.42578125" bestFit="1" customWidth="1"/>
  </cols>
  <sheetData>
    <row r="1" spans="1:18" x14ac:dyDescent="0.25">
      <c r="A1" t="s">
        <v>342</v>
      </c>
      <c r="B1" t="s">
        <v>83</v>
      </c>
      <c r="C1" t="s">
        <v>105</v>
      </c>
      <c r="D1" t="s">
        <v>82</v>
      </c>
      <c r="E1" t="s">
        <v>78</v>
      </c>
      <c r="F1" t="s">
        <v>75</v>
      </c>
      <c r="G1" t="s">
        <v>104</v>
      </c>
      <c r="H1" t="s">
        <v>76</v>
      </c>
      <c r="I1" t="s">
        <v>33</v>
      </c>
      <c r="J1" t="s">
        <v>103</v>
      </c>
      <c r="K1" t="s">
        <v>102</v>
      </c>
      <c r="L1" t="s">
        <v>101</v>
      </c>
      <c r="M1" t="s">
        <v>100</v>
      </c>
      <c r="N1" t="s">
        <v>99</v>
      </c>
      <c r="O1" t="s">
        <v>98</v>
      </c>
      <c r="P1" t="s">
        <v>41</v>
      </c>
      <c r="Q1" t="s">
        <v>97</v>
      </c>
      <c r="R1" t="s">
        <v>96</v>
      </c>
    </row>
    <row r="2" spans="1:18" x14ac:dyDescent="0.25">
      <c r="A2">
        <v>0</v>
      </c>
      <c r="B2" s="1">
        <v>43253</v>
      </c>
      <c r="C2">
        <v>29</v>
      </c>
      <c r="D2">
        <v>3</v>
      </c>
      <c r="E2" t="s">
        <v>2</v>
      </c>
      <c r="F2">
        <v>20</v>
      </c>
      <c r="G2" t="s">
        <v>95</v>
      </c>
      <c r="H2" t="s">
        <v>3</v>
      </c>
      <c r="I2" t="s">
        <v>8</v>
      </c>
      <c r="J2" t="s">
        <v>7</v>
      </c>
      <c r="K2" t="s">
        <v>341</v>
      </c>
      <c r="L2" s="1"/>
      <c r="M2" t="s">
        <v>341</v>
      </c>
      <c r="N2" s="1"/>
      <c r="O2" t="s">
        <v>341</v>
      </c>
      <c r="P2" t="s">
        <v>341</v>
      </c>
      <c r="Q2" t="s">
        <v>341</v>
      </c>
      <c r="R2" t="s">
        <v>11</v>
      </c>
    </row>
    <row r="3" spans="1:18" x14ac:dyDescent="0.25">
      <c r="A3">
        <v>1</v>
      </c>
      <c r="B3" s="1">
        <v>43258</v>
      </c>
      <c r="C3">
        <v>30</v>
      </c>
      <c r="D3">
        <v>6609</v>
      </c>
      <c r="E3" t="s">
        <v>306</v>
      </c>
      <c r="F3">
        <v>19</v>
      </c>
      <c r="G3" t="s">
        <v>307</v>
      </c>
      <c r="H3" t="s">
        <v>3</v>
      </c>
      <c r="I3" t="s">
        <v>308</v>
      </c>
      <c r="J3" t="s">
        <v>309</v>
      </c>
      <c r="K3" t="s">
        <v>310</v>
      </c>
      <c r="L3" s="1">
        <v>43257</v>
      </c>
      <c r="M3" t="s">
        <v>311</v>
      </c>
      <c r="N3" s="1">
        <v>43257</v>
      </c>
      <c r="O3" t="s">
        <v>312</v>
      </c>
      <c r="P3" t="s">
        <v>12</v>
      </c>
      <c r="Q3" t="s">
        <v>313</v>
      </c>
      <c r="R3" t="s">
        <v>11</v>
      </c>
    </row>
    <row r="4" spans="1:18" x14ac:dyDescent="0.25">
      <c r="A4">
        <v>2</v>
      </c>
      <c r="B4" s="1">
        <v>43258</v>
      </c>
      <c r="C4">
        <v>31</v>
      </c>
      <c r="D4">
        <v>3</v>
      </c>
      <c r="E4" t="s">
        <v>2</v>
      </c>
      <c r="F4">
        <v>4</v>
      </c>
      <c r="G4" t="s">
        <v>315</v>
      </c>
      <c r="H4" t="s">
        <v>3</v>
      </c>
      <c r="I4" t="s">
        <v>8</v>
      </c>
      <c r="J4" t="s">
        <v>7</v>
      </c>
      <c r="K4" t="s">
        <v>310</v>
      </c>
      <c r="L4" s="1"/>
      <c r="M4" t="s">
        <v>311</v>
      </c>
      <c r="N4" s="1">
        <v>43257</v>
      </c>
      <c r="O4" t="s">
        <v>312</v>
      </c>
      <c r="P4" t="s">
        <v>12</v>
      </c>
      <c r="Q4" t="s">
        <v>313</v>
      </c>
      <c r="R4" t="s">
        <v>11</v>
      </c>
    </row>
    <row r="5" spans="1:18" x14ac:dyDescent="0.25">
      <c r="A5">
        <v>3</v>
      </c>
      <c r="B5" s="1">
        <v>43258</v>
      </c>
      <c r="C5">
        <v>32</v>
      </c>
      <c r="D5">
        <v>3</v>
      </c>
      <c r="E5" t="s">
        <v>2</v>
      </c>
      <c r="F5">
        <v>4</v>
      </c>
      <c r="G5" t="s">
        <v>315</v>
      </c>
      <c r="H5" t="s">
        <v>3</v>
      </c>
      <c r="I5" t="s">
        <v>8</v>
      </c>
      <c r="J5" t="s">
        <v>7</v>
      </c>
      <c r="K5" t="s">
        <v>316</v>
      </c>
      <c r="L5" s="1"/>
      <c r="M5" t="s">
        <v>311</v>
      </c>
      <c r="N5" s="1">
        <v>43258</v>
      </c>
      <c r="O5" t="s">
        <v>312</v>
      </c>
      <c r="P5" t="s">
        <v>341</v>
      </c>
      <c r="Q5" t="s">
        <v>313</v>
      </c>
      <c r="R5" t="s">
        <v>11</v>
      </c>
    </row>
    <row r="6" spans="1:18" x14ac:dyDescent="0.25">
      <c r="A6">
        <v>4</v>
      </c>
      <c r="B6" s="1">
        <v>43258</v>
      </c>
      <c r="C6">
        <v>33</v>
      </c>
      <c r="D6">
        <v>3</v>
      </c>
      <c r="E6" t="s">
        <v>2</v>
      </c>
      <c r="F6">
        <v>4</v>
      </c>
      <c r="G6" t="s">
        <v>315</v>
      </c>
      <c r="H6" t="s">
        <v>3</v>
      </c>
      <c r="I6" t="s">
        <v>8</v>
      </c>
      <c r="J6" t="s">
        <v>7</v>
      </c>
      <c r="K6" t="s">
        <v>317</v>
      </c>
      <c r="L6" s="1"/>
      <c r="M6" t="s">
        <v>311</v>
      </c>
      <c r="N6" s="1">
        <v>43258</v>
      </c>
      <c r="O6" t="s">
        <v>312</v>
      </c>
      <c r="P6" t="s">
        <v>12</v>
      </c>
      <c r="Q6" t="s">
        <v>313</v>
      </c>
      <c r="R6" t="s">
        <v>11</v>
      </c>
    </row>
    <row r="7" spans="1:18" x14ac:dyDescent="0.25">
      <c r="A7">
        <v>5</v>
      </c>
      <c r="B7" s="1">
        <v>43258</v>
      </c>
      <c r="C7">
        <v>34</v>
      </c>
      <c r="D7">
        <v>3</v>
      </c>
      <c r="E7" t="s">
        <v>2</v>
      </c>
      <c r="F7">
        <v>4</v>
      </c>
      <c r="G7" t="s">
        <v>315</v>
      </c>
      <c r="H7" t="s">
        <v>3</v>
      </c>
      <c r="I7" t="s">
        <v>8</v>
      </c>
      <c r="J7" t="s">
        <v>7</v>
      </c>
      <c r="K7" t="s">
        <v>318</v>
      </c>
      <c r="L7" s="1"/>
      <c r="M7" t="s">
        <v>311</v>
      </c>
      <c r="N7" s="1">
        <v>43265</v>
      </c>
      <c r="O7" t="s">
        <v>341</v>
      </c>
      <c r="P7" t="s">
        <v>341</v>
      </c>
      <c r="Q7" t="s">
        <v>313</v>
      </c>
      <c r="R7" t="s">
        <v>11</v>
      </c>
    </row>
    <row r="8" spans="1:18" x14ac:dyDescent="0.25">
      <c r="A8">
        <v>6</v>
      </c>
      <c r="B8" s="1">
        <v>43258</v>
      </c>
      <c r="C8">
        <v>35</v>
      </c>
      <c r="D8">
        <v>3</v>
      </c>
      <c r="E8" t="s">
        <v>2</v>
      </c>
      <c r="F8">
        <v>4</v>
      </c>
      <c r="G8" t="s">
        <v>315</v>
      </c>
      <c r="H8" t="s">
        <v>3</v>
      </c>
      <c r="I8" t="s">
        <v>8</v>
      </c>
      <c r="J8" t="s">
        <v>7</v>
      </c>
      <c r="K8" t="s">
        <v>319</v>
      </c>
      <c r="L8" s="1"/>
      <c r="M8" t="s">
        <v>311</v>
      </c>
      <c r="N8" s="1"/>
      <c r="O8" t="s">
        <v>312</v>
      </c>
      <c r="P8" t="s">
        <v>12</v>
      </c>
      <c r="Q8" t="s">
        <v>313</v>
      </c>
      <c r="R8" t="s">
        <v>11</v>
      </c>
    </row>
    <row r="9" spans="1:18" x14ac:dyDescent="0.25">
      <c r="A9">
        <v>7</v>
      </c>
      <c r="B9" s="1">
        <v>43258</v>
      </c>
      <c r="C9">
        <v>36</v>
      </c>
      <c r="D9">
        <v>3</v>
      </c>
      <c r="E9" t="s">
        <v>2</v>
      </c>
      <c r="F9">
        <v>4</v>
      </c>
      <c r="G9" t="s">
        <v>315</v>
      </c>
      <c r="H9" t="s">
        <v>3</v>
      </c>
      <c r="I9" t="s">
        <v>8</v>
      </c>
      <c r="J9" t="s">
        <v>7</v>
      </c>
      <c r="K9" t="s">
        <v>320</v>
      </c>
      <c r="L9" s="1"/>
      <c r="M9" t="s">
        <v>341</v>
      </c>
      <c r="N9" s="1"/>
      <c r="O9" t="s">
        <v>341</v>
      </c>
      <c r="P9" t="s">
        <v>341</v>
      </c>
      <c r="Q9" t="s">
        <v>341</v>
      </c>
      <c r="R9" t="s">
        <v>11</v>
      </c>
    </row>
    <row r="10" spans="1:18" x14ac:dyDescent="0.25">
      <c r="A10">
        <v>8</v>
      </c>
      <c r="B10" s="1">
        <v>43260</v>
      </c>
      <c r="C10">
        <v>39</v>
      </c>
      <c r="D10">
        <v>256</v>
      </c>
      <c r="E10" t="s">
        <v>691</v>
      </c>
      <c r="F10">
        <v>2</v>
      </c>
      <c r="G10" t="s">
        <v>341</v>
      </c>
      <c r="H10" t="s">
        <v>3</v>
      </c>
      <c r="I10" t="s">
        <v>341</v>
      </c>
      <c r="J10" t="s">
        <v>692</v>
      </c>
      <c r="K10" t="s">
        <v>310</v>
      </c>
      <c r="L10" s="1">
        <v>25569</v>
      </c>
      <c r="M10" t="s">
        <v>311</v>
      </c>
      <c r="N10" s="1">
        <v>25569</v>
      </c>
      <c r="O10" t="s">
        <v>341</v>
      </c>
      <c r="P10" t="s">
        <v>341</v>
      </c>
      <c r="Q10" t="s">
        <v>341</v>
      </c>
      <c r="R10" t="s">
        <v>11</v>
      </c>
    </row>
  </sheetData>
  <conditionalFormatting sqref="B2:B10">
    <cfRule type="expression" dxfId="160" priority="1">
      <formula>_xludf.ISBLANK(B2)</formula>
    </cfRule>
  </conditionalFormatting>
  <conditionalFormatting sqref="D2:D10">
    <cfRule type="expression" dxfId="159" priority="2">
      <formula>_xludf.ISBLANK(D2)</formula>
    </cfRule>
  </conditionalFormatting>
  <conditionalFormatting sqref="E2:E10">
    <cfRule type="expression" dxfId="158" priority="3">
      <formula>_xludf.ISBLANK(E2)</formula>
    </cfRule>
  </conditionalFormatting>
  <conditionalFormatting sqref="F2:F10">
    <cfRule type="expression" dxfId="157" priority="4">
      <formula>_xludf.ISBLANK(F2)</formula>
    </cfRule>
  </conditionalFormatting>
  <conditionalFormatting sqref="G2:G10">
    <cfRule type="expression" dxfId="156" priority="5">
      <formula>_xludf.ISBLANK(G2)</formula>
    </cfRule>
  </conditionalFormatting>
  <conditionalFormatting sqref="H2:H10">
    <cfRule type="expression" dxfId="155" priority="6">
      <formula>_xludf.ISBLANK(H2)</formula>
    </cfRule>
  </conditionalFormatting>
  <conditionalFormatting sqref="I2:I10">
    <cfRule type="expression" dxfId="154" priority="7">
      <formula>_xludf.ISBLANK(I2)</formula>
    </cfRule>
  </conditionalFormatting>
  <conditionalFormatting sqref="J2:J10">
    <cfRule type="expression" dxfId="153" priority="8">
      <formula>_xludf.ISBLANK(J2)</formula>
    </cfRule>
  </conditionalFormatting>
  <conditionalFormatting sqref="K2:K10">
    <cfRule type="expression" dxfId="152" priority="9">
      <formula>_xludf.ISBLANK(K2)</formula>
    </cfRule>
  </conditionalFormatting>
  <conditionalFormatting sqref="L2:L10">
    <cfRule type="expression" dxfId="151" priority="10">
      <formula>_xludf.ISBLANK(L2)</formula>
    </cfRule>
  </conditionalFormatting>
  <conditionalFormatting sqref="M2:M10">
    <cfRule type="expression" dxfId="150" priority="11">
      <formula>_xludf.ISBLANK(M2)</formula>
    </cfRule>
  </conditionalFormatting>
  <conditionalFormatting sqref="N2:N10">
    <cfRule type="expression" dxfId="149" priority="12">
      <formula>_xludf.ISBLANK(N2)</formula>
    </cfRule>
  </conditionalFormatting>
  <conditionalFormatting sqref="O2:O10">
    <cfRule type="expression" dxfId="148" priority="13">
      <formula>_xludf.ISBLANK(O2)</formula>
    </cfRule>
  </conditionalFormatting>
  <conditionalFormatting sqref="P2:P10">
    <cfRule type="expression" dxfId="147" priority="14">
      <formula>_xludf.ISBLANK(P2)</formula>
    </cfRule>
  </conditionalFormatting>
  <conditionalFormatting sqref="Q2:Q10">
    <cfRule type="expression" dxfId="146" priority="15">
      <formula>_xludf.ISBLANK(Q2)</formula>
    </cfRule>
  </conditionalFormatting>
  <conditionalFormatting sqref="R2:R10">
    <cfRule type="expression" dxfId="145" priority="16">
      <formula>_xludf.ISBLANK(R2)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38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4">
    <pageSetUpPr fitToPage="1"/>
  </sheetPr>
  <dimension ref="A1:Z15"/>
  <sheetViews>
    <sheetView showGridLines="0" topLeftCell="F1" workbookViewId="0">
      <selection activeCell="L6" sqref="L6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3.28515625" bestFit="1" customWidth="1"/>
    <col min="4" max="4" width="18" bestFit="1" customWidth="1"/>
    <col min="5" max="5" width="16.28515625" bestFit="1" customWidth="1"/>
    <col min="6" max="6" width="11.42578125" bestFit="1" customWidth="1"/>
    <col min="7" max="7" width="10.85546875" bestFit="1" customWidth="1"/>
    <col min="8" max="8" width="12.42578125" bestFit="1" customWidth="1"/>
    <col min="9" max="9" width="11.7109375" bestFit="1" customWidth="1"/>
    <col min="10" max="10" width="9.7109375" bestFit="1" customWidth="1"/>
    <col min="11" max="11" width="11.140625" bestFit="1" customWidth="1"/>
    <col min="12" max="12" width="12.5703125" bestFit="1" customWidth="1"/>
    <col min="13" max="13" width="22.5703125" bestFit="1" customWidth="1"/>
    <col min="14" max="14" width="7" bestFit="1" customWidth="1"/>
    <col min="15" max="15" width="11.85546875" bestFit="1" customWidth="1"/>
    <col min="16" max="16" width="8.28515625" bestFit="1" customWidth="1"/>
    <col min="17" max="17" width="12.85546875" bestFit="1" customWidth="1"/>
    <col min="18" max="18" width="14.140625" bestFit="1" customWidth="1"/>
    <col min="19" max="19" width="11.5703125" bestFit="1" customWidth="1"/>
    <col min="20" max="20" width="13.42578125" bestFit="1" customWidth="1"/>
    <col min="21" max="21" width="8.5703125" bestFit="1" customWidth="1"/>
    <col min="22" max="22" width="14" bestFit="1" customWidth="1"/>
    <col min="23" max="23" width="18.42578125" bestFit="1" customWidth="1"/>
    <col min="24" max="24" width="20.42578125" bestFit="1" customWidth="1"/>
    <col min="25" max="25" width="9.7109375" bestFit="1" customWidth="1"/>
    <col min="26" max="26" width="11.42578125" bestFit="1" customWidth="1"/>
  </cols>
  <sheetData>
    <row r="1" spans="1:26" x14ac:dyDescent="0.25">
      <c r="A1" t="s">
        <v>342</v>
      </c>
      <c r="B1" t="s">
        <v>83</v>
      </c>
      <c r="C1" t="s">
        <v>123</v>
      </c>
      <c r="D1" t="s">
        <v>122</v>
      </c>
      <c r="E1" t="s">
        <v>82</v>
      </c>
      <c r="F1" t="s">
        <v>71</v>
      </c>
      <c r="G1" t="s">
        <v>70</v>
      </c>
      <c r="H1" t="s">
        <v>68</v>
      </c>
      <c r="I1" t="s">
        <v>67</v>
      </c>
      <c r="J1" t="s">
        <v>36</v>
      </c>
      <c r="K1" t="s">
        <v>121</v>
      </c>
      <c r="L1" t="s">
        <v>120</v>
      </c>
      <c r="M1" t="s">
        <v>78</v>
      </c>
      <c r="N1" t="s">
        <v>119</v>
      </c>
      <c r="O1" t="s">
        <v>118</v>
      </c>
      <c r="P1" t="s">
        <v>75</v>
      </c>
      <c r="Q1" t="s">
        <v>76</v>
      </c>
      <c r="R1" t="s">
        <v>117</v>
      </c>
      <c r="S1" t="s">
        <v>116</v>
      </c>
      <c r="T1" t="s">
        <v>115</v>
      </c>
      <c r="U1" t="s">
        <v>114</v>
      </c>
      <c r="V1" t="s">
        <v>113</v>
      </c>
      <c r="W1" t="s">
        <v>112</v>
      </c>
      <c r="X1" t="s">
        <v>111</v>
      </c>
      <c r="Y1" t="s">
        <v>101</v>
      </c>
      <c r="Z1" t="s">
        <v>96</v>
      </c>
    </row>
    <row r="2" spans="1:26" x14ac:dyDescent="0.25">
      <c r="A2">
        <v>0</v>
      </c>
      <c r="B2" s="1">
        <v>43258</v>
      </c>
      <c r="C2" s="1">
        <v>43264</v>
      </c>
      <c r="D2">
        <v>40</v>
      </c>
      <c r="E2">
        <v>3</v>
      </c>
      <c r="F2" t="s">
        <v>4</v>
      </c>
      <c r="G2" t="s">
        <v>6</v>
      </c>
      <c r="H2" t="s">
        <v>107</v>
      </c>
      <c r="I2" t="s">
        <v>108</v>
      </c>
      <c r="J2" s="1">
        <v>25569</v>
      </c>
      <c r="K2" t="s">
        <v>341</v>
      </c>
      <c r="L2" t="s">
        <v>341</v>
      </c>
      <c r="M2" t="s">
        <v>721</v>
      </c>
      <c r="N2" t="s">
        <v>9</v>
      </c>
      <c r="O2" t="s">
        <v>109</v>
      </c>
      <c r="P2">
        <v>4</v>
      </c>
      <c r="Q2" t="s">
        <v>106</v>
      </c>
      <c r="R2" t="s">
        <v>341</v>
      </c>
      <c r="S2" t="s">
        <v>15</v>
      </c>
      <c r="T2" t="s">
        <v>321</v>
      </c>
      <c r="U2" t="s">
        <v>321</v>
      </c>
      <c r="V2" t="s">
        <v>341</v>
      </c>
      <c r="W2" t="s">
        <v>341</v>
      </c>
      <c r="X2" t="s">
        <v>341</v>
      </c>
      <c r="Y2" s="1">
        <v>25569</v>
      </c>
      <c r="Z2" t="s">
        <v>11</v>
      </c>
    </row>
    <row r="3" spans="1:26" x14ac:dyDescent="0.25">
      <c r="A3">
        <v>1</v>
      </c>
      <c r="B3" s="1">
        <v>43258</v>
      </c>
      <c r="C3" s="1">
        <v>43261</v>
      </c>
      <c r="D3">
        <v>41</v>
      </c>
      <c r="E3">
        <v>6609</v>
      </c>
      <c r="F3" t="s">
        <v>322</v>
      </c>
      <c r="G3" t="s">
        <v>6</v>
      </c>
      <c r="H3" t="s">
        <v>323</v>
      </c>
      <c r="I3" t="s">
        <v>324</v>
      </c>
      <c r="J3" s="1">
        <v>25569</v>
      </c>
      <c r="K3" t="s">
        <v>341</v>
      </c>
      <c r="L3" t="s">
        <v>341</v>
      </c>
      <c r="M3" t="s">
        <v>325</v>
      </c>
      <c r="N3" t="s">
        <v>9</v>
      </c>
      <c r="O3" t="s">
        <v>326</v>
      </c>
      <c r="P3">
        <v>19</v>
      </c>
      <c r="Q3" t="s">
        <v>106</v>
      </c>
      <c r="R3" t="s">
        <v>15</v>
      </c>
      <c r="S3" t="s">
        <v>321</v>
      </c>
      <c r="T3" t="s">
        <v>321</v>
      </c>
      <c r="U3" t="s">
        <v>15</v>
      </c>
      <c r="V3" t="s">
        <v>321</v>
      </c>
      <c r="W3" t="s">
        <v>321</v>
      </c>
      <c r="X3" t="s">
        <v>15</v>
      </c>
      <c r="Y3" s="1">
        <v>43259</v>
      </c>
      <c r="Z3" t="s">
        <v>11</v>
      </c>
    </row>
    <row r="4" spans="1:26" x14ac:dyDescent="0.25">
      <c r="A4">
        <v>2</v>
      </c>
      <c r="B4" s="1">
        <v>43258</v>
      </c>
      <c r="C4" s="1">
        <v>43258</v>
      </c>
      <c r="D4">
        <v>44</v>
      </c>
      <c r="E4">
        <v>256</v>
      </c>
      <c r="F4" t="s">
        <v>322</v>
      </c>
      <c r="G4" t="s">
        <v>327</v>
      </c>
      <c r="H4" t="s">
        <v>323</v>
      </c>
      <c r="I4" t="s">
        <v>328</v>
      </c>
      <c r="J4" s="1"/>
      <c r="K4" t="s">
        <v>341</v>
      </c>
      <c r="L4" t="s">
        <v>341</v>
      </c>
      <c r="M4" t="s">
        <v>329</v>
      </c>
      <c r="N4" t="s">
        <v>9</v>
      </c>
      <c r="O4" t="s">
        <v>330</v>
      </c>
      <c r="P4">
        <v>0</v>
      </c>
      <c r="Q4" t="s">
        <v>3</v>
      </c>
      <c r="R4" t="s">
        <v>321</v>
      </c>
      <c r="S4" t="s">
        <v>15</v>
      </c>
      <c r="T4" t="s">
        <v>321</v>
      </c>
      <c r="U4" t="s">
        <v>15</v>
      </c>
      <c r="V4" t="s">
        <v>321</v>
      </c>
      <c r="W4" t="s">
        <v>15</v>
      </c>
      <c r="X4" t="s">
        <v>321</v>
      </c>
      <c r="Y4" s="1">
        <v>43137</v>
      </c>
      <c r="Z4" t="s">
        <v>11</v>
      </c>
    </row>
    <row r="5" spans="1:26" x14ac:dyDescent="0.25">
      <c r="A5">
        <v>3</v>
      </c>
      <c r="B5" s="1">
        <v>43258</v>
      </c>
      <c r="C5" s="1">
        <v>43258</v>
      </c>
      <c r="D5">
        <v>46</v>
      </c>
      <c r="E5">
        <v>6609</v>
      </c>
      <c r="F5" t="s">
        <v>322</v>
      </c>
      <c r="G5" t="s">
        <v>6</v>
      </c>
      <c r="H5" t="s">
        <v>420</v>
      </c>
      <c r="I5" t="s">
        <v>324</v>
      </c>
      <c r="J5" s="1">
        <v>43264</v>
      </c>
      <c r="K5" t="s">
        <v>722</v>
      </c>
      <c r="L5" t="s">
        <v>312</v>
      </c>
      <c r="M5" t="s">
        <v>325</v>
      </c>
      <c r="N5" t="s">
        <v>9</v>
      </c>
      <c r="O5" t="s">
        <v>326</v>
      </c>
      <c r="P5">
        <v>19</v>
      </c>
      <c r="Q5" t="s">
        <v>297</v>
      </c>
      <c r="R5" t="s">
        <v>321</v>
      </c>
      <c r="S5" t="s">
        <v>321</v>
      </c>
      <c r="T5" t="s">
        <v>321</v>
      </c>
      <c r="U5" t="s">
        <v>321</v>
      </c>
      <c r="V5" t="s">
        <v>321</v>
      </c>
      <c r="W5" t="s">
        <v>321</v>
      </c>
      <c r="X5" t="s">
        <v>321</v>
      </c>
      <c r="Y5" s="1">
        <v>43271</v>
      </c>
      <c r="Z5" t="s">
        <v>11</v>
      </c>
    </row>
    <row r="6" spans="1:26" x14ac:dyDescent="0.25">
      <c r="A6">
        <v>4</v>
      </c>
      <c r="B6" s="1">
        <v>43259</v>
      </c>
      <c r="C6" s="1">
        <v>43261</v>
      </c>
      <c r="D6">
        <v>47</v>
      </c>
      <c r="E6">
        <v>3</v>
      </c>
      <c r="F6" t="s">
        <v>4</v>
      </c>
      <c r="G6" t="s">
        <v>6</v>
      </c>
      <c r="H6" t="s">
        <v>107</v>
      </c>
      <c r="I6" t="s">
        <v>108</v>
      </c>
      <c r="J6" s="1">
        <v>25569</v>
      </c>
      <c r="K6" t="s">
        <v>341</v>
      </c>
      <c r="L6" t="s">
        <v>341</v>
      </c>
      <c r="M6" t="s">
        <v>110</v>
      </c>
      <c r="N6" t="s">
        <v>9</v>
      </c>
      <c r="O6" t="s">
        <v>109</v>
      </c>
      <c r="P6">
        <v>4</v>
      </c>
      <c r="Q6" t="s">
        <v>106</v>
      </c>
      <c r="R6" t="s">
        <v>321</v>
      </c>
      <c r="S6" t="s">
        <v>341</v>
      </c>
      <c r="T6" t="s">
        <v>321</v>
      </c>
      <c r="U6" t="s">
        <v>15</v>
      </c>
      <c r="V6" t="s">
        <v>15</v>
      </c>
      <c r="W6" t="s">
        <v>321</v>
      </c>
      <c r="X6" t="s">
        <v>15</v>
      </c>
      <c r="Y6" s="1">
        <v>25569</v>
      </c>
      <c r="Z6" t="s">
        <v>11</v>
      </c>
    </row>
    <row r="7" spans="1:26" x14ac:dyDescent="0.25">
      <c r="A7">
        <v>5</v>
      </c>
      <c r="B7" s="1">
        <v>43259</v>
      </c>
      <c r="C7" s="1">
        <v>43259</v>
      </c>
      <c r="D7">
        <v>48</v>
      </c>
      <c r="E7">
        <v>3</v>
      </c>
      <c r="F7" t="s">
        <v>4</v>
      </c>
      <c r="G7" t="s">
        <v>6</v>
      </c>
      <c r="H7" t="s">
        <v>107</v>
      </c>
      <c r="I7" t="s">
        <v>108</v>
      </c>
      <c r="J7" s="1">
        <v>25569</v>
      </c>
      <c r="K7" t="s">
        <v>341</v>
      </c>
      <c r="L7" t="s">
        <v>341</v>
      </c>
      <c r="M7" t="s">
        <v>110</v>
      </c>
      <c r="N7" t="s">
        <v>341</v>
      </c>
      <c r="O7" t="s">
        <v>109</v>
      </c>
      <c r="P7">
        <v>4</v>
      </c>
      <c r="Q7" t="s">
        <v>341</v>
      </c>
      <c r="R7" t="s">
        <v>341</v>
      </c>
      <c r="S7" t="s">
        <v>341</v>
      </c>
      <c r="T7" t="s">
        <v>341</v>
      </c>
      <c r="U7" t="s">
        <v>341</v>
      </c>
      <c r="V7" t="s">
        <v>341</v>
      </c>
      <c r="W7" t="s">
        <v>341</v>
      </c>
      <c r="X7" t="s">
        <v>341</v>
      </c>
      <c r="Y7" s="1">
        <v>25569</v>
      </c>
      <c r="Z7" t="s">
        <v>11</v>
      </c>
    </row>
    <row r="8" spans="1:26" x14ac:dyDescent="0.25">
      <c r="A8">
        <v>6</v>
      </c>
      <c r="B8" s="1">
        <v>43259</v>
      </c>
      <c r="C8" s="1">
        <v>43260</v>
      </c>
      <c r="D8">
        <v>49</v>
      </c>
      <c r="E8">
        <v>3</v>
      </c>
      <c r="F8" t="s">
        <v>4</v>
      </c>
      <c r="G8" t="s">
        <v>6</v>
      </c>
      <c r="H8" t="s">
        <v>107</v>
      </c>
      <c r="I8" t="s">
        <v>108</v>
      </c>
      <c r="J8" s="1">
        <v>25569</v>
      </c>
      <c r="K8" t="s">
        <v>341</v>
      </c>
      <c r="L8" t="s">
        <v>341</v>
      </c>
      <c r="M8" t="s">
        <v>110</v>
      </c>
      <c r="N8" t="s">
        <v>331</v>
      </c>
      <c r="O8" t="s">
        <v>109</v>
      </c>
      <c r="P8">
        <v>4</v>
      </c>
      <c r="Q8" t="s">
        <v>106</v>
      </c>
      <c r="R8" t="s">
        <v>341</v>
      </c>
      <c r="S8" t="s">
        <v>15</v>
      </c>
      <c r="T8" t="s">
        <v>341</v>
      </c>
      <c r="U8" t="s">
        <v>341</v>
      </c>
      <c r="V8" t="s">
        <v>15</v>
      </c>
      <c r="W8" t="s">
        <v>341</v>
      </c>
      <c r="X8" t="s">
        <v>341</v>
      </c>
      <c r="Y8" s="1">
        <v>25569</v>
      </c>
      <c r="Z8" t="s">
        <v>11</v>
      </c>
    </row>
    <row r="9" spans="1:26" x14ac:dyDescent="0.25">
      <c r="A9">
        <v>7</v>
      </c>
      <c r="B9" s="1">
        <v>43259</v>
      </c>
      <c r="C9" s="1">
        <v>43259</v>
      </c>
      <c r="D9">
        <v>50</v>
      </c>
      <c r="E9">
        <v>3</v>
      </c>
      <c r="F9" t="s">
        <v>4</v>
      </c>
      <c r="G9" t="s">
        <v>6</v>
      </c>
      <c r="H9" t="s">
        <v>107</v>
      </c>
      <c r="I9" t="s">
        <v>108</v>
      </c>
      <c r="J9" s="1">
        <v>25569</v>
      </c>
      <c r="K9" t="s">
        <v>341</v>
      </c>
      <c r="L9" t="s">
        <v>341</v>
      </c>
      <c r="M9" t="s">
        <v>110</v>
      </c>
      <c r="N9" t="s">
        <v>9</v>
      </c>
      <c r="O9" t="s">
        <v>109</v>
      </c>
      <c r="P9">
        <v>4</v>
      </c>
      <c r="Q9" t="s">
        <v>3</v>
      </c>
      <c r="R9" t="s">
        <v>15</v>
      </c>
      <c r="S9" t="s">
        <v>15</v>
      </c>
      <c r="T9" t="s">
        <v>15</v>
      </c>
      <c r="U9" t="s">
        <v>15</v>
      </c>
      <c r="V9" t="s">
        <v>15</v>
      </c>
      <c r="W9" t="s">
        <v>15</v>
      </c>
      <c r="X9" t="s">
        <v>15</v>
      </c>
      <c r="Y9" s="1">
        <v>25569</v>
      </c>
      <c r="Z9" t="s">
        <v>11</v>
      </c>
    </row>
    <row r="10" spans="1:26" x14ac:dyDescent="0.25">
      <c r="A10">
        <v>8</v>
      </c>
      <c r="B10" s="1">
        <v>43259</v>
      </c>
      <c r="C10" s="1">
        <v>43259</v>
      </c>
      <c r="D10">
        <v>51</v>
      </c>
      <c r="E10">
        <v>6609</v>
      </c>
      <c r="F10" t="s">
        <v>322</v>
      </c>
      <c r="G10" t="s">
        <v>6</v>
      </c>
      <c r="H10" t="s">
        <v>323</v>
      </c>
      <c r="I10" t="s">
        <v>324</v>
      </c>
      <c r="J10" s="1">
        <v>25569</v>
      </c>
      <c r="K10" t="s">
        <v>341</v>
      </c>
      <c r="L10" t="s">
        <v>341</v>
      </c>
      <c r="M10" t="s">
        <v>325</v>
      </c>
      <c r="N10" t="s">
        <v>341</v>
      </c>
      <c r="O10" t="s">
        <v>326</v>
      </c>
      <c r="P10">
        <v>19</v>
      </c>
      <c r="Q10" t="s">
        <v>341</v>
      </c>
      <c r="R10" t="s">
        <v>341</v>
      </c>
      <c r="S10" t="s">
        <v>341</v>
      </c>
      <c r="T10" t="s">
        <v>321</v>
      </c>
      <c r="U10" t="s">
        <v>321</v>
      </c>
      <c r="V10" t="s">
        <v>341</v>
      </c>
      <c r="W10" t="s">
        <v>321</v>
      </c>
      <c r="X10" t="s">
        <v>321</v>
      </c>
      <c r="Y10" s="1">
        <v>25569</v>
      </c>
      <c r="Z10" t="s">
        <v>11</v>
      </c>
    </row>
    <row r="11" spans="1:26" x14ac:dyDescent="0.25">
      <c r="A11">
        <v>9</v>
      </c>
      <c r="B11" s="1">
        <v>43259</v>
      </c>
      <c r="C11" s="1">
        <v>43260</v>
      </c>
      <c r="D11">
        <v>52</v>
      </c>
      <c r="E11">
        <v>3</v>
      </c>
      <c r="F11" t="s">
        <v>4</v>
      </c>
      <c r="G11" t="s">
        <v>6</v>
      </c>
      <c r="H11" t="s">
        <v>107</v>
      </c>
      <c r="I11" t="s">
        <v>108</v>
      </c>
      <c r="J11" s="1">
        <v>25569</v>
      </c>
      <c r="K11" t="s">
        <v>341</v>
      </c>
      <c r="L11" t="s">
        <v>341</v>
      </c>
      <c r="M11" t="s">
        <v>110</v>
      </c>
      <c r="N11" t="s">
        <v>9</v>
      </c>
      <c r="O11" t="s">
        <v>109</v>
      </c>
      <c r="P11">
        <v>4</v>
      </c>
      <c r="Q11" t="s">
        <v>106</v>
      </c>
      <c r="R11" t="s">
        <v>341</v>
      </c>
      <c r="S11" t="s">
        <v>341</v>
      </c>
      <c r="T11" t="s">
        <v>321</v>
      </c>
      <c r="U11" t="s">
        <v>341</v>
      </c>
      <c r="V11" t="s">
        <v>321</v>
      </c>
      <c r="W11" t="s">
        <v>321</v>
      </c>
      <c r="X11" t="s">
        <v>341</v>
      </c>
      <c r="Y11" s="1">
        <v>25569</v>
      </c>
      <c r="Z11" t="s">
        <v>11</v>
      </c>
    </row>
    <row r="12" spans="1:26" x14ac:dyDescent="0.25">
      <c r="A12">
        <v>10</v>
      </c>
      <c r="B12" s="1">
        <v>43259</v>
      </c>
      <c r="C12" s="1">
        <v>43260</v>
      </c>
      <c r="D12">
        <v>55</v>
      </c>
      <c r="E12">
        <v>256</v>
      </c>
      <c r="F12" t="s">
        <v>322</v>
      </c>
      <c r="G12" t="s">
        <v>327</v>
      </c>
      <c r="H12" t="s">
        <v>323</v>
      </c>
      <c r="I12" t="s">
        <v>328</v>
      </c>
      <c r="J12" s="1">
        <v>25569</v>
      </c>
      <c r="K12" t="s">
        <v>341</v>
      </c>
      <c r="L12" t="s">
        <v>341</v>
      </c>
      <c r="M12" t="s">
        <v>329</v>
      </c>
      <c r="N12" t="s">
        <v>9</v>
      </c>
      <c r="O12" t="s">
        <v>330</v>
      </c>
      <c r="P12">
        <v>0</v>
      </c>
      <c r="Q12" t="s">
        <v>106</v>
      </c>
      <c r="R12" t="s">
        <v>341</v>
      </c>
      <c r="S12" t="s">
        <v>15</v>
      </c>
      <c r="T12" t="s">
        <v>321</v>
      </c>
      <c r="U12" t="s">
        <v>321</v>
      </c>
      <c r="W12" t="s">
        <v>15</v>
      </c>
      <c r="X12" t="s">
        <v>15</v>
      </c>
      <c r="Y12" s="1">
        <v>25569</v>
      </c>
      <c r="Z12" t="s">
        <v>11</v>
      </c>
    </row>
    <row r="13" spans="1:26" x14ac:dyDescent="0.25">
      <c r="A13">
        <v>11</v>
      </c>
      <c r="B13" s="1">
        <v>43260</v>
      </c>
      <c r="C13" s="1">
        <v>43260</v>
      </c>
      <c r="D13">
        <v>59</v>
      </c>
      <c r="E13">
        <v>256</v>
      </c>
      <c r="F13" t="s">
        <v>322</v>
      </c>
      <c r="G13" t="s">
        <v>327</v>
      </c>
      <c r="H13" t="s">
        <v>323</v>
      </c>
      <c r="I13" t="s">
        <v>328</v>
      </c>
      <c r="J13" s="1">
        <v>25569</v>
      </c>
      <c r="K13" t="s">
        <v>341</v>
      </c>
      <c r="L13" t="s">
        <v>341</v>
      </c>
      <c r="M13" t="s">
        <v>329</v>
      </c>
      <c r="N13" t="s">
        <v>9</v>
      </c>
      <c r="O13" t="s">
        <v>330</v>
      </c>
      <c r="P13">
        <v>0</v>
      </c>
      <c r="Q13" t="s">
        <v>106</v>
      </c>
      <c r="R13" t="s">
        <v>341</v>
      </c>
      <c r="S13" t="s">
        <v>341</v>
      </c>
      <c r="T13" t="s">
        <v>341</v>
      </c>
      <c r="U13" t="s">
        <v>341</v>
      </c>
      <c r="V13" t="s">
        <v>15</v>
      </c>
      <c r="W13" t="s">
        <v>341</v>
      </c>
      <c r="X13" t="s">
        <v>341</v>
      </c>
      <c r="Y13" s="1">
        <v>25569</v>
      </c>
      <c r="Z13" t="s">
        <v>11</v>
      </c>
    </row>
    <row r="14" spans="1:26" x14ac:dyDescent="0.25">
      <c r="A14">
        <v>12</v>
      </c>
      <c r="B14" s="1">
        <v>43260</v>
      </c>
      <c r="C14" s="1">
        <v>43260</v>
      </c>
      <c r="D14">
        <v>61</v>
      </c>
      <c r="E14">
        <v>6609</v>
      </c>
      <c r="F14" t="s">
        <v>322</v>
      </c>
      <c r="G14" t="s">
        <v>6</v>
      </c>
      <c r="H14" t="s">
        <v>323</v>
      </c>
      <c r="I14" t="s">
        <v>324</v>
      </c>
      <c r="J14" s="1">
        <v>25569</v>
      </c>
      <c r="K14" t="s">
        <v>341</v>
      </c>
      <c r="L14" t="s">
        <v>341</v>
      </c>
      <c r="M14" t="s">
        <v>325</v>
      </c>
      <c r="N14" t="s">
        <v>341</v>
      </c>
      <c r="O14" t="s">
        <v>326</v>
      </c>
      <c r="P14">
        <v>19</v>
      </c>
      <c r="Q14" t="s">
        <v>341</v>
      </c>
      <c r="R14" t="s">
        <v>341</v>
      </c>
      <c r="S14" t="s">
        <v>341</v>
      </c>
      <c r="T14" t="s">
        <v>341</v>
      </c>
      <c r="U14" t="s">
        <v>341</v>
      </c>
      <c r="V14" t="s">
        <v>15</v>
      </c>
      <c r="W14" t="s">
        <v>341</v>
      </c>
      <c r="X14" t="s">
        <v>341</v>
      </c>
      <c r="Y14" s="1">
        <v>25569</v>
      </c>
      <c r="Z14" t="s">
        <v>11</v>
      </c>
    </row>
    <row r="15" spans="1:26" x14ac:dyDescent="0.25">
      <c r="A15">
        <v>13</v>
      </c>
      <c r="B15" s="1">
        <v>43261</v>
      </c>
      <c r="C15" s="1">
        <v>43261</v>
      </c>
      <c r="D15">
        <v>62</v>
      </c>
      <c r="E15">
        <v>3</v>
      </c>
      <c r="F15" t="s">
        <v>4</v>
      </c>
      <c r="G15" t="s">
        <v>6</v>
      </c>
      <c r="H15" t="s">
        <v>107</v>
      </c>
      <c r="I15" t="s">
        <v>108</v>
      </c>
      <c r="J15" s="1">
        <v>25569</v>
      </c>
      <c r="K15" t="s">
        <v>341</v>
      </c>
      <c r="L15" t="s">
        <v>341</v>
      </c>
      <c r="M15" t="s">
        <v>110</v>
      </c>
      <c r="N15" t="s">
        <v>341</v>
      </c>
      <c r="O15" t="s">
        <v>109</v>
      </c>
      <c r="P15">
        <v>4</v>
      </c>
      <c r="Q15" t="s">
        <v>341</v>
      </c>
      <c r="R15" t="s">
        <v>15</v>
      </c>
      <c r="S15" t="s">
        <v>15</v>
      </c>
      <c r="T15" t="s">
        <v>321</v>
      </c>
      <c r="U15" t="s">
        <v>15</v>
      </c>
      <c r="V15" t="s">
        <v>15</v>
      </c>
      <c r="W15" t="s">
        <v>321</v>
      </c>
      <c r="X15" t="s">
        <v>321</v>
      </c>
      <c r="Y15" s="1">
        <v>25569</v>
      </c>
      <c r="Z15" t="s">
        <v>11</v>
      </c>
    </row>
  </sheetData>
  <conditionalFormatting sqref="B2:B15">
    <cfRule type="expression" dxfId="141" priority="1">
      <formula>_xludf.ISBLANK(B2)</formula>
    </cfRule>
  </conditionalFormatting>
  <conditionalFormatting sqref="E2:E15">
    <cfRule type="expression" dxfId="140" priority="2">
      <formula>_xludf.ISBLANK(E2)</formula>
    </cfRule>
  </conditionalFormatting>
  <conditionalFormatting sqref="F2:F15">
    <cfRule type="expression" dxfId="139" priority="3">
      <formula>_xludf.ISBLANK(F2)</formula>
    </cfRule>
  </conditionalFormatting>
  <conditionalFormatting sqref="G2:G15">
    <cfRule type="expression" dxfId="138" priority="4">
      <formula>_xludf.ISBLANK(G2)</formula>
    </cfRule>
  </conditionalFormatting>
  <conditionalFormatting sqref="H2:H15">
    <cfRule type="expression" dxfId="137" priority="5">
      <formula>_xludf.ISBLANK(H2)</formula>
    </cfRule>
  </conditionalFormatting>
  <conditionalFormatting sqref="I2:I15">
    <cfRule type="expression" dxfId="136" priority="6">
      <formula>_xludf.ISBLANK(I2)</formula>
    </cfRule>
  </conditionalFormatting>
  <conditionalFormatting sqref="J2:J15">
    <cfRule type="expression" dxfId="135" priority="7">
      <formula>_xludf.ISBLANK(J2)</formula>
    </cfRule>
  </conditionalFormatting>
  <conditionalFormatting sqref="K2:K15">
    <cfRule type="expression" dxfId="134" priority="8">
      <formula>_xludf.ISBLANK(K2)</formula>
    </cfRule>
  </conditionalFormatting>
  <conditionalFormatting sqref="L2:L15">
    <cfRule type="expression" dxfId="133" priority="9">
      <formula>_xludf.ISBLANK(L2)</formula>
    </cfRule>
  </conditionalFormatting>
  <conditionalFormatting sqref="M2:M15">
    <cfRule type="expression" dxfId="132" priority="10">
      <formula>_xludf.ISBLANK(M2)</formula>
    </cfRule>
  </conditionalFormatting>
  <conditionalFormatting sqref="O2:O15">
    <cfRule type="expression" dxfId="131" priority="11">
      <formula>_xludf.ISBLANK(O2)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27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5">
    <pageSetUpPr fitToPage="1"/>
  </sheetPr>
  <dimension ref="A1:BG11"/>
  <sheetViews>
    <sheetView showGridLines="0" topLeftCell="B1" workbookViewId="0">
      <selection activeCell="E6" sqref="E6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0.28515625" bestFit="1" customWidth="1"/>
    <col min="4" max="4" width="16.28515625" bestFit="1" customWidth="1"/>
    <col min="5" max="5" width="22.5703125" bestFit="1" customWidth="1"/>
    <col min="6" max="6" width="8.28515625" bestFit="1" customWidth="1"/>
    <col min="7" max="7" width="11" bestFit="1" customWidth="1"/>
    <col min="8" max="8" width="17.28515625" bestFit="1" customWidth="1"/>
    <col min="9" max="9" width="7.42578125" bestFit="1" customWidth="1"/>
    <col min="10" max="10" width="11.42578125" bestFit="1" customWidth="1"/>
    <col min="11" max="11" width="18.7109375" bestFit="1" customWidth="1"/>
    <col min="12" max="12" width="13.5703125" bestFit="1" customWidth="1"/>
    <col min="13" max="13" width="12.5703125" bestFit="1" customWidth="1"/>
    <col min="14" max="14" width="10.28515625" bestFit="1" customWidth="1"/>
    <col min="15" max="15" width="8.7109375" bestFit="1" customWidth="1"/>
    <col min="16" max="16" width="6.7109375" bestFit="1" customWidth="1"/>
    <col min="17" max="17" width="17.85546875" bestFit="1" customWidth="1"/>
    <col min="18" max="24" width="12.85546875" bestFit="1" customWidth="1"/>
    <col min="25" max="26" width="24.85546875" bestFit="1" customWidth="1"/>
    <col min="27" max="34" width="14.5703125" bestFit="1" customWidth="1"/>
    <col min="35" max="38" width="20.42578125" bestFit="1" customWidth="1"/>
    <col min="39" max="39" width="14.85546875" bestFit="1" customWidth="1"/>
    <col min="40" max="48" width="17.42578125" bestFit="1" customWidth="1"/>
    <col min="49" max="50" width="20.5703125" bestFit="1" customWidth="1"/>
    <col min="51" max="51" width="8.5703125" bestFit="1" customWidth="1"/>
    <col min="52" max="52" width="18.5703125" bestFit="1" customWidth="1"/>
    <col min="53" max="53" width="11.5703125" bestFit="1" customWidth="1"/>
    <col min="54" max="54" width="16.5703125" bestFit="1" customWidth="1"/>
    <col min="55" max="55" width="11.85546875" bestFit="1" customWidth="1"/>
    <col min="56" max="56" width="14.28515625" bestFit="1" customWidth="1"/>
    <col min="57" max="57" width="17.42578125" bestFit="1" customWidth="1"/>
    <col min="58" max="58" width="13.28515625" bestFit="1" customWidth="1"/>
    <col min="59" max="59" width="11" bestFit="1" customWidth="1"/>
  </cols>
  <sheetData>
    <row r="1" spans="1:59" x14ac:dyDescent="0.25">
      <c r="A1" t="s">
        <v>342</v>
      </c>
      <c r="B1" t="s">
        <v>83</v>
      </c>
      <c r="C1" t="s">
        <v>200</v>
      </c>
      <c r="D1" t="s">
        <v>82</v>
      </c>
      <c r="E1" t="s">
        <v>78</v>
      </c>
      <c r="F1" t="s">
        <v>75</v>
      </c>
      <c r="G1" t="s">
        <v>199</v>
      </c>
      <c r="H1" t="s">
        <v>198</v>
      </c>
      <c r="I1" t="s">
        <v>76</v>
      </c>
      <c r="J1" t="s">
        <v>71</v>
      </c>
      <c r="K1" t="s">
        <v>197</v>
      </c>
      <c r="L1" t="s">
        <v>196</v>
      </c>
      <c r="M1" t="s">
        <v>195</v>
      </c>
      <c r="N1" t="s">
        <v>70</v>
      </c>
      <c r="O1" t="s">
        <v>194</v>
      </c>
      <c r="P1" t="s">
        <v>193</v>
      </c>
      <c r="Q1" t="s">
        <v>192</v>
      </c>
      <c r="R1" t="s">
        <v>191</v>
      </c>
      <c r="S1" t="s">
        <v>190</v>
      </c>
      <c r="T1" t="s">
        <v>189</v>
      </c>
      <c r="U1" t="s">
        <v>188</v>
      </c>
      <c r="V1" t="s">
        <v>187</v>
      </c>
      <c r="W1" t="s">
        <v>186</v>
      </c>
      <c r="X1" t="s">
        <v>185</v>
      </c>
      <c r="Y1" t="s">
        <v>184</v>
      </c>
      <c r="Z1" t="s">
        <v>183</v>
      </c>
      <c r="AA1" t="s">
        <v>182</v>
      </c>
      <c r="AB1" t="s">
        <v>181</v>
      </c>
      <c r="AC1" t="s">
        <v>180</v>
      </c>
      <c r="AD1" t="s">
        <v>179</v>
      </c>
      <c r="AE1" t="s">
        <v>178</v>
      </c>
      <c r="AF1" t="s">
        <v>177</v>
      </c>
      <c r="AG1" t="s">
        <v>176</v>
      </c>
      <c r="AH1" t="s">
        <v>175</v>
      </c>
      <c r="AI1" t="s">
        <v>174</v>
      </c>
      <c r="AJ1" t="s">
        <v>173</v>
      </c>
      <c r="AK1" t="s">
        <v>172</v>
      </c>
      <c r="AL1" t="s">
        <v>171</v>
      </c>
      <c r="AM1" t="s">
        <v>170</v>
      </c>
      <c r="AN1" t="s">
        <v>169</v>
      </c>
      <c r="AO1" t="s">
        <v>168</v>
      </c>
      <c r="AP1" t="s">
        <v>167</v>
      </c>
      <c r="AQ1" t="s">
        <v>166</v>
      </c>
      <c r="AR1" t="s">
        <v>165</v>
      </c>
      <c r="AS1" t="s">
        <v>164</v>
      </c>
      <c r="AT1" t="s">
        <v>163</v>
      </c>
      <c r="AU1" t="s">
        <v>162</v>
      </c>
      <c r="AV1" t="s">
        <v>161</v>
      </c>
      <c r="AW1" t="s">
        <v>160</v>
      </c>
      <c r="AX1" t="s">
        <v>159</v>
      </c>
      <c r="AY1" t="s">
        <v>114</v>
      </c>
      <c r="AZ1" t="s">
        <v>158</v>
      </c>
      <c r="BA1" t="s">
        <v>116</v>
      </c>
      <c r="BB1" t="s">
        <v>157</v>
      </c>
      <c r="BC1" t="s">
        <v>156</v>
      </c>
      <c r="BD1" t="s">
        <v>155</v>
      </c>
      <c r="BE1" t="s">
        <v>154</v>
      </c>
      <c r="BF1" t="s">
        <v>153</v>
      </c>
      <c r="BG1" t="s">
        <v>152</v>
      </c>
    </row>
    <row r="2" spans="1:59" x14ac:dyDescent="0.25">
      <c r="A2">
        <v>0</v>
      </c>
      <c r="B2" s="1">
        <v>43255</v>
      </c>
      <c r="C2">
        <v>35</v>
      </c>
      <c r="D2">
        <v>3</v>
      </c>
      <c r="E2" t="s">
        <v>110</v>
      </c>
      <c r="F2">
        <v>20</v>
      </c>
      <c r="G2" t="s">
        <v>5</v>
      </c>
      <c r="H2" t="s">
        <v>341</v>
      </c>
      <c r="I2" t="s">
        <v>3</v>
      </c>
      <c r="J2" t="s">
        <v>4</v>
      </c>
      <c r="K2" t="s">
        <v>341</v>
      </c>
      <c r="L2" t="s">
        <v>341</v>
      </c>
      <c r="M2" t="s">
        <v>11</v>
      </c>
      <c r="N2" t="s">
        <v>6</v>
      </c>
      <c r="O2" t="s">
        <v>10</v>
      </c>
      <c r="P2" t="s">
        <v>151</v>
      </c>
      <c r="Q2" t="s">
        <v>14</v>
      </c>
      <c r="R2" t="s">
        <v>106</v>
      </c>
      <c r="S2" t="s">
        <v>106</v>
      </c>
      <c r="T2" t="s">
        <v>106</v>
      </c>
      <c r="U2" t="s">
        <v>106</v>
      </c>
      <c r="V2" t="s">
        <v>106</v>
      </c>
      <c r="W2" t="s">
        <v>106</v>
      </c>
      <c r="X2" t="s">
        <v>106</v>
      </c>
      <c r="Y2" t="s">
        <v>106</v>
      </c>
      <c r="Z2" t="s">
        <v>106</v>
      </c>
      <c r="AA2" t="s">
        <v>106</v>
      </c>
      <c r="AB2" t="s">
        <v>106</v>
      </c>
      <c r="AC2" t="s">
        <v>106</v>
      </c>
      <c r="AD2" t="s">
        <v>106</v>
      </c>
      <c r="AE2" t="s">
        <v>106</v>
      </c>
      <c r="AF2" t="s">
        <v>106</v>
      </c>
      <c r="AG2" t="s">
        <v>106</v>
      </c>
      <c r="AH2" t="s">
        <v>106</v>
      </c>
      <c r="AI2" t="s">
        <v>106</v>
      </c>
      <c r="AJ2" t="s">
        <v>106</v>
      </c>
      <c r="AK2" t="s">
        <v>106</v>
      </c>
      <c r="AL2" t="s">
        <v>106</v>
      </c>
      <c r="AM2" t="s">
        <v>106</v>
      </c>
      <c r="AN2" t="s">
        <v>106</v>
      </c>
      <c r="AO2" t="s">
        <v>106</v>
      </c>
      <c r="AP2" t="s">
        <v>106</v>
      </c>
      <c r="AQ2" t="s">
        <v>106</v>
      </c>
      <c r="AR2" t="s">
        <v>106</v>
      </c>
      <c r="AS2" t="s">
        <v>106</v>
      </c>
      <c r="AT2" t="s">
        <v>106</v>
      </c>
      <c r="AU2" t="s">
        <v>106</v>
      </c>
      <c r="AV2" t="s">
        <v>106</v>
      </c>
      <c r="AW2" t="s">
        <v>106</v>
      </c>
      <c r="AX2" t="s">
        <v>106</v>
      </c>
      <c r="AY2" t="s">
        <v>341</v>
      </c>
      <c r="AZ2" t="s">
        <v>341</v>
      </c>
      <c r="BA2" t="s">
        <v>341</v>
      </c>
      <c r="BB2" t="s">
        <v>341</v>
      </c>
      <c r="BC2" t="s">
        <v>341</v>
      </c>
      <c r="BD2" t="s">
        <v>341</v>
      </c>
      <c r="BE2" t="s">
        <v>341</v>
      </c>
      <c r="BF2" t="s">
        <v>151</v>
      </c>
      <c r="BG2" s="1"/>
    </row>
    <row r="3" spans="1:59" x14ac:dyDescent="0.25">
      <c r="A3">
        <v>1</v>
      </c>
      <c r="B3" s="1">
        <v>43256</v>
      </c>
      <c r="C3">
        <v>36</v>
      </c>
      <c r="D3">
        <v>3</v>
      </c>
      <c r="E3" t="s">
        <v>796</v>
      </c>
      <c r="F3">
        <v>20</v>
      </c>
      <c r="G3" t="s">
        <v>5</v>
      </c>
      <c r="H3" t="s">
        <v>341</v>
      </c>
      <c r="I3" t="s">
        <v>3</v>
      </c>
      <c r="J3" t="s">
        <v>4</v>
      </c>
      <c r="K3" t="s">
        <v>341</v>
      </c>
      <c r="L3" t="s">
        <v>341</v>
      </c>
      <c r="M3" t="s">
        <v>11</v>
      </c>
      <c r="N3" t="s">
        <v>6</v>
      </c>
      <c r="O3" t="s">
        <v>10</v>
      </c>
      <c r="P3" t="s">
        <v>151</v>
      </c>
      <c r="Q3" t="s">
        <v>14</v>
      </c>
      <c r="R3" t="s">
        <v>106</v>
      </c>
      <c r="S3" t="s">
        <v>106</v>
      </c>
      <c r="T3" t="s">
        <v>106</v>
      </c>
      <c r="U3" t="s">
        <v>106</v>
      </c>
      <c r="V3" t="s">
        <v>106</v>
      </c>
      <c r="W3" t="s">
        <v>106</v>
      </c>
      <c r="X3" t="s">
        <v>106</v>
      </c>
      <c r="Y3" t="s">
        <v>106</v>
      </c>
      <c r="Z3" t="s">
        <v>106</v>
      </c>
      <c r="AA3" t="s">
        <v>106</v>
      </c>
      <c r="AB3" t="s">
        <v>106</v>
      </c>
      <c r="AC3" t="s">
        <v>106</v>
      </c>
      <c r="AD3" t="s">
        <v>106</v>
      </c>
      <c r="AE3" t="s">
        <v>106</v>
      </c>
      <c r="AF3" t="s">
        <v>106</v>
      </c>
      <c r="AG3" t="s">
        <v>106</v>
      </c>
      <c r="AH3" t="s">
        <v>106</v>
      </c>
      <c r="AI3" t="s">
        <v>106</v>
      </c>
      <c r="AJ3" t="s">
        <v>106</v>
      </c>
      <c r="AK3" t="s">
        <v>106</v>
      </c>
      <c r="AL3" t="s">
        <v>106</v>
      </c>
      <c r="AM3" t="s">
        <v>106</v>
      </c>
      <c r="AN3" t="s">
        <v>106</v>
      </c>
      <c r="AO3" t="s">
        <v>106</v>
      </c>
      <c r="AP3" t="s">
        <v>106</v>
      </c>
      <c r="AQ3" t="s">
        <v>106</v>
      </c>
      <c r="AR3" t="s">
        <v>106</v>
      </c>
      <c r="AS3" t="s">
        <v>106</v>
      </c>
      <c r="AT3" t="s">
        <v>106</v>
      </c>
      <c r="AU3" t="s">
        <v>106</v>
      </c>
      <c r="AV3" t="s">
        <v>106</v>
      </c>
      <c r="AW3" t="s">
        <v>106</v>
      </c>
      <c r="AX3" t="s">
        <v>106</v>
      </c>
      <c r="AY3" t="s">
        <v>341</v>
      </c>
      <c r="AZ3" t="s">
        <v>341</v>
      </c>
      <c r="BA3" t="s">
        <v>341</v>
      </c>
      <c r="BB3" t="s">
        <v>341</v>
      </c>
      <c r="BC3" t="s">
        <v>341</v>
      </c>
      <c r="BD3" t="s">
        <v>341</v>
      </c>
      <c r="BE3" t="s">
        <v>341</v>
      </c>
      <c r="BF3" t="s">
        <v>151</v>
      </c>
      <c r="BG3" s="1"/>
    </row>
    <row r="4" spans="1:59" x14ac:dyDescent="0.25">
      <c r="A4">
        <v>2</v>
      </c>
      <c r="B4" s="1">
        <v>43257</v>
      </c>
      <c r="C4">
        <v>43</v>
      </c>
      <c r="D4">
        <v>3</v>
      </c>
      <c r="E4" t="s">
        <v>110</v>
      </c>
      <c r="F4">
        <v>0</v>
      </c>
      <c r="G4" t="s">
        <v>5</v>
      </c>
      <c r="H4" t="s">
        <v>341</v>
      </c>
      <c r="I4" t="s">
        <v>3</v>
      </c>
      <c r="J4" t="s">
        <v>4</v>
      </c>
      <c r="K4" t="s">
        <v>341</v>
      </c>
      <c r="L4" t="s">
        <v>341</v>
      </c>
      <c r="M4" t="s">
        <v>11</v>
      </c>
      <c r="N4" t="s">
        <v>6</v>
      </c>
      <c r="O4" t="s">
        <v>10</v>
      </c>
      <c r="P4" t="s">
        <v>151</v>
      </c>
      <c r="Q4" t="s">
        <v>14</v>
      </c>
      <c r="R4" t="s">
        <v>106</v>
      </c>
      <c r="S4" t="s">
        <v>106</v>
      </c>
      <c r="T4" t="s">
        <v>106</v>
      </c>
      <c r="U4" t="s">
        <v>106</v>
      </c>
      <c r="V4" t="s">
        <v>106</v>
      </c>
      <c r="W4" t="s">
        <v>106</v>
      </c>
      <c r="X4" t="s">
        <v>106</v>
      </c>
      <c r="Y4" t="s">
        <v>106</v>
      </c>
      <c r="Z4" t="s">
        <v>106</v>
      </c>
      <c r="AA4" t="s">
        <v>106</v>
      </c>
      <c r="AB4" t="s">
        <v>106</v>
      </c>
      <c r="AC4" t="s">
        <v>106</v>
      </c>
      <c r="AD4" t="s">
        <v>106</v>
      </c>
      <c r="AE4" t="s">
        <v>106</v>
      </c>
      <c r="AF4" t="s">
        <v>106</v>
      </c>
      <c r="AG4" t="s">
        <v>106</v>
      </c>
      <c r="AH4" t="s">
        <v>106</v>
      </c>
      <c r="AI4" t="s">
        <v>106</v>
      </c>
      <c r="AJ4" t="s">
        <v>106</v>
      </c>
      <c r="AK4" t="s">
        <v>106</v>
      </c>
      <c r="AL4" t="s">
        <v>106</v>
      </c>
      <c r="AM4" t="s">
        <v>106</v>
      </c>
      <c r="AN4" t="s">
        <v>106</v>
      </c>
      <c r="AO4" t="s">
        <v>106</v>
      </c>
      <c r="AP4" t="s">
        <v>106</v>
      </c>
      <c r="AQ4" t="s">
        <v>106</v>
      </c>
      <c r="AR4" t="s">
        <v>106</v>
      </c>
      <c r="AS4" t="s">
        <v>106</v>
      </c>
      <c r="AT4" t="s">
        <v>106</v>
      </c>
      <c r="AU4" t="s">
        <v>106</v>
      </c>
      <c r="AV4" t="s">
        <v>106</v>
      </c>
      <c r="AW4" t="s">
        <v>106</v>
      </c>
      <c r="AX4" t="s">
        <v>106</v>
      </c>
      <c r="AY4" t="s">
        <v>341</v>
      </c>
      <c r="AZ4" t="s">
        <v>341</v>
      </c>
      <c r="BA4" t="s">
        <v>341</v>
      </c>
      <c r="BB4" t="s">
        <v>341</v>
      </c>
      <c r="BC4" t="s">
        <v>341</v>
      </c>
      <c r="BD4" t="s">
        <v>341</v>
      </c>
      <c r="BE4" t="s">
        <v>341</v>
      </c>
      <c r="BG4" s="1"/>
    </row>
    <row r="5" spans="1:59" x14ac:dyDescent="0.25">
      <c r="A5">
        <v>3</v>
      </c>
      <c r="B5" s="1">
        <v>43258</v>
      </c>
      <c r="C5">
        <v>44</v>
      </c>
      <c r="D5">
        <v>3</v>
      </c>
      <c r="E5" t="s">
        <v>110</v>
      </c>
      <c r="F5">
        <v>4</v>
      </c>
      <c r="G5" t="s">
        <v>5</v>
      </c>
      <c r="H5" t="s">
        <v>341</v>
      </c>
      <c r="I5" t="s">
        <v>3</v>
      </c>
      <c r="J5" t="s">
        <v>4</v>
      </c>
      <c r="K5" t="s">
        <v>341</v>
      </c>
      <c r="L5" t="s">
        <v>341</v>
      </c>
      <c r="M5" t="s">
        <v>11</v>
      </c>
      <c r="N5" t="s">
        <v>6</v>
      </c>
      <c r="O5" t="s">
        <v>10</v>
      </c>
      <c r="P5" t="s">
        <v>151</v>
      </c>
      <c r="Q5" t="s">
        <v>14</v>
      </c>
      <c r="R5" t="s">
        <v>106</v>
      </c>
      <c r="S5" t="s">
        <v>106</v>
      </c>
      <c r="T5" t="s">
        <v>106</v>
      </c>
      <c r="U5" t="s">
        <v>106</v>
      </c>
      <c r="V5" t="s">
        <v>106</v>
      </c>
      <c r="W5" t="s">
        <v>106</v>
      </c>
      <c r="X5" t="s">
        <v>106</v>
      </c>
      <c r="Y5" t="s">
        <v>106</v>
      </c>
      <c r="Z5" t="s">
        <v>106</v>
      </c>
      <c r="AA5" t="s">
        <v>106</v>
      </c>
      <c r="AB5" t="s">
        <v>106</v>
      </c>
      <c r="AC5" t="s">
        <v>106</v>
      </c>
      <c r="AD5" t="s">
        <v>106</v>
      </c>
      <c r="AE5" t="s">
        <v>106</v>
      </c>
      <c r="AF5" t="s">
        <v>106</v>
      </c>
      <c r="AG5" t="s">
        <v>106</v>
      </c>
      <c r="AH5" t="s">
        <v>106</v>
      </c>
      <c r="AI5" t="s">
        <v>106</v>
      </c>
      <c r="AJ5" t="s">
        <v>106</v>
      </c>
      <c r="AK5" t="s">
        <v>106</v>
      </c>
      <c r="AL5" t="s">
        <v>106</v>
      </c>
      <c r="AM5" t="s">
        <v>106</v>
      </c>
      <c r="AN5" t="s">
        <v>106</v>
      </c>
      <c r="AO5" t="s">
        <v>106</v>
      </c>
      <c r="AP5" t="s">
        <v>106</v>
      </c>
      <c r="AQ5" t="s">
        <v>106</v>
      </c>
      <c r="AR5" t="s">
        <v>106</v>
      </c>
      <c r="AS5" t="s">
        <v>106</v>
      </c>
      <c r="AT5" t="s">
        <v>106</v>
      </c>
      <c r="AU5" t="s">
        <v>106</v>
      </c>
      <c r="AV5" t="s">
        <v>106</v>
      </c>
      <c r="AW5" t="s">
        <v>106</v>
      </c>
      <c r="AX5" t="s">
        <v>106</v>
      </c>
      <c r="AY5" t="s">
        <v>341</v>
      </c>
      <c r="AZ5" t="s">
        <v>341</v>
      </c>
      <c r="BA5" t="s">
        <v>341</v>
      </c>
      <c r="BB5" t="s">
        <v>341</v>
      </c>
      <c r="BC5" t="s">
        <v>341</v>
      </c>
      <c r="BD5" t="s">
        <v>341</v>
      </c>
      <c r="BE5" t="s">
        <v>341</v>
      </c>
      <c r="BF5" t="s">
        <v>331</v>
      </c>
      <c r="BG5" s="1"/>
    </row>
    <row r="6" spans="1:59" x14ac:dyDescent="0.25">
      <c r="A6">
        <v>4</v>
      </c>
      <c r="B6" s="1">
        <v>43259</v>
      </c>
      <c r="C6">
        <v>45</v>
      </c>
      <c r="D6">
        <v>3</v>
      </c>
      <c r="E6" t="s">
        <v>110</v>
      </c>
      <c r="F6">
        <v>4</v>
      </c>
      <c r="G6" t="s">
        <v>5</v>
      </c>
      <c r="H6" t="s">
        <v>341</v>
      </c>
      <c r="I6" t="s">
        <v>3</v>
      </c>
      <c r="J6" t="s">
        <v>4</v>
      </c>
      <c r="K6" t="s">
        <v>341</v>
      </c>
      <c r="L6" t="s">
        <v>341</v>
      </c>
      <c r="M6" t="s">
        <v>11</v>
      </c>
      <c r="N6" t="s">
        <v>6</v>
      </c>
      <c r="O6" t="s">
        <v>10</v>
      </c>
      <c r="P6" t="s">
        <v>151</v>
      </c>
      <c r="Q6" t="s">
        <v>14</v>
      </c>
      <c r="R6" t="s">
        <v>106</v>
      </c>
      <c r="S6" t="s">
        <v>106</v>
      </c>
      <c r="T6" t="s">
        <v>106</v>
      </c>
      <c r="U6" t="s">
        <v>106</v>
      </c>
      <c r="V6" t="s">
        <v>106</v>
      </c>
      <c r="W6" t="s">
        <v>106</v>
      </c>
      <c r="X6" t="s">
        <v>106</v>
      </c>
      <c r="Y6" t="s">
        <v>106</v>
      </c>
      <c r="Z6" t="s">
        <v>106</v>
      </c>
      <c r="AA6" t="s">
        <v>106</v>
      </c>
      <c r="AB6" t="s">
        <v>106</v>
      </c>
      <c r="AC6" t="s">
        <v>106</v>
      </c>
      <c r="AD6" t="s">
        <v>106</v>
      </c>
      <c r="AE6" t="s">
        <v>106</v>
      </c>
      <c r="AF6" t="s">
        <v>106</v>
      </c>
      <c r="AG6" t="s">
        <v>106</v>
      </c>
      <c r="AH6" t="s">
        <v>106</v>
      </c>
      <c r="AI6" t="s">
        <v>106</v>
      </c>
      <c r="AJ6" t="s">
        <v>106</v>
      </c>
      <c r="AK6" t="s">
        <v>106</v>
      </c>
      <c r="AL6" t="s">
        <v>106</v>
      </c>
      <c r="AM6" t="s">
        <v>106</v>
      </c>
      <c r="AN6" t="s">
        <v>106</v>
      </c>
      <c r="AO6" t="s">
        <v>106</v>
      </c>
      <c r="AP6" t="s">
        <v>106</v>
      </c>
      <c r="AQ6" t="s">
        <v>106</v>
      </c>
      <c r="AR6" t="s">
        <v>106</v>
      </c>
      <c r="AS6" t="s">
        <v>106</v>
      </c>
      <c r="AT6" t="s">
        <v>106</v>
      </c>
      <c r="AU6" t="s">
        <v>106</v>
      </c>
      <c r="AV6" t="s">
        <v>106</v>
      </c>
      <c r="AW6" t="s">
        <v>106</v>
      </c>
      <c r="AX6" t="s">
        <v>106</v>
      </c>
      <c r="AY6" t="s">
        <v>341</v>
      </c>
      <c r="AZ6" t="s">
        <v>341</v>
      </c>
      <c r="BA6" t="s">
        <v>341</v>
      </c>
      <c r="BB6" t="s">
        <v>341</v>
      </c>
      <c r="BC6" t="s">
        <v>341</v>
      </c>
      <c r="BD6" t="s">
        <v>341</v>
      </c>
      <c r="BE6" t="s">
        <v>341</v>
      </c>
      <c r="BG6" s="1">
        <v>25569</v>
      </c>
    </row>
    <row r="7" spans="1:59" x14ac:dyDescent="0.25">
      <c r="A7">
        <v>5</v>
      </c>
      <c r="B7" s="1">
        <v>43259</v>
      </c>
      <c r="C7">
        <v>46</v>
      </c>
      <c r="D7">
        <v>3</v>
      </c>
      <c r="E7" t="s">
        <v>797</v>
      </c>
      <c r="F7">
        <v>4</v>
      </c>
      <c r="G7" t="s">
        <v>5</v>
      </c>
      <c r="H7" t="s">
        <v>341</v>
      </c>
      <c r="I7" t="s">
        <v>3</v>
      </c>
      <c r="J7" t="s">
        <v>4</v>
      </c>
      <c r="K7" t="s">
        <v>341</v>
      </c>
      <c r="L7" t="s">
        <v>341</v>
      </c>
      <c r="M7" t="s">
        <v>11</v>
      </c>
      <c r="N7" t="s">
        <v>6</v>
      </c>
      <c r="O7" t="s">
        <v>10</v>
      </c>
      <c r="P7" t="s">
        <v>151</v>
      </c>
      <c r="Q7" t="s">
        <v>14</v>
      </c>
      <c r="R7" t="s">
        <v>106</v>
      </c>
      <c r="S7" t="s">
        <v>106</v>
      </c>
      <c r="T7" t="s">
        <v>106</v>
      </c>
      <c r="U7" t="s">
        <v>106</v>
      </c>
      <c r="V7" t="s">
        <v>106</v>
      </c>
      <c r="W7" t="s">
        <v>106</v>
      </c>
      <c r="X7" t="s">
        <v>106</v>
      </c>
      <c r="Y7" t="s">
        <v>106</v>
      </c>
      <c r="Z7" t="s">
        <v>106</v>
      </c>
      <c r="AA7" t="s">
        <v>106</v>
      </c>
      <c r="AB7" t="s">
        <v>106</v>
      </c>
      <c r="AC7" t="s">
        <v>106</v>
      </c>
      <c r="AD7" t="s">
        <v>106</v>
      </c>
      <c r="AE7" t="s">
        <v>106</v>
      </c>
      <c r="AF7" t="s">
        <v>106</v>
      </c>
      <c r="AG7" t="s">
        <v>106</v>
      </c>
      <c r="AH7" t="s">
        <v>106</v>
      </c>
      <c r="AI7" t="s">
        <v>106</v>
      </c>
      <c r="AJ7" t="s">
        <v>106</v>
      </c>
      <c r="AK7" t="s">
        <v>106</v>
      </c>
      <c r="AL7" t="s">
        <v>106</v>
      </c>
      <c r="AM7" t="s">
        <v>106</v>
      </c>
      <c r="AN7" t="s">
        <v>106</v>
      </c>
      <c r="AO7" t="s">
        <v>106</v>
      </c>
      <c r="AP7" t="s">
        <v>106</v>
      </c>
      <c r="AQ7" t="s">
        <v>106</v>
      </c>
      <c r="AR7" t="s">
        <v>106</v>
      </c>
      <c r="AS7" t="s">
        <v>106</v>
      </c>
      <c r="AT7" t="s">
        <v>106</v>
      </c>
      <c r="AU7" t="s">
        <v>106</v>
      </c>
      <c r="AV7" t="s">
        <v>106</v>
      </c>
      <c r="AW7" t="s">
        <v>106</v>
      </c>
      <c r="AX7" t="s">
        <v>106</v>
      </c>
      <c r="AY7" t="s">
        <v>341</v>
      </c>
      <c r="AZ7" t="s">
        <v>341</v>
      </c>
      <c r="BA7" t="s">
        <v>341</v>
      </c>
      <c r="BB7" t="s">
        <v>341</v>
      </c>
      <c r="BC7" t="s">
        <v>341</v>
      </c>
      <c r="BD7" t="s">
        <v>341</v>
      </c>
      <c r="BE7" t="s">
        <v>341</v>
      </c>
      <c r="BG7" s="1">
        <v>25569</v>
      </c>
    </row>
    <row r="8" spans="1:59" x14ac:dyDescent="0.25">
      <c r="A8">
        <v>6</v>
      </c>
      <c r="B8" s="1">
        <v>43259</v>
      </c>
      <c r="C8">
        <v>47</v>
      </c>
      <c r="D8">
        <v>3</v>
      </c>
      <c r="E8" t="s">
        <v>110</v>
      </c>
      <c r="F8">
        <v>4</v>
      </c>
      <c r="G8" t="s">
        <v>5</v>
      </c>
      <c r="H8" t="s">
        <v>341</v>
      </c>
      <c r="I8" t="s">
        <v>3</v>
      </c>
      <c r="J8" t="s">
        <v>4</v>
      </c>
      <c r="K8" t="s">
        <v>341</v>
      </c>
      <c r="L8" t="s">
        <v>341</v>
      </c>
      <c r="M8" t="s">
        <v>11</v>
      </c>
      <c r="N8" t="s">
        <v>6</v>
      </c>
      <c r="O8" t="s">
        <v>10</v>
      </c>
      <c r="P8" t="s">
        <v>151</v>
      </c>
      <c r="Q8" t="s">
        <v>14</v>
      </c>
      <c r="R8" t="s">
        <v>106</v>
      </c>
      <c r="S8" t="s">
        <v>106</v>
      </c>
      <c r="T8" t="s">
        <v>106</v>
      </c>
      <c r="U8" t="s">
        <v>106</v>
      </c>
      <c r="V8" t="s">
        <v>106</v>
      </c>
      <c r="W8" t="s">
        <v>106</v>
      </c>
      <c r="X8" t="s">
        <v>106</v>
      </c>
      <c r="Y8" t="s">
        <v>106</v>
      </c>
      <c r="Z8" t="s">
        <v>106</v>
      </c>
      <c r="AA8" t="s">
        <v>106</v>
      </c>
      <c r="AB8" t="s">
        <v>106</v>
      </c>
      <c r="AC8" t="s">
        <v>106</v>
      </c>
      <c r="AD8" t="s">
        <v>106</v>
      </c>
      <c r="AE8" t="s">
        <v>106</v>
      </c>
      <c r="AF8" t="s">
        <v>106</v>
      </c>
      <c r="AG8" t="s">
        <v>106</v>
      </c>
      <c r="AH8" t="s">
        <v>106</v>
      </c>
      <c r="AI8" t="s">
        <v>106</v>
      </c>
      <c r="AJ8" t="s">
        <v>106</v>
      </c>
      <c r="AK8" t="s">
        <v>106</v>
      </c>
      <c r="AL8" t="s">
        <v>106</v>
      </c>
      <c r="AM8" t="s">
        <v>106</v>
      </c>
      <c r="AN8" t="s">
        <v>106</v>
      </c>
      <c r="AO8" t="s">
        <v>106</v>
      </c>
      <c r="AP8" t="s">
        <v>106</v>
      </c>
      <c r="AQ8" t="s">
        <v>106</v>
      </c>
      <c r="AR8" t="s">
        <v>106</v>
      </c>
      <c r="AS8" t="s">
        <v>106</v>
      </c>
      <c r="AT8" t="s">
        <v>106</v>
      </c>
      <c r="AU8" t="s">
        <v>106</v>
      </c>
      <c r="AV8" t="s">
        <v>106</v>
      </c>
      <c r="AW8" t="s">
        <v>106</v>
      </c>
      <c r="AX8" t="s">
        <v>106</v>
      </c>
      <c r="AY8" t="s">
        <v>341</v>
      </c>
      <c r="AZ8" t="s">
        <v>341</v>
      </c>
      <c r="BA8" t="s">
        <v>341</v>
      </c>
      <c r="BB8" t="s">
        <v>341</v>
      </c>
      <c r="BC8" t="s">
        <v>341</v>
      </c>
      <c r="BD8" t="s">
        <v>341</v>
      </c>
      <c r="BE8" t="s">
        <v>341</v>
      </c>
      <c r="BG8" s="1">
        <v>25569</v>
      </c>
    </row>
    <row r="9" spans="1:59" x14ac:dyDescent="0.25">
      <c r="A9">
        <v>7</v>
      </c>
      <c r="B9" s="1">
        <v>43259</v>
      </c>
      <c r="C9">
        <v>48</v>
      </c>
      <c r="D9">
        <v>3</v>
      </c>
      <c r="E9" t="s">
        <v>110</v>
      </c>
      <c r="F9">
        <v>4</v>
      </c>
      <c r="G9" t="s">
        <v>5</v>
      </c>
      <c r="H9" t="s">
        <v>341</v>
      </c>
      <c r="I9" t="s">
        <v>3</v>
      </c>
      <c r="J9" t="s">
        <v>4</v>
      </c>
      <c r="K9" t="s">
        <v>341</v>
      </c>
      <c r="L9" t="s">
        <v>341</v>
      </c>
      <c r="M9" t="s">
        <v>11</v>
      </c>
      <c r="N9" t="s">
        <v>6</v>
      </c>
      <c r="O9" t="s">
        <v>10</v>
      </c>
      <c r="P9" t="s">
        <v>151</v>
      </c>
      <c r="Q9" t="s">
        <v>14</v>
      </c>
      <c r="R9" t="s">
        <v>106</v>
      </c>
      <c r="S9" t="s">
        <v>106</v>
      </c>
      <c r="T9" t="s">
        <v>106</v>
      </c>
      <c r="U9" t="s">
        <v>106</v>
      </c>
      <c r="V9" t="s">
        <v>106</v>
      </c>
      <c r="W9" t="s">
        <v>106</v>
      </c>
      <c r="X9" t="s">
        <v>106</v>
      </c>
      <c r="Y9" t="s">
        <v>106</v>
      </c>
      <c r="Z9" t="s">
        <v>106</v>
      </c>
      <c r="AA9" t="s">
        <v>106</v>
      </c>
      <c r="AB9" t="s">
        <v>106</v>
      </c>
      <c r="AC9" t="s">
        <v>106</v>
      </c>
      <c r="AD9" t="s">
        <v>106</v>
      </c>
      <c r="AE9" t="s">
        <v>106</v>
      </c>
      <c r="AF9" t="s">
        <v>106</v>
      </c>
      <c r="AG9" t="s">
        <v>106</v>
      </c>
      <c r="AH9" t="s">
        <v>106</v>
      </c>
      <c r="AI9" t="s">
        <v>106</v>
      </c>
      <c r="AJ9" t="s">
        <v>106</v>
      </c>
      <c r="AK9" t="s">
        <v>106</v>
      </c>
      <c r="AL9" t="s">
        <v>106</v>
      </c>
      <c r="AM9" t="s">
        <v>106</v>
      </c>
      <c r="AN9" t="s">
        <v>106</v>
      </c>
      <c r="AO9" t="s">
        <v>106</v>
      </c>
      <c r="AP9" t="s">
        <v>106</v>
      </c>
      <c r="AQ9" t="s">
        <v>106</v>
      </c>
      <c r="AR9" t="s">
        <v>106</v>
      </c>
      <c r="AS9" t="s">
        <v>106</v>
      </c>
      <c r="AT9" t="s">
        <v>106</v>
      </c>
      <c r="AU9" t="s">
        <v>106</v>
      </c>
      <c r="AV9" t="s">
        <v>106</v>
      </c>
      <c r="AW9" t="s">
        <v>106</v>
      </c>
      <c r="AX9" t="s">
        <v>106</v>
      </c>
      <c r="AY9" t="s">
        <v>341</v>
      </c>
      <c r="AZ9" t="s">
        <v>341</v>
      </c>
      <c r="BA9" t="s">
        <v>341</v>
      </c>
      <c r="BB9" t="s">
        <v>341</v>
      </c>
      <c r="BC9" t="s">
        <v>341</v>
      </c>
      <c r="BD9" t="s">
        <v>341</v>
      </c>
      <c r="BE9" t="s">
        <v>341</v>
      </c>
      <c r="BG9" s="1">
        <v>25569</v>
      </c>
    </row>
    <row r="10" spans="1:59" x14ac:dyDescent="0.25">
      <c r="A10">
        <v>8</v>
      </c>
      <c r="B10" s="1">
        <v>43259</v>
      </c>
      <c r="C10">
        <v>49</v>
      </c>
      <c r="D10">
        <v>3</v>
      </c>
      <c r="E10" t="s">
        <v>110</v>
      </c>
      <c r="F10">
        <v>4</v>
      </c>
      <c r="G10" t="s">
        <v>5</v>
      </c>
      <c r="H10" t="s">
        <v>341</v>
      </c>
      <c r="I10" t="s">
        <v>3</v>
      </c>
      <c r="J10" t="s">
        <v>4</v>
      </c>
      <c r="K10" t="s">
        <v>341</v>
      </c>
      <c r="L10" t="s">
        <v>341</v>
      </c>
      <c r="M10" t="s">
        <v>11</v>
      </c>
      <c r="N10" t="s">
        <v>6</v>
      </c>
      <c r="O10" t="s">
        <v>10</v>
      </c>
      <c r="P10" t="s">
        <v>151</v>
      </c>
      <c r="Q10" t="s">
        <v>14</v>
      </c>
      <c r="R10" t="s">
        <v>106</v>
      </c>
      <c r="S10" t="s">
        <v>106</v>
      </c>
      <c r="T10" t="s">
        <v>106</v>
      </c>
      <c r="U10" t="s">
        <v>106</v>
      </c>
      <c r="V10" t="s">
        <v>106</v>
      </c>
      <c r="W10" t="s">
        <v>106</v>
      </c>
      <c r="X10" t="s">
        <v>106</v>
      </c>
      <c r="Y10" t="s">
        <v>106</v>
      </c>
      <c r="Z10" t="s">
        <v>106</v>
      </c>
      <c r="AA10" t="s">
        <v>106</v>
      </c>
      <c r="AB10" t="s">
        <v>106</v>
      </c>
      <c r="AC10" t="s">
        <v>106</v>
      </c>
      <c r="AD10" t="s">
        <v>106</v>
      </c>
      <c r="AE10" t="s">
        <v>106</v>
      </c>
      <c r="AF10" t="s">
        <v>106</v>
      </c>
      <c r="AG10" t="s">
        <v>106</v>
      </c>
      <c r="AH10" t="s">
        <v>106</v>
      </c>
      <c r="AI10" t="s">
        <v>106</v>
      </c>
      <c r="AJ10" t="s">
        <v>106</v>
      </c>
      <c r="AK10" t="s">
        <v>106</v>
      </c>
      <c r="AL10" t="s">
        <v>106</v>
      </c>
      <c r="AM10" t="s">
        <v>106</v>
      </c>
      <c r="AN10" t="s">
        <v>106</v>
      </c>
      <c r="AO10" t="s">
        <v>106</v>
      </c>
      <c r="AP10" t="s">
        <v>106</v>
      </c>
      <c r="AQ10" t="s">
        <v>106</v>
      </c>
      <c r="AR10" t="s">
        <v>106</v>
      </c>
      <c r="AS10" t="s">
        <v>106</v>
      </c>
      <c r="AT10" t="s">
        <v>106</v>
      </c>
      <c r="AU10" t="s">
        <v>106</v>
      </c>
      <c r="AV10" t="s">
        <v>106</v>
      </c>
      <c r="AW10" t="s">
        <v>106</v>
      </c>
      <c r="AX10" t="s">
        <v>106</v>
      </c>
      <c r="AY10" t="s">
        <v>341</v>
      </c>
      <c r="AZ10" t="s">
        <v>341</v>
      </c>
      <c r="BA10" t="s">
        <v>341</v>
      </c>
      <c r="BB10" t="s">
        <v>341</v>
      </c>
      <c r="BC10" t="s">
        <v>341</v>
      </c>
      <c r="BD10" t="s">
        <v>341</v>
      </c>
      <c r="BE10" t="s">
        <v>341</v>
      </c>
      <c r="BG10" s="1">
        <v>25569</v>
      </c>
    </row>
    <row r="11" spans="1:59" x14ac:dyDescent="0.25">
      <c r="A11">
        <v>9</v>
      </c>
      <c r="B11" s="1">
        <v>43260</v>
      </c>
      <c r="C11">
        <v>54</v>
      </c>
      <c r="D11">
        <v>6609</v>
      </c>
      <c r="E11" t="s">
        <v>325</v>
      </c>
      <c r="F11">
        <v>19</v>
      </c>
      <c r="G11" t="s">
        <v>798</v>
      </c>
      <c r="H11" t="s">
        <v>341</v>
      </c>
      <c r="I11" t="s">
        <v>3</v>
      </c>
      <c r="J11" t="s">
        <v>322</v>
      </c>
      <c r="K11" t="s">
        <v>341</v>
      </c>
      <c r="L11" t="s">
        <v>341</v>
      </c>
      <c r="M11" t="s">
        <v>11</v>
      </c>
      <c r="N11" t="s">
        <v>6</v>
      </c>
      <c r="O11" t="s">
        <v>10</v>
      </c>
      <c r="P11" t="s">
        <v>9</v>
      </c>
      <c r="Q11" t="s">
        <v>341</v>
      </c>
      <c r="R11" t="s">
        <v>106</v>
      </c>
      <c r="S11" t="s">
        <v>106</v>
      </c>
      <c r="T11" t="s">
        <v>106</v>
      </c>
      <c r="U11" t="s">
        <v>106</v>
      </c>
      <c r="V11" t="s">
        <v>106</v>
      </c>
      <c r="W11" t="s">
        <v>106</v>
      </c>
      <c r="X11" t="s">
        <v>106</v>
      </c>
      <c r="Y11" t="s">
        <v>106</v>
      </c>
      <c r="Z11" t="s">
        <v>106</v>
      </c>
      <c r="AA11" t="s">
        <v>106</v>
      </c>
      <c r="AB11" t="s">
        <v>106</v>
      </c>
      <c r="AC11" t="s">
        <v>106</v>
      </c>
      <c r="AD11" t="s">
        <v>106</v>
      </c>
      <c r="AE11" t="s">
        <v>106</v>
      </c>
      <c r="AF11" t="s">
        <v>106</v>
      </c>
      <c r="AG11" t="s">
        <v>106</v>
      </c>
      <c r="AH11" t="s">
        <v>106</v>
      </c>
      <c r="AI11" t="s">
        <v>106</v>
      </c>
      <c r="AJ11" t="s">
        <v>106</v>
      </c>
      <c r="AK11" t="s">
        <v>106</v>
      </c>
      <c r="AL11" t="s">
        <v>106</v>
      </c>
      <c r="AM11" t="s">
        <v>106</v>
      </c>
      <c r="AN11" t="s">
        <v>106</v>
      </c>
      <c r="AO11" t="s">
        <v>106</v>
      </c>
      <c r="AP11" t="s">
        <v>106</v>
      </c>
      <c r="AQ11" t="s">
        <v>106</v>
      </c>
      <c r="AR11" t="s">
        <v>106</v>
      </c>
      <c r="AS11" t="s">
        <v>106</v>
      </c>
      <c r="AT11" t="s">
        <v>106</v>
      </c>
      <c r="AU11" t="s">
        <v>106</v>
      </c>
      <c r="AV11" t="s">
        <v>106</v>
      </c>
      <c r="AW11" t="s">
        <v>106</v>
      </c>
      <c r="AX11" t="s">
        <v>106</v>
      </c>
      <c r="AY11" t="s">
        <v>341</v>
      </c>
      <c r="AZ11" t="s">
        <v>341</v>
      </c>
      <c r="BA11" t="s">
        <v>341</v>
      </c>
      <c r="BB11" t="s">
        <v>341</v>
      </c>
      <c r="BC11" t="s">
        <v>341</v>
      </c>
      <c r="BD11" t="s">
        <v>341</v>
      </c>
      <c r="BE11" t="s">
        <v>341</v>
      </c>
      <c r="BG11" s="1">
        <v>25569</v>
      </c>
    </row>
  </sheetData>
  <conditionalFormatting sqref="B2:B11">
    <cfRule type="expression" dxfId="126" priority="1">
      <formula>_xludf.ISBLANK(B2)</formula>
    </cfRule>
  </conditionalFormatting>
  <conditionalFormatting sqref="D2:D11">
    <cfRule type="expression" dxfId="125" priority="2">
      <formula>_xludf.ISBLANK(D2)</formula>
    </cfRule>
  </conditionalFormatting>
  <conditionalFormatting sqref="E2:E11">
    <cfRule type="expression" dxfId="124" priority="3">
      <formula>_xludf.ISBLANK(E2)</formula>
    </cfRule>
  </conditionalFormatting>
  <conditionalFormatting sqref="F2:F11">
    <cfRule type="expression" dxfId="123" priority="4">
      <formula>_xludf.ISBLANK(F2)</formula>
    </cfRule>
  </conditionalFormatting>
  <conditionalFormatting sqref="G2:G11">
    <cfRule type="expression" dxfId="122" priority="5">
      <formula>_xludf.ISBLANK(G2)</formula>
    </cfRule>
  </conditionalFormatting>
  <conditionalFormatting sqref="H2:H11">
    <cfRule type="expression" dxfId="121" priority="6">
      <formula>_xludf.ISBLANK(H2)</formula>
    </cfRule>
  </conditionalFormatting>
  <conditionalFormatting sqref="I2:I11">
    <cfRule type="expression" dxfId="120" priority="7">
      <formula>_xludf.ISBLANK(I2)</formula>
    </cfRule>
  </conditionalFormatting>
  <conditionalFormatting sqref="J2:J11">
    <cfRule type="expression" dxfId="119" priority="8">
      <formula>_xludf.ISBLANK(J2)</formula>
    </cfRule>
  </conditionalFormatting>
  <conditionalFormatting sqref="K2:K11">
    <cfRule type="expression" dxfId="118" priority="9">
      <formula>_xludf.ISBLANK(K2)</formula>
    </cfRule>
  </conditionalFormatting>
  <conditionalFormatting sqref="L2:L11">
    <cfRule type="expression" dxfId="117" priority="10">
      <formula>_xludf.ISBLANK(L2)</formula>
    </cfRule>
  </conditionalFormatting>
  <conditionalFormatting sqref="M2:M11">
    <cfRule type="expression" dxfId="116" priority="11">
      <formula>_xludf.ISBLANK(M2)</formula>
    </cfRule>
  </conditionalFormatting>
  <conditionalFormatting sqref="N2:N11">
    <cfRule type="expression" dxfId="115" priority="12">
      <formula>_xludf.ISBLANK(N2)</formula>
    </cfRule>
  </conditionalFormatting>
  <conditionalFormatting sqref="O2:O11">
    <cfRule type="expression" dxfId="114" priority="13">
      <formula>_xludf.ISBLANK(O2)</formula>
    </cfRule>
  </conditionalFormatting>
  <conditionalFormatting sqref="P2:P11">
    <cfRule type="expression" dxfId="113" priority="14">
      <formula>_xludf.ISBLANK(P2)</formula>
    </cfRule>
  </conditionalFormatting>
  <conditionalFormatting sqref="Q2:Q11">
    <cfRule type="expression" dxfId="112" priority="15">
      <formula>_xludf.ISBLANK(Q2)</formula>
    </cfRule>
  </conditionalFormatting>
  <conditionalFormatting sqref="R2:R11">
    <cfRule type="expression" dxfId="111" priority="16">
      <formula>_xludf.ISBLANK(R2)</formula>
    </cfRule>
  </conditionalFormatting>
  <conditionalFormatting sqref="S2:S11">
    <cfRule type="expression" dxfId="110" priority="17">
      <formula>_xludf.ISBLANK(S2)</formula>
    </cfRule>
  </conditionalFormatting>
  <conditionalFormatting sqref="T2:T11">
    <cfRule type="expression" dxfId="109" priority="18">
      <formula>_xludf.ISBLANK(T2)</formula>
    </cfRule>
  </conditionalFormatting>
  <conditionalFormatting sqref="U2:U11">
    <cfRule type="expression" dxfId="108" priority="19">
      <formula>_xludf.ISBLANK(U2)</formula>
    </cfRule>
  </conditionalFormatting>
  <conditionalFormatting sqref="V2:V11">
    <cfRule type="expression" dxfId="107" priority="20">
      <formula>_xludf.ISBLANK(V2)</formula>
    </cfRule>
  </conditionalFormatting>
  <conditionalFormatting sqref="W2:W11">
    <cfRule type="expression" dxfId="106" priority="21">
      <formula>_xludf.ISBLANK(W2)</formula>
    </cfRule>
  </conditionalFormatting>
  <conditionalFormatting sqref="X2:X11">
    <cfRule type="expression" dxfId="105" priority="22">
      <formula>_xludf.ISBLANK(X2)</formula>
    </cfRule>
  </conditionalFormatting>
  <conditionalFormatting sqref="Y2:Y11">
    <cfRule type="expression" dxfId="104" priority="23">
      <formula>_xludf.ISBLANK(Y2)</formula>
    </cfRule>
  </conditionalFormatting>
  <conditionalFormatting sqref="Z2:Z11">
    <cfRule type="expression" dxfId="103" priority="24">
      <formula>_xludf.ISBLANK(Z2)</formula>
    </cfRule>
  </conditionalFormatting>
  <conditionalFormatting sqref="AA2:AA11">
    <cfRule type="expression" dxfId="102" priority="25">
      <formula>_xludf.ISBLANK(AA2)</formula>
    </cfRule>
  </conditionalFormatting>
  <conditionalFormatting sqref="AB2:AB11">
    <cfRule type="expression" dxfId="101" priority="26">
      <formula>_xludf.ISBLANK(AB2)</formula>
    </cfRule>
  </conditionalFormatting>
  <conditionalFormatting sqref="AC2:AC11">
    <cfRule type="expression" dxfId="100" priority="27">
      <formula>_xludf.ISBLANK(AC2)</formula>
    </cfRule>
  </conditionalFormatting>
  <conditionalFormatting sqref="AD2:AD11">
    <cfRule type="expression" dxfId="99" priority="28">
      <formula>_xludf.ISBLANK(AD2)</formula>
    </cfRule>
  </conditionalFormatting>
  <conditionalFormatting sqref="AE2:AE11">
    <cfRule type="expression" dxfId="98" priority="29">
      <formula>_xludf.ISBLANK(AE2)</formula>
    </cfRule>
  </conditionalFormatting>
  <conditionalFormatting sqref="AF2:AF11">
    <cfRule type="expression" dxfId="97" priority="30">
      <formula>_xludf.ISBLANK(AF2)</formula>
    </cfRule>
  </conditionalFormatting>
  <conditionalFormatting sqref="AG2:AG11">
    <cfRule type="expression" dxfId="96" priority="31">
      <formula>_xludf.ISBLANK(AG2)</formula>
    </cfRule>
  </conditionalFormatting>
  <conditionalFormatting sqref="AH2:AH11">
    <cfRule type="expression" dxfId="95" priority="32">
      <formula>_xludf.ISBLANK(AH2)</formula>
    </cfRule>
  </conditionalFormatting>
  <conditionalFormatting sqref="AI2:AI11">
    <cfRule type="expression" dxfId="94" priority="33">
      <formula>_xludf.ISBLANK(AI2)</formula>
    </cfRule>
  </conditionalFormatting>
  <conditionalFormatting sqref="AJ2:AJ11">
    <cfRule type="expression" dxfId="93" priority="34">
      <formula>_xludf.ISBLANK(AJ2)</formula>
    </cfRule>
  </conditionalFormatting>
  <conditionalFormatting sqref="AK2:AK11">
    <cfRule type="expression" dxfId="92" priority="35">
      <formula>_xludf.ISBLANK(AK2)</formula>
    </cfRule>
  </conditionalFormatting>
  <conditionalFormatting sqref="AL2:AL11">
    <cfRule type="expression" dxfId="91" priority="36">
      <formula>_xludf.ISBLANK(AL2)</formula>
    </cfRule>
  </conditionalFormatting>
  <conditionalFormatting sqref="AM2:AM11">
    <cfRule type="expression" dxfId="90" priority="37">
      <formula>_xludf.ISBLANK(AM2)</formula>
    </cfRule>
  </conditionalFormatting>
  <conditionalFormatting sqref="AN2:AN11">
    <cfRule type="expression" dxfId="89" priority="38">
      <formula>_xludf.ISBLANK(AN2)</formula>
    </cfRule>
  </conditionalFormatting>
  <conditionalFormatting sqref="AO2:AO11">
    <cfRule type="expression" dxfId="88" priority="39">
      <formula>_xludf.ISBLANK(AO2)</formula>
    </cfRule>
  </conditionalFormatting>
  <conditionalFormatting sqref="AP2:AP11">
    <cfRule type="expression" dxfId="87" priority="40">
      <formula>_xludf.ISBLANK(AP2)</formula>
    </cfRule>
  </conditionalFormatting>
  <conditionalFormatting sqref="AQ2:AQ11">
    <cfRule type="expression" dxfId="86" priority="41">
      <formula>_xludf.ISBLANK(AQ2)</formula>
    </cfRule>
  </conditionalFormatting>
  <conditionalFormatting sqref="AR2:AR11">
    <cfRule type="expression" dxfId="85" priority="42">
      <formula>_xludf.ISBLANK(AR2)</formula>
    </cfRule>
  </conditionalFormatting>
  <conditionalFormatting sqref="AS2:AS11">
    <cfRule type="expression" dxfId="84" priority="43">
      <formula>_xludf.ISBLANK(AS2)</formula>
    </cfRule>
  </conditionalFormatting>
  <conditionalFormatting sqref="AT2:AT11">
    <cfRule type="expression" dxfId="83" priority="44">
      <formula>_xludf.ISBLANK(AT2)</formula>
    </cfRule>
  </conditionalFormatting>
  <conditionalFormatting sqref="AU2:AU11">
    <cfRule type="expression" dxfId="82" priority="45">
      <formula>_xludf.ISBLANK(AU2)</formula>
    </cfRule>
  </conditionalFormatting>
  <conditionalFormatting sqref="AV2:AV11">
    <cfRule type="expression" dxfId="81" priority="46">
      <formula>_xludf.ISBLANK(AV2)</formula>
    </cfRule>
  </conditionalFormatting>
  <conditionalFormatting sqref="AW2:AW11">
    <cfRule type="expression" dxfId="80" priority="47">
      <formula>_xludf.ISBLANK(AW2)</formula>
    </cfRule>
  </conditionalFormatting>
  <conditionalFormatting sqref="AX2:AX11">
    <cfRule type="expression" dxfId="79" priority="48">
      <formula>_xludf.ISBLANK(AX2)</formula>
    </cfRule>
  </conditionalFormatting>
  <conditionalFormatting sqref="AY2:AY11">
    <cfRule type="expression" dxfId="78" priority="49">
      <formula>_xludf.ISBLANK(AY2)</formula>
    </cfRule>
  </conditionalFormatting>
  <conditionalFormatting sqref="AZ2:AZ11">
    <cfRule type="expression" dxfId="77" priority="50">
      <formula>_xludf.ISBLANK(AZ2)</formula>
    </cfRule>
  </conditionalFormatting>
  <conditionalFormatting sqref="BA2:BA11">
    <cfRule type="expression" dxfId="76" priority="51">
      <formula>_xludf.ISBLANK(BA2)</formula>
    </cfRule>
  </conditionalFormatting>
  <conditionalFormatting sqref="BB2:BB11">
    <cfRule type="expression" dxfId="75" priority="52">
      <formula>_xludf.ISBLANK(BB2)</formula>
    </cfRule>
  </conditionalFormatting>
  <conditionalFormatting sqref="BC2:BC11">
    <cfRule type="expression" dxfId="74" priority="53">
      <formula>_xludf.ISBLANK(BC2)</formula>
    </cfRule>
  </conditionalFormatting>
  <conditionalFormatting sqref="BD2:BD11">
    <cfRule type="expression" dxfId="73" priority="54">
      <formula>_xludf.ISBLANK(BD2)</formula>
    </cfRule>
  </conditionalFormatting>
  <conditionalFormatting sqref="BE2:BE11">
    <cfRule type="expression" dxfId="72" priority="55">
      <formula>_xludf.ISBLANK(BE2)</formula>
    </cfRule>
  </conditionalFormatting>
  <conditionalFormatting sqref="BG2:BG11">
    <cfRule type="expression" dxfId="71" priority="56">
      <formula>_xludf.ISBLANK(BG2)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10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6">
    <pageSetUpPr fitToPage="1"/>
  </sheetPr>
  <dimension ref="A1:AG10"/>
  <sheetViews>
    <sheetView showGridLines="0" topLeftCell="B1" workbookViewId="0">
      <selection activeCell="F6" sqref="F6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5.42578125" bestFit="1" customWidth="1"/>
    <col min="4" max="4" width="21" bestFit="1" customWidth="1"/>
    <col min="5" max="5" width="12.140625" bestFit="1" customWidth="1"/>
    <col min="6" max="6" width="10.85546875" bestFit="1" customWidth="1"/>
    <col min="7" max="7" width="18.7109375" bestFit="1" customWidth="1"/>
    <col min="8" max="8" width="10.85546875" bestFit="1" customWidth="1"/>
    <col min="9" max="9" width="10.7109375" bestFit="1" customWidth="1"/>
    <col min="10" max="10" width="8.28515625" bestFit="1" customWidth="1"/>
    <col min="11" max="11" width="7.42578125" bestFit="1" customWidth="1"/>
    <col min="12" max="12" width="17.42578125" bestFit="1" customWidth="1"/>
    <col min="13" max="13" width="18.42578125" bestFit="1" customWidth="1"/>
    <col min="14" max="14" width="16.7109375" bestFit="1" customWidth="1"/>
    <col min="15" max="15" width="13.5703125" bestFit="1" customWidth="1"/>
    <col min="16" max="16" width="24.140625" bestFit="1" customWidth="1"/>
    <col min="17" max="17" width="12.5703125" bestFit="1" customWidth="1"/>
    <col min="18" max="18" width="25" bestFit="1" customWidth="1"/>
    <col min="19" max="19" width="9.7109375" bestFit="1" customWidth="1"/>
    <col min="20" max="20" width="14.42578125" bestFit="1" customWidth="1"/>
    <col min="21" max="21" width="11.42578125" bestFit="1" customWidth="1"/>
    <col min="23" max="23" width="19.5703125" bestFit="1" customWidth="1"/>
    <col min="24" max="24" width="12.85546875" bestFit="1" customWidth="1"/>
    <col min="26" max="26" width="16.140625" bestFit="1" customWidth="1"/>
    <col min="27" max="27" width="13.42578125" bestFit="1" customWidth="1"/>
    <col min="29" max="29" width="14.28515625" bestFit="1" customWidth="1"/>
    <col min="30" max="30" width="15.5703125" bestFit="1" customWidth="1"/>
    <col min="32" max="32" width="13" bestFit="1" customWidth="1"/>
  </cols>
  <sheetData>
    <row r="1" spans="1:33" x14ac:dyDescent="0.25">
      <c r="A1" t="s">
        <v>342</v>
      </c>
      <c r="B1" t="s">
        <v>83</v>
      </c>
      <c r="C1" t="s">
        <v>150</v>
      </c>
      <c r="D1" t="s">
        <v>149</v>
      </c>
      <c r="E1" t="s">
        <v>148</v>
      </c>
      <c r="F1" t="s">
        <v>90</v>
      </c>
      <c r="G1" t="s">
        <v>147</v>
      </c>
      <c r="H1" t="s">
        <v>146</v>
      </c>
      <c r="I1" t="s">
        <v>36</v>
      </c>
      <c r="J1" t="s">
        <v>75</v>
      </c>
      <c r="K1" t="s">
        <v>76</v>
      </c>
      <c r="L1" t="s">
        <v>145</v>
      </c>
      <c r="M1" t="s">
        <v>144</v>
      </c>
      <c r="N1" t="s">
        <v>143</v>
      </c>
      <c r="O1" t="s">
        <v>142</v>
      </c>
      <c r="P1" t="s">
        <v>141</v>
      </c>
      <c r="Q1" t="s">
        <v>140</v>
      </c>
      <c r="R1" t="s">
        <v>139</v>
      </c>
      <c r="S1" t="s">
        <v>138</v>
      </c>
      <c r="T1" t="s">
        <v>137</v>
      </c>
      <c r="U1" t="s">
        <v>136</v>
      </c>
      <c r="V1" t="s">
        <v>135</v>
      </c>
      <c r="W1" t="s">
        <v>134</v>
      </c>
      <c r="X1" t="s">
        <v>133</v>
      </c>
      <c r="Y1" t="s">
        <v>132</v>
      </c>
      <c r="Z1" t="s">
        <v>131</v>
      </c>
      <c r="AA1" t="s">
        <v>130</v>
      </c>
      <c r="AB1" t="s">
        <v>129</v>
      </c>
      <c r="AC1" t="s">
        <v>128</v>
      </c>
      <c r="AD1" t="s">
        <v>127</v>
      </c>
      <c r="AE1" t="s">
        <v>126</v>
      </c>
      <c r="AF1" t="s">
        <v>125</v>
      </c>
      <c r="AG1" t="s">
        <v>124</v>
      </c>
    </row>
    <row r="2" spans="1:33" x14ac:dyDescent="0.25">
      <c r="A2">
        <v>0</v>
      </c>
      <c r="B2" s="1">
        <v>43257</v>
      </c>
      <c r="C2">
        <v>14</v>
      </c>
      <c r="D2" t="s">
        <v>341</v>
      </c>
      <c r="E2" t="s">
        <v>11</v>
      </c>
      <c r="F2" t="s">
        <v>6</v>
      </c>
      <c r="G2" t="s">
        <v>2</v>
      </c>
      <c r="H2" t="s">
        <v>1</v>
      </c>
      <c r="I2" s="1">
        <v>43091</v>
      </c>
      <c r="J2">
        <v>0</v>
      </c>
      <c r="K2" t="s">
        <v>3</v>
      </c>
      <c r="L2" s="1"/>
      <c r="M2" s="1"/>
      <c r="N2" s="1"/>
      <c r="O2" t="s">
        <v>341</v>
      </c>
      <c r="P2" t="s">
        <v>341</v>
      </c>
      <c r="Q2" t="s">
        <v>341</v>
      </c>
      <c r="R2" t="s">
        <v>341</v>
      </c>
      <c r="S2" s="1"/>
      <c r="T2" t="s">
        <v>341</v>
      </c>
      <c r="U2" t="s">
        <v>341</v>
      </c>
      <c r="V2" s="1"/>
      <c r="W2" t="s">
        <v>341</v>
      </c>
      <c r="X2" t="s">
        <v>341</v>
      </c>
      <c r="Y2" s="1"/>
      <c r="Z2" t="s">
        <v>341</v>
      </c>
      <c r="AA2" t="s">
        <v>341</v>
      </c>
      <c r="AB2" s="1"/>
      <c r="AC2" t="s">
        <v>341</v>
      </c>
      <c r="AD2" t="s">
        <v>341</v>
      </c>
      <c r="AE2" s="1"/>
      <c r="AF2" t="s">
        <v>341</v>
      </c>
      <c r="AG2" s="1"/>
    </row>
    <row r="3" spans="1:33" x14ac:dyDescent="0.25">
      <c r="A3">
        <v>1</v>
      </c>
      <c r="B3" s="1">
        <v>43257</v>
      </c>
      <c r="C3">
        <v>15</v>
      </c>
      <c r="D3" t="s">
        <v>341</v>
      </c>
      <c r="E3" t="s">
        <v>11</v>
      </c>
      <c r="F3" t="s">
        <v>6</v>
      </c>
      <c r="G3" t="s">
        <v>2</v>
      </c>
      <c r="H3" t="s">
        <v>1</v>
      </c>
      <c r="I3" s="1">
        <v>43091</v>
      </c>
      <c r="J3">
        <v>0</v>
      </c>
      <c r="K3" t="s">
        <v>3</v>
      </c>
      <c r="L3" s="1"/>
      <c r="M3" s="1"/>
      <c r="N3" s="1"/>
      <c r="O3" t="s">
        <v>341</v>
      </c>
      <c r="P3" t="s">
        <v>341</v>
      </c>
      <c r="Q3" t="s">
        <v>341</v>
      </c>
      <c r="R3" t="s">
        <v>341</v>
      </c>
      <c r="S3" s="1"/>
      <c r="T3" t="s">
        <v>341</v>
      </c>
      <c r="U3" t="s">
        <v>341</v>
      </c>
      <c r="V3" s="1"/>
      <c r="W3" t="s">
        <v>341</v>
      </c>
      <c r="X3" t="s">
        <v>341</v>
      </c>
      <c r="Y3" s="1"/>
      <c r="Z3" t="s">
        <v>341</v>
      </c>
      <c r="AA3" t="s">
        <v>341</v>
      </c>
      <c r="AB3" s="1"/>
      <c r="AC3" t="s">
        <v>341</v>
      </c>
      <c r="AD3" t="s">
        <v>341</v>
      </c>
      <c r="AE3" s="1"/>
      <c r="AF3" t="s">
        <v>341</v>
      </c>
      <c r="AG3" s="1"/>
    </row>
    <row r="4" spans="1:33" x14ac:dyDescent="0.25">
      <c r="A4">
        <v>2</v>
      </c>
      <c r="B4" s="1">
        <v>43257</v>
      </c>
      <c r="C4">
        <v>16</v>
      </c>
      <c r="D4" t="s">
        <v>341</v>
      </c>
      <c r="E4" t="s">
        <v>11</v>
      </c>
      <c r="F4" t="s">
        <v>6</v>
      </c>
      <c r="G4" t="s">
        <v>2</v>
      </c>
      <c r="H4" t="s">
        <v>1</v>
      </c>
      <c r="I4" s="1">
        <v>43091</v>
      </c>
      <c r="J4">
        <v>3</v>
      </c>
      <c r="K4" t="s">
        <v>3</v>
      </c>
      <c r="L4" s="1"/>
      <c r="M4" s="1"/>
      <c r="N4" s="1"/>
      <c r="O4" t="s">
        <v>341</v>
      </c>
      <c r="P4" t="s">
        <v>341</v>
      </c>
      <c r="Q4" t="s">
        <v>341</v>
      </c>
      <c r="R4" t="s">
        <v>341</v>
      </c>
      <c r="S4" s="1"/>
      <c r="T4" t="s">
        <v>341</v>
      </c>
      <c r="U4" t="s">
        <v>341</v>
      </c>
      <c r="V4" s="1"/>
      <c r="W4" t="s">
        <v>341</v>
      </c>
      <c r="X4" t="s">
        <v>341</v>
      </c>
      <c r="Y4" s="1"/>
      <c r="Z4" t="s">
        <v>341</v>
      </c>
      <c r="AA4" t="s">
        <v>341</v>
      </c>
      <c r="AB4" s="1"/>
      <c r="AC4" t="s">
        <v>341</v>
      </c>
      <c r="AD4" t="s">
        <v>341</v>
      </c>
      <c r="AE4" s="1"/>
      <c r="AF4" t="s">
        <v>341</v>
      </c>
      <c r="AG4" s="1"/>
    </row>
    <row r="5" spans="1:33" x14ac:dyDescent="0.25">
      <c r="A5">
        <v>3</v>
      </c>
      <c r="B5" s="1">
        <v>43257</v>
      </c>
      <c r="C5">
        <v>17</v>
      </c>
      <c r="D5" t="s">
        <v>341</v>
      </c>
      <c r="E5" t="s">
        <v>11</v>
      </c>
      <c r="F5" t="s">
        <v>6</v>
      </c>
      <c r="G5" t="s">
        <v>2</v>
      </c>
      <c r="H5" t="s">
        <v>1</v>
      </c>
      <c r="I5" s="1">
        <v>40554</v>
      </c>
      <c r="J5">
        <v>4</v>
      </c>
      <c r="K5" t="s">
        <v>3</v>
      </c>
      <c r="L5" s="1"/>
      <c r="M5" s="1"/>
      <c r="N5" s="1"/>
      <c r="O5" t="s">
        <v>341</v>
      </c>
      <c r="P5" t="s">
        <v>341</v>
      </c>
      <c r="Q5" t="s">
        <v>341</v>
      </c>
      <c r="R5" t="s">
        <v>341</v>
      </c>
      <c r="S5" s="1"/>
      <c r="T5" t="s">
        <v>341</v>
      </c>
      <c r="U5" t="s">
        <v>341</v>
      </c>
      <c r="V5" s="1"/>
      <c r="W5" t="s">
        <v>341</v>
      </c>
      <c r="X5" t="s">
        <v>341</v>
      </c>
      <c r="Y5" s="1"/>
      <c r="Z5" t="s">
        <v>341</v>
      </c>
      <c r="AA5" t="s">
        <v>341</v>
      </c>
      <c r="AB5" s="1"/>
      <c r="AC5" t="s">
        <v>341</v>
      </c>
      <c r="AD5" t="s">
        <v>341</v>
      </c>
      <c r="AE5" s="1"/>
      <c r="AF5" t="s">
        <v>341</v>
      </c>
      <c r="AG5" s="1"/>
    </row>
    <row r="6" spans="1:33" x14ac:dyDescent="0.25">
      <c r="A6">
        <v>4</v>
      </c>
      <c r="B6" s="1">
        <v>43257</v>
      </c>
      <c r="C6">
        <v>18</v>
      </c>
      <c r="D6" t="s">
        <v>341</v>
      </c>
      <c r="E6" t="s">
        <v>11</v>
      </c>
      <c r="F6" t="s">
        <v>6</v>
      </c>
      <c r="G6" t="s">
        <v>2</v>
      </c>
      <c r="H6" t="s">
        <v>1</v>
      </c>
      <c r="I6" s="1">
        <v>41436</v>
      </c>
      <c r="J6">
        <v>4</v>
      </c>
      <c r="K6" t="s">
        <v>297</v>
      </c>
      <c r="L6" s="1"/>
      <c r="M6" s="1"/>
      <c r="N6" s="1"/>
      <c r="O6" t="s">
        <v>341</v>
      </c>
      <c r="P6" t="s">
        <v>341</v>
      </c>
      <c r="Q6" t="s">
        <v>341</v>
      </c>
      <c r="R6" t="s">
        <v>341</v>
      </c>
      <c r="S6" s="1"/>
      <c r="T6" t="s">
        <v>341</v>
      </c>
      <c r="U6" t="s">
        <v>341</v>
      </c>
      <c r="V6" s="1"/>
      <c r="W6" t="s">
        <v>341</v>
      </c>
      <c r="X6" t="s">
        <v>341</v>
      </c>
      <c r="Y6" s="1"/>
      <c r="Z6" t="s">
        <v>341</v>
      </c>
      <c r="AA6" t="s">
        <v>341</v>
      </c>
      <c r="AB6" s="1"/>
      <c r="AC6" t="s">
        <v>341</v>
      </c>
      <c r="AD6" t="s">
        <v>341</v>
      </c>
      <c r="AE6" s="1"/>
      <c r="AF6" t="s">
        <v>341</v>
      </c>
      <c r="AG6" s="1"/>
    </row>
    <row r="7" spans="1:33" x14ac:dyDescent="0.25">
      <c r="A7">
        <v>5</v>
      </c>
      <c r="B7" s="1">
        <v>43259</v>
      </c>
      <c r="C7">
        <v>19</v>
      </c>
      <c r="D7" t="s">
        <v>341</v>
      </c>
      <c r="E7" t="s">
        <v>11</v>
      </c>
      <c r="F7" t="s">
        <v>6</v>
      </c>
      <c r="G7" t="s">
        <v>2</v>
      </c>
      <c r="H7" t="s">
        <v>1</v>
      </c>
      <c r="I7" s="1">
        <v>41436</v>
      </c>
      <c r="J7">
        <v>4</v>
      </c>
      <c r="K7" t="s">
        <v>3</v>
      </c>
      <c r="L7" s="1">
        <v>25569</v>
      </c>
      <c r="M7" s="1">
        <v>25569</v>
      </c>
      <c r="N7" s="1">
        <v>25569</v>
      </c>
      <c r="O7" t="s">
        <v>341</v>
      </c>
      <c r="P7" t="s">
        <v>341</v>
      </c>
      <c r="Q7" t="s">
        <v>341</v>
      </c>
      <c r="R7" t="s">
        <v>341</v>
      </c>
      <c r="S7" s="1">
        <v>25569</v>
      </c>
      <c r="T7" t="s">
        <v>341</v>
      </c>
      <c r="U7" t="s">
        <v>341</v>
      </c>
      <c r="V7" s="1">
        <v>25569</v>
      </c>
      <c r="W7" t="s">
        <v>341</v>
      </c>
      <c r="X7" t="s">
        <v>341</v>
      </c>
      <c r="Y7" s="1">
        <v>25569</v>
      </c>
      <c r="Z7" t="s">
        <v>341</v>
      </c>
      <c r="AA7" t="s">
        <v>341</v>
      </c>
      <c r="AB7" s="1">
        <v>25569</v>
      </c>
      <c r="AC7" t="s">
        <v>341</v>
      </c>
      <c r="AD7" t="s">
        <v>341</v>
      </c>
      <c r="AE7" s="1">
        <v>25569</v>
      </c>
      <c r="AF7" t="s">
        <v>341</v>
      </c>
      <c r="AG7" s="1">
        <v>25569</v>
      </c>
    </row>
    <row r="8" spans="1:33" x14ac:dyDescent="0.25">
      <c r="A8">
        <v>6</v>
      </c>
      <c r="B8" s="1">
        <v>43259</v>
      </c>
      <c r="C8">
        <v>20</v>
      </c>
      <c r="D8" t="s">
        <v>341</v>
      </c>
      <c r="E8" t="s">
        <v>11</v>
      </c>
      <c r="F8" t="s">
        <v>6</v>
      </c>
      <c r="G8" t="s">
        <v>2</v>
      </c>
      <c r="H8" t="s">
        <v>1</v>
      </c>
      <c r="I8" s="1">
        <v>41436</v>
      </c>
      <c r="J8">
        <v>4</v>
      </c>
      <c r="K8" t="s">
        <v>3</v>
      </c>
      <c r="L8" s="1">
        <v>25569</v>
      </c>
      <c r="M8" s="1">
        <v>25569</v>
      </c>
      <c r="N8" s="1">
        <v>25569</v>
      </c>
      <c r="O8" t="s">
        <v>341</v>
      </c>
      <c r="P8" t="s">
        <v>341</v>
      </c>
      <c r="Q8" t="s">
        <v>341</v>
      </c>
      <c r="R8" t="s">
        <v>341</v>
      </c>
      <c r="S8" s="1">
        <v>25569</v>
      </c>
      <c r="T8" t="s">
        <v>341</v>
      </c>
      <c r="U8" t="s">
        <v>341</v>
      </c>
      <c r="V8" s="1">
        <v>25569</v>
      </c>
      <c r="W8" t="s">
        <v>341</v>
      </c>
      <c r="X8" t="s">
        <v>341</v>
      </c>
      <c r="Y8" s="1">
        <v>25569</v>
      </c>
      <c r="Z8" t="s">
        <v>341</v>
      </c>
      <c r="AA8" t="s">
        <v>341</v>
      </c>
      <c r="AB8" s="1">
        <v>25569</v>
      </c>
      <c r="AC8" t="s">
        <v>341</v>
      </c>
      <c r="AD8" t="s">
        <v>341</v>
      </c>
      <c r="AE8" s="1">
        <v>25569</v>
      </c>
      <c r="AF8" t="s">
        <v>341</v>
      </c>
      <c r="AG8" s="1">
        <v>25569</v>
      </c>
    </row>
    <row r="9" spans="1:33" x14ac:dyDescent="0.25">
      <c r="A9">
        <v>7</v>
      </c>
      <c r="B9" s="1">
        <v>43260</v>
      </c>
      <c r="C9">
        <v>23</v>
      </c>
      <c r="D9" t="s">
        <v>341</v>
      </c>
      <c r="E9" t="s">
        <v>11</v>
      </c>
      <c r="F9" t="s">
        <v>327</v>
      </c>
      <c r="G9" t="s">
        <v>691</v>
      </c>
      <c r="H9" t="s">
        <v>836</v>
      </c>
      <c r="I9" s="1">
        <v>25569</v>
      </c>
      <c r="J9">
        <v>0</v>
      </c>
      <c r="K9" t="s">
        <v>3</v>
      </c>
      <c r="L9" s="1">
        <v>25569</v>
      </c>
      <c r="M9" s="1">
        <v>25569</v>
      </c>
      <c r="N9" s="1">
        <v>25569</v>
      </c>
      <c r="O9" t="s">
        <v>341</v>
      </c>
      <c r="P9" t="s">
        <v>341</v>
      </c>
      <c r="Q9" t="s">
        <v>341</v>
      </c>
      <c r="R9" t="s">
        <v>341</v>
      </c>
      <c r="S9" s="1">
        <v>25569</v>
      </c>
      <c r="T9" t="s">
        <v>341</v>
      </c>
      <c r="U9" t="s">
        <v>341</v>
      </c>
      <c r="V9" s="1">
        <v>25569</v>
      </c>
      <c r="W9" t="s">
        <v>341</v>
      </c>
      <c r="X9" t="s">
        <v>341</v>
      </c>
      <c r="Y9" s="1">
        <v>25569</v>
      </c>
      <c r="Z9" t="s">
        <v>341</v>
      </c>
      <c r="AA9" t="s">
        <v>341</v>
      </c>
      <c r="AB9" s="1">
        <v>25569</v>
      </c>
      <c r="AC9" t="s">
        <v>341</v>
      </c>
      <c r="AD9" t="s">
        <v>341</v>
      </c>
      <c r="AE9" s="1">
        <v>25569</v>
      </c>
      <c r="AF9" t="s">
        <v>341</v>
      </c>
      <c r="AG9" s="1">
        <v>25569</v>
      </c>
    </row>
    <row r="10" spans="1:33" x14ac:dyDescent="0.25">
      <c r="A10">
        <v>8</v>
      </c>
      <c r="B10" s="1">
        <v>43264</v>
      </c>
      <c r="C10">
        <v>24</v>
      </c>
      <c r="D10" t="s">
        <v>341</v>
      </c>
      <c r="E10" t="s">
        <v>11</v>
      </c>
      <c r="F10" t="s">
        <v>6</v>
      </c>
      <c r="G10" t="s">
        <v>837</v>
      </c>
      <c r="H10" t="s">
        <v>1</v>
      </c>
      <c r="I10" s="1">
        <v>41436</v>
      </c>
      <c r="J10">
        <v>5</v>
      </c>
      <c r="K10" t="s">
        <v>3</v>
      </c>
      <c r="L10" s="1">
        <v>25569</v>
      </c>
      <c r="M10" s="1">
        <v>25569</v>
      </c>
      <c r="N10" s="1">
        <v>25569</v>
      </c>
      <c r="O10" t="s">
        <v>838</v>
      </c>
      <c r="P10" t="s">
        <v>136</v>
      </c>
      <c r="Q10" t="s">
        <v>650</v>
      </c>
      <c r="R10" t="s">
        <v>311</v>
      </c>
      <c r="S10" s="1">
        <v>43150</v>
      </c>
      <c r="T10" t="s">
        <v>341</v>
      </c>
      <c r="U10" t="s">
        <v>341</v>
      </c>
      <c r="V10" s="1">
        <v>25569</v>
      </c>
      <c r="W10" t="s">
        <v>341</v>
      </c>
      <c r="X10" t="s">
        <v>341</v>
      </c>
      <c r="Y10" s="1">
        <v>25569</v>
      </c>
      <c r="Z10" t="s">
        <v>341</v>
      </c>
      <c r="AA10" t="s">
        <v>341</v>
      </c>
      <c r="AB10" s="1">
        <v>25569</v>
      </c>
      <c r="AC10" t="s">
        <v>341</v>
      </c>
      <c r="AD10" t="s">
        <v>341</v>
      </c>
      <c r="AE10" s="1">
        <v>25569</v>
      </c>
      <c r="AF10" t="s">
        <v>341</v>
      </c>
      <c r="AG10" s="1">
        <v>25569</v>
      </c>
    </row>
  </sheetData>
  <conditionalFormatting sqref="B2:B10">
    <cfRule type="expression" dxfId="68" priority="1">
      <formula>_xludf.ISBLANK(B2)</formula>
    </cfRule>
  </conditionalFormatting>
  <conditionalFormatting sqref="D2:D10">
    <cfRule type="expression" dxfId="67" priority="2">
      <formula>_xludf.ISBLANK(D2)</formula>
    </cfRule>
  </conditionalFormatting>
  <conditionalFormatting sqref="E2:E10">
    <cfRule type="expression" dxfId="66" priority="3">
      <formula>_xludf.ISBLANK(E2)</formula>
    </cfRule>
  </conditionalFormatting>
  <conditionalFormatting sqref="F2:F10">
    <cfRule type="expression" dxfId="65" priority="4">
      <formula>_xludf.ISBLANK(F2)</formula>
    </cfRule>
  </conditionalFormatting>
  <conditionalFormatting sqref="G2:G10">
    <cfRule type="expression" dxfId="64" priority="5">
      <formula>_xludf.ISBLANK(G2)</formula>
    </cfRule>
  </conditionalFormatting>
  <conditionalFormatting sqref="H2:H10">
    <cfRule type="expression" dxfId="63" priority="6">
      <formula>_xludf.ISBLANK(H2)</formula>
    </cfRule>
  </conditionalFormatting>
  <conditionalFormatting sqref="I2:I10">
    <cfRule type="expression" dxfId="62" priority="7">
      <formula>_xludf.ISBLANK(I2)</formula>
    </cfRule>
  </conditionalFormatting>
  <conditionalFormatting sqref="J2:J10">
    <cfRule type="expression" dxfId="61" priority="8">
      <formula>_xludf.ISBLANK(J2)</formula>
    </cfRule>
  </conditionalFormatting>
  <conditionalFormatting sqref="K2:K10">
    <cfRule type="expression" dxfId="60" priority="9">
      <formula>_xludf.ISBLANK(K2)</formula>
    </cfRule>
  </conditionalFormatting>
  <conditionalFormatting sqref="L2:L10">
    <cfRule type="expression" dxfId="59" priority="10">
      <formula>_xludf.ISBLANK(L2)</formula>
    </cfRule>
  </conditionalFormatting>
  <conditionalFormatting sqref="M2:M10">
    <cfRule type="expression" dxfId="58" priority="11">
      <formula>_xludf.ISBLANK(M2)</formula>
    </cfRule>
  </conditionalFormatting>
  <conditionalFormatting sqref="N2:N10">
    <cfRule type="expression" dxfId="57" priority="12">
      <formula>_xludf.ISBLANK(N2)</formula>
    </cfRule>
  </conditionalFormatting>
  <conditionalFormatting sqref="O2:O10">
    <cfRule type="expression" dxfId="56" priority="13">
      <formula>_xludf.ISBLANK(O2)</formula>
    </cfRule>
  </conditionalFormatting>
  <conditionalFormatting sqref="P2:P10">
    <cfRule type="expression" dxfId="55" priority="14">
      <formula>_xludf.ISBLANK(P2)</formula>
    </cfRule>
  </conditionalFormatting>
  <conditionalFormatting sqref="Q2:Q10">
    <cfRule type="expression" dxfId="54" priority="15">
      <formula>_xludf.ISBLANK(Q2)</formula>
    </cfRule>
  </conditionalFormatting>
  <conditionalFormatting sqref="R2:R10">
    <cfRule type="expression" dxfId="53" priority="16">
      <formula>_xludf.ISBLANK(R2)</formula>
    </cfRule>
  </conditionalFormatting>
  <conditionalFormatting sqref="S2:S10">
    <cfRule type="expression" dxfId="52" priority="17">
      <formula>_xludf.ISBLANK(S2)</formula>
    </cfRule>
  </conditionalFormatting>
  <conditionalFormatting sqref="T2:T10">
    <cfRule type="expression" dxfId="51" priority="18">
      <formula>_xludf.ISBLANK(T2)</formula>
    </cfRule>
  </conditionalFormatting>
  <conditionalFormatting sqref="U2:U10">
    <cfRule type="expression" dxfId="50" priority="19">
      <formula>_xludf.ISBLANK(U2)</formula>
    </cfRule>
  </conditionalFormatting>
  <conditionalFormatting sqref="V2:V10">
    <cfRule type="expression" dxfId="49" priority="20">
      <formula>_xludf.ISBLANK(V2)</formula>
    </cfRule>
  </conditionalFormatting>
  <conditionalFormatting sqref="W2:W10">
    <cfRule type="expression" dxfId="48" priority="21">
      <formula>_xludf.ISBLANK(W2)</formula>
    </cfRule>
  </conditionalFormatting>
  <conditionalFormatting sqref="X2:X10">
    <cfRule type="expression" dxfId="47" priority="22">
      <formula>_xludf.ISBLANK(X2)</formula>
    </cfRule>
  </conditionalFormatting>
  <conditionalFormatting sqref="Y2:Y10">
    <cfRule type="expression" dxfId="46" priority="23">
      <formula>_xludf.ISBLANK(Y2)</formula>
    </cfRule>
  </conditionalFormatting>
  <conditionalFormatting sqref="Z2:Z10">
    <cfRule type="expression" dxfId="45" priority="24">
      <formula>_xludf.ISBLANK(Z2)</formula>
    </cfRule>
  </conditionalFormatting>
  <conditionalFormatting sqref="AA2:AA10">
    <cfRule type="expression" dxfId="44" priority="25">
      <formula>_xludf.ISBLANK(AA2)</formula>
    </cfRule>
  </conditionalFormatting>
  <conditionalFormatting sqref="AB2:AB10">
    <cfRule type="expression" dxfId="43" priority="26">
      <formula>_xludf.ISBLANK(AB2)</formula>
    </cfRule>
  </conditionalFormatting>
  <conditionalFormatting sqref="AC2:AC10">
    <cfRule type="expression" dxfId="42" priority="27">
      <formula>_xludf.ISBLANK(AC2)</formula>
    </cfRule>
  </conditionalFormatting>
  <conditionalFormatting sqref="AD2:AD10">
    <cfRule type="expression" dxfId="41" priority="28">
      <formula>_xludf.ISBLANK(AD2)</formula>
    </cfRule>
  </conditionalFormatting>
  <conditionalFormatting sqref="AE2:AE10">
    <cfRule type="expression" dxfId="40" priority="29">
      <formula>_xludf.ISBLANK(AE2)</formula>
    </cfRule>
  </conditionalFormatting>
  <conditionalFormatting sqref="AF2:AF10">
    <cfRule type="expression" dxfId="39" priority="30">
      <formula>_xludf.ISBLANK(AF2)</formula>
    </cfRule>
  </conditionalFormatting>
  <conditionalFormatting sqref="AG2:AG10">
    <cfRule type="expression" dxfId="38" priority="31">
      <formula>_xludf.ISBLANK(AG2)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20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9">
    <pageSetUpPr fitToPage="1"/>
  </sheetPr>
  <dimension ref="A1:AC22"/>
  <sheetViews>
    <sheetView showGridLines="0" tabSelected="1" topLeftCell="J1" workbookViewId="0">
      <selection activeCell="Q12" sqref="Q12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3.85546875" bestFit="1" customWidth="1"/>
    <col min="4" max="4" width="11.42578125" bestFit="1" customWidth="1"/>
    <col min="5" max="5" width="10.28515625" bestFit="1" customWidth="1"/>
    <col min="6" max="6" width="18.85546875" bestFit="1" customWidth="1"/>
    <col min="7" max="7" width="15.85546875" bestFit="1" customWidth="1"/>
    <col min="8" max="8" width="15" bestFit="1" customWidth="1"/>
    <col min="9" max="9" width="13.42578125" bestFit="1" customWidth="1"/>
    <col min="10" max="10" width="15.7109375" bestFit="1" customWidth="1"/>
    <col min="11" max="11" width="11" bestFit="1" customWidth="1"/>
    <col min="12" max="12" width="5.5703125" bestFit="1" customWidth="1"/>
    <col min="13" max="13" width="12.140625" bestFit="1" customWidth="1"/>
    <col min="14" max="14" width="19.85546875" bestFit="1" customWidth="1"/>
    <col min="15" max="15" width="8.28515625" bestFit="1" customWidth="1"/>
    <col min="16" max="17" width="12.85546875" bestFit="1" customWidth="1"/>
    <col min="18" max="18" width="13.5703125" bestFit="1" customWidth="1"/>
    <col min="19" max="19" width="12.85546875" bestFit="1" customWidth="1"/>
    <col min="20" max="20" width="13.5703125" bestFit="1" customWidth="1"/>
    <col min="21" max="21" width="12.85546875" bestFit="1" customWidth="1"/>
    <col min="22" max="22" width="13.57031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8" width="12.5703125" bestFit="1" customWidth="1"/>
    <col min="29" max="29" width="18.5703125" bestFit="1" customWidth="1"/>
  </cols>
  <sheetData>
    <row r="1" spans="1:29" x14ac:dyDescent="0.25">
      <c r="A1" t="s">
        <v>342</v>
      </c>
      <c r="B1" t="s">
        <v>83</v>
      </c>
      <c r="C1" t="s">
        <v>359</v>
      </c>
      <c r="D1" t="s">
        <v>71</v>
      </c>
      <c r="E1" t="s">
        <v>70</v>
      </c>
      <c r="F1" t="s">
        <v>68</v>
      </c>
      <c r="G1" t="s">
        <v>360</v>
      </c>
      <c r="H1" t="s">
        <v>361</v>
      </c>
      <c r="I1" t="s">
        <v>362</v>
      </c>
      <c r="J1" t="s">
        <v>363</v>
      </c>
      <c r="K1" t="s">
        <v>33</v>
      </c>
      <c r="L1" t="s">
        <v>364</v>
      </c>
      <c r="M1" t="s">
        <v>148</v>
      </c>
      <c r="N1" t="s">
        <v>365</v>
      </c>
      <c r="O1" t="s">
        <v>75</v>
      </c>
      <c r="P1" t="s">
        <v>366</v>
      </c>
      <c r="Q1" t="s">
        <v>367</v>
      </c>
      <c r="R1" t="s">
        <v>368</v>
      </c>
      <c r="S1" t="s">
        <v>369</v>
      </c>
      <c r="T1" t="s">
        <v>370</v>
      </c>
      <c r="U1" t="s">
        <v>371</v>
      </c>
      <c r="V1" t="s">
        <v>372</v>
      </c>
      <c r="W1" t="s">
        <v>373</v>
      </c>
      <c r="X1" t="s">
        <v>374</v>
      </c>
      <c r="Y1" t="s">
        <v>375</v>
      </c>
      <c r="Z1" t="s">
        <v>376</v>
      </c>
      <c r="AA1" t="s">
        <v>377</v>
      </c>
      <c r="AB1" t="s">
        <v>378</v>
      </c>
      <c r="AC1" t="s">
        <v>379</v>
      </c>
    </row>
    <row r="2" spans="1:29" x14ac:dyDescent="0.25">
      <c r="A2">
        <v>0</v>
      </c>
      <c r="B2" s="1"/>
      <c r="C2">
        <v>17</v>
      </c>
      <c r="D2" t="s">
        <v>389</v>
      </c>
      <c r="E2" t="s">
        <v>390</v>
      </c>
      <c r="F2" t="s">
        <v>341</v>
      </c>
      <c r="G2" t="s">
        <v>341</v>
      </c>
      <c r="H2" t="s">
        <v>341</v>
      </c>
      <c r="I2" t="s">
        <v>391</v>
      </c>
      <c r="J2" t="s">
        <v>341</v>
      </c>
      <c r="K2" t="s">
        <v>341</v>
      </c>
      <c r="L2" t="s">
        <v>341</v>
      </c>
      <c r="M2" t="s">
        <v>341</v>
      </c>
      <c r="N2" t="s">
        <v>341</v>
      </c>
      <c r="O2">
        <v>0</v>
      </c>
      <c r="P2" t="s">
        <v>391</v>
      </c>
      <c r="Q2" t="s">
        <v>392</v>
      </c>
      <c r="R2" t="s">
        <v>393</v>
      </c>
      <c r="S2" t="s">
        <v>394</v>
      </c>
      <c r="T2" t="s">
        <v>393</v>
      </c>
      <c r="U2" t="s">
        <v>395</v>
      </c>
      <c r="V2" t="s">
        <v>393</v>
      </c>
      <c r="W2" t="s">
        <v>106</v>
      </c>
      <c r="X2" t="s">
        <v>391</v>
      </c>
      <c r="Y2" t="s">
        <v>391</v>
      </c>
      <c r="Z2" t="s">
        <v>391</v>
      </c>
      <c r="AA2" t="s">
        <v>391</v>
      </c>
      <c r="AB2" t="s">
        <v>391</v>
      </c>
      <c r="AC2" t="s">
        <v>391</v>
      </c>
    </row>
    <row r="3" spans="1:29" x14ac:dyDescent="0.25">
      <c r="A3">
        <v>1</v>
      </c>
      <c r="B3" s="1"/>
      <c r="C3">
        <v>18</v>
      </c>
      <c r="D3" t="s">
        <v>389</v>
      </c>
      <c r="E3" t="s">
        <v>390</v>
      </c>
      <c r="F3" t="s">
        <v>341</v>
      </c>
      <c r="G3" t="s">
        <v>341</v>
      </c>
      <c r="H3" t="s">
        <v>341</v>
      </c>
      <c r="I3" t="s">
        <v>391</v>
      </c>
      <c r="J3" t="s">
        <v>341</v>
      </c>
      <c r="K3" t="s">
        <v>341</v>
      </c>
      <c r="L3" t="s">
        <v>341</v>
      </c>
      <c r="M3" t="s">
        <v>341</v>
      </c>
      <c r="N3" t="s">
        <v>341</v>
      </c>
      <c r="O3">
        <v>0</v>
      </c>
      <c r="P3" t="s">
        <v>391</v>
      </c>
      <c r="Q3" t="s">
        <v>392</v>
      </c>
      <c r="R3" t="s">
        <v>106</v>
      </c>
      <c r="S3" t="s">
        <v>396</v>
      </c>
      <c r="T3" t="s">
        <v>106</v>
      </c>
      <c r="U3" t="s">
        <v>395</v>
      </c>
      <c r="V3" t="s">
        <v>106</v>
      </c>
      <c r="W3" t="s">
        <v>106</v>
      </c>
      <c r="X3" t="s">
        <v>391</v>
      </c>
      <c r="Y3" t="s">
        <v>391</v>
      </c>
      <c r="Z3" t="s">
        <v>391</v>
      </c>
      <c r="AA3" t="s">
        <v>391</v>
      </c>
      <c r="AB3" t="s">
        <v>391</v>
      </c>
      <c r="AC3" t="s">
        <v>391</v>
      </c>
    </row>
    <row r="4" spans="1:29" x14ac:dyDescent="0.25">
      <c r="A4">
        <v>2</v>
      </c>
      <c r="B4" s="1"/>
      <c r="C4">
        <v>19</v>
      </c>
      <c r="D4" t="s">
        <v>389</v>
      </c>
      <c r="E4" t="s">
        <v>390</v>
      </c>
      <c r="F4" t="s">
        <v>341</v>
      </c>
      <c r="G4" t="s">
        <v>341</v>
      </c>
      <c r="H4" t="s">
        <v>341</v>
      </c>
      <c r="I4" t="s">
        <v>391</v>
      </c>
      <c r="J4" t="s">
        <v>341</v>
      </c>
      <c r="K4" t="s">
        <v>341</v>
      </c>
      <c r="L4" t="s">
        <v>341</v>
      </c>
      <c r="M4" t="s">
        <v>341</v>
      </c>
      <c r="N4" t="s">
        <v>341</v>
      </c>
      <c r="O4">
        <v>0</v>
      </c>
      <c r="P4" t="s">
        <v>391</v>
      </c>
      <c r="Q4" t="s">
        <v>392</v>
      </c>
      <c r="R4" t="s">
        <v>393</v>
      </c>
      <c r="S4" t="s">
        <v>394</v>
      </c>
      <c r="T4" t="s">
        <v>393</v>
      </c>
      <c r="U4" t="s">
        <v>395</v>
      </c>
      <c r="V4" t="s">
        <v>393</v>
      </c>
      <c r="W4" t="s">
        <v>106</v>
      </c>
      <c r="X4" t="s">
        <v>391</v>
      </c>
      <c r="Y4" t="s">
        <v>391</v>
      </c>
      <c r="Z4" t="s">
        <v>391</v>
      </c>
      <c r="AA4" t="s">
        <v>391</v>
      </c>
      <c r="AB4" t="s">
        <v>391</v>
      </c>
      <c r="AC4" t="s">
        <v>391</v>
      </c>
    </row>
    <row r="5" spans="1:29" x14ac:dyDescent="0.25">
      <c r="A5">
        <v>3</v>
      </c>
      <c r="B5" s="1"/>
      <c r="C5">
        <v>20</v>
      </c>
      <c r="D5" t="s">
        <v>4</v>
      </c>
      <c r="E5" t="s">
        <v>390</v>
      </c>
      <c r="F5" t="s">
        <v>6</v>
      </c>
      <c r="G5" t="s">
        <v>397</v>
      </c>
      <c r="H5" t="s">
        <v>398</v>
      </c>
      <c r="I5" t="s">
        <v>399</v>
      </c>
      <c r="J5" t="s">
        <v>314</v>
      </c>
      <c r="K5" t="s">
        <v>400</v>
      </c>
      <c r="L5" t="s">
        <v>364</v>
      </c>
      <c r="M5" t="s">
        <v>341</v>
      </c>
      <c r="N5" t="s">
        <v>401</v>
      </c>
      <c r="O5">
        <v>20</v>
      </c>
      <c r="P5" t="s">
        <v>269</v>
      </c>
      <c r="Q5" t="s">
        <v>392</v>
      </c>
      <c r="R5" t="s">
        <v>402</v>
      </c>
      <c r="S5" t="s">
        <v>394</v>
      </c>
      <c r="T5" t="s">
        <v>403</v>
      </c>
      <c r="U5" t="s">
        <v>395</v>
      </c>
      <c r="V5" t="s">
        <v>404</v>
      </c>
      <c r="W5" t="s">
        <v>9</v>
      </c>
      <c r="X5" t="s">
        <v>9</v>
      </c>
      <c r="Y5" t="s">
        <v>9</v>
      </c>
      <c r="Z5" t="s">
        <v>331</v>
      </c>
      <c r="AA5" t="s">
        <v>9</v>
      </c>
      <c r="AB5" t="s">
        <v>331</v>
      </c>
      <c r="AC5" t="s">
        <v>405</v>
      </c>
    </row>
    <row r="6" spans="1:29" x14ac:dyDescent="0.25">
      <c r="A6">
        <v>4</v>
      </c>
      <c r="B6" s="1"/>
      <c r="C6">
        <v>22</v>
      </c>
      <c r="D6" t="s">
        <v>4</v>
      </c>
      <c r="E6" t="s">
        <v>390</v>
      </c>
      <c r="F6" t="s">
        <v>6</v>
      </c>
      <c r="G6" t="s">
        <v>397</v>
      </c>
      <c r="H6" t="s">
        <v>398</v>
      </c>
      <c r="I6" t="s">
        <v>399</v>
      </c>
      <c r="J6" t="s">
        <v>314</v>
      </c>
      <c r="K6" t="s">
        <v>406</v>
      </c>
      <c r="L6" t="s">
        <v>407</v>
      </c>
      <c r="M6" t="s">
        <v>11</v>
      </c>
      <c r="N6" t="s">
        <v>408</v>
      </c>
      <c r="O6">
        <v>20</v>
      </c>
      <c r="P6" t="s">
        <v>270</v>
      </c>
      <c r="Q6" t="s">
        <v>394</v>
      </c>
      <c r="R6" t="s">
        <v>402</v>
      </c>
      <c r="S6" t="s">
        <v>394</v>
      </c>
      <c r="T6" t="s">
        <v>403</v>
      </c>
      <c r="U6" t="s">
        <v>394</v>
      </c>
      <c r="V6" t="s">
        <v>404</v>
      </c>
      <c r="W6" t="s">
        <v>331</v>
      </c>
      <c r="X6" t="s">
        <v>331</v>
      </c>
      <c r="Y6" t="s">
        <v>9</v>
      </c>
      <c r="Z6" t="s">
        <v>331</v>
      </c>
      <c r="AA6" t="s">
        <v>9</v>
      </c>
      <c r="AB6" t="s">
        <v>331</v>
      </c>
      <c r="AC6" t="s">
        <v>409</v>
      </c>
    </row>
    <row r="7" spans="1:29" x14ac:dyDescent="0.25">
      <c r="A7">
        <v>5</v>
      </c>
      <c r="B7" s="1"/>
      <c r="C7">
        <v>23</v>
      </c>
      <c r="D7" t="s">
        <v>4</v>
      </c>
      <c r="E7" t="s">
        <v>390</v>
      </c>
      <c r="F7" t="s">
        <v>410</v>
      </c>
      <c r="G7" t="s">
        <v>411</v>
      </c>
      <c r="H7" t="s">
        <v>412</v>
      </c>
      <c r="I7" t="s">
        <v>413</v>
      </c>
      <c r="J7" t="s">
        <v>414</v>
      </c>
      <c r="K7" t="s">
        <v>415</v>
      </c>
      <c r="L7" t="s">
        <v>416</v>
      </c>
      <c r="M7" t="s">
        <v>11</v>
      </c>
      <c r="N7" t="s">
        <v>412</v>
      </c>
      <c r="O7">
        <v>201</v>
      </c>
      <c r="P7" t="s">
        <v>269</v>
      </c>
      <c r="Q7" t="s">
        <v>394</v>
      </c>
      <c r="R7" t="s">
        <v>417</v>
      </c>
      <c r="S7" t="s">
        <v>394</v>
      </c>
      <c r="T7" t="s">
        <v>417</v>
      </c>
      <c r="U7" t="s">
        <v>394</v>
      </c>
      <c r="V7" t="s">
        <v>417</v>
      </c>
      <c r="W7" t="s">
        <v>9</v>
      </c>
      <c r="X7" t="s">
        <v>331</v>
      </c>
      <c r="Y7" t="s">
        <v>331</v>
      </c>
      <c r="Z7" t="s">
        <v>331</v>
      </c>
      <c r="AA7" t="s">
        <v>331</v>
      </c>
      <c r="AB7" t="s">
        <v>331</v>
      </c>
      <c r="AC7" t="s">
        <v>409</v>
      </c>
    </row>
    <row r="8" spans="1:29" x14ac:dyDescent="0.25">
      <c r="A8">
        <v>6</v>
      </c>
      <c r="B8" s="1"/>
      <c r="C8">
        <v>24</v>
      </c>
      <c r="D8" t="s">
        <v>341</v>
      </c>
      <c r="F8" t="s">
        <v>341</v>
      </c>
      <c r="G8" t="s">
        <v>341</v>
      </c>
      <c r="H8" t="s">
        <v>341</v>
      </c>
      <c r="I8" t="s">
        <v>106</v>
      </c>
      <c r="J8" t="s">
        <v>341</v>
      </c>
      <c r="K8" t="s">
        <v>341</v>
      </c>
      <c r="L8" t="s">
        <v>341</v>
      </c>
      <c r="M8" t="s">
        <v>17</v>
      </c>
      <c r="N8" t="s">
        <v>341</v>
      </c>
      <c r="O8">
        <v>0</v>
      </c>
      <c r="P8" t="s">
        <v>391</v>
      </c>
      <c r="Q8" t="s">
        <v>106</v>
      </c>
      <c r="R8" t="s">
        <v>106</v>
      </c>
      <c r="S8" t="s">
        <v>106</v>
      </c>
      <c r="T8" t="s">
        <v>106</v>
      </c>
      <c r="U8" t="s">
        <v>106</v>
      </c>
      <c r="V8" t="s">
        <v>106</v>
      </c>
      <c r="W8" t="s">
        <v>106</v>
      </c>
      <c r="X8" t="s">
        <v>391</v>
      </c>
      <c r="Y8" t="s">
        <v>391</v>
      </c>
      <c r="Z8" t="s">
        <v>391</v>
      </c>
      <c r="AA8" t="s">
        <v>391</v>
      </c>
      <c r="AB8" t="s">
        <v>391</v>
      </c>
      <c r="AC8" t="s">
        <v>391</v>
      </c>
    </row>
    <row r="9" spans="1:29" x14ac:dyDescent="0.25">
      <c r="A9">
        <v>7</v>
      </c>
      <c r="B9" s="1"/>
      <c r="C9">
        <v>25</v>
      </c>
      <c r="D9" t="s">
        <v>341</v>
      </c>
      <c r="F9" t="s">
        <v>341</v>
      </c>
      <c r="G9" t="s">
        <v>341</v>
      </c>
      <c r="H9" t="s">
        <v>341</v>
      </c>
      <c r="I9" t="s">
        <v>106</v>
      </c>
      <c r="J9" t="s">
        <v>341</v>
      </c>
      <c r="K9" t="s">
        <v>341</v>
      </c>
      <c r="L9" t="s">
        <v>341</v>
      </c>
      <c r="M9" t="s">
        <v>17</v>
      </c>
      <c r="N9" t="s">
        <v>341</v>
      </c>
      <c r="O9">
        <v>0</v>
      </c>
      <c r="P9" t="s">
        <v>391</v>
      </c>
      <c r="Q9" t="s">
        <v>106</v>
      </c>
      <c r="R9" t="s">
        <v>106</v>
      </c>
      <c r="S9" t="s">
        <v>106</v>
      </c>
      <c r="T9" t="s">
        <v>106</v>
      </c>
      <c r="U9" t="s">
        <v>106</v>
      </c>
      <c r="V9" t="s">
        <v>106</v>
      </c>
      <c r="W9" t="s">
        <v>106</v>
      </c>
      <c r="X9" t="s">
        <v>391</v>
      </c>
      <c r="Y9" t="s">
        <v>391</v>
      </c>
      <c r="Z9" t="s">
        <v>391</v>
      </c>
      <c r="AA9" t="s">
        <v>391</v>
      </c>
      <c r="AB9" t="s">
        <v>391</v>
      </c>
      <c r="AC9" t="s">
        <v>391</v>
      </c>
    </row>
    <row r="10" spans="1:29" x14ac:dyDescent="0.25">
      <c r="A10">
        <v>8</v>
      </c>
      <c r="B10" s="1"/>
      <c r="C10">
        <v>26</v>
      </c>
      <c r="D10" t="s">
        <v>341</v>
      </c>
      <c r="F10" t="s">
        <v>341</v>
      </c>
      <c r="G10" t="s">
        <v>341</v>
      </c>
      <c r="H10" t="s">
        <v>341</v>
      </c>
      <c r="I10" t="s">
        <v>106</v>
      </c>
      <c r="J10" t="s">
        <v>341</v>
      </c>
      <c r="K10" t="s">
        <v>341</v>
      </c>
      <c r="L10" t="s">
        <v>341</v>
      </c>
      <c r="M10" t="s">
        <v>17</v>
      </c>
      <c r="N10" t="s">
        <v>341</v>
      </c>
      <c r="O10">
        <v>0</v>
      </c>
      <c r="P10" t="s">
        <v>391</v>
      </c>
      <c r="Q10" t="s">
        <v>106</v>
      </c>
      <c r="R10" t="s">
        <v>106</v>
      </c>
      <c r="S10" t="s">
        <v>106</v>
      </c>
      <c r="T10" t="s">
        <v>106</v>
      </c>
      <c r="U10" t="s">
        <v>106</v>
      </c>
      <c r="V10" t="s">
        <v>106</v>
      </c>
      <c r="W10" t="s">
        <v>106</v>
      </c>
      <c r="X10" t="s">
        <v>391</v>
      </c>
      <c r="Y10" t="s">
        <v>391</v>
      </c>
      <c r="Z10" t="s">
        <v>391</v>
      </c>
      <c r="AA10" t="s">
        <v>391</v>
      </c>
      <c r="AB10" t="s">
        <v>391</v>
      </c>
      <c r="AC10" t="s">
        <v>391</v>
      </c>
    </row>
    <row r="11" spans="1:29" x14ac:dyDescent="0.25">
      <c r="A11">
        <v>9</v>
      </c>
      <c r="B11" s="1"/>
      <c r="C11">
        <v>27</v>
      </c>
      <c r="D11" t="s">
        <v>341</v>
      </c>
      <c r="F11" t="s">
        <v>341</v>
      </c>
      <c r="G11" t="s">
        <v>341</v>
      </c>
      <c r="H11" t="s">
        <v>341</v>
      </c>
      <c r="I11" t="s">
        <v>106</v>
      </c>
      <c r="J11" t="s">
        <v>341</v>
      </c>
      <c r="K11" t="s">
        <v>341</v>
      </c>
      <c r="L11" t="s">
        <v>341</v>
      </c>
      <c r="M11" t="s">
        <v>17</v>
      </c>
      <c r="N11" t="s">
        <v>341</v>
      </c>
      <c r="O11">
        <v>0</v>
      </c>
      <c r="P11" t="s">
        <v>391</v>
      </c>
      <c r="Q11" t="s">
        <v>106</v>
      </c>
      <c r="R11" t="s">
        <v>106</v>
      </c>
      <c r="S11" t="s">
        <v>106</v>
      </c>
      <c r="T11" t="s">
        <v>106</v>
      </c>
      <c r="U11" t="s">
        <v>106</v>
      </c>
      <c r="V11" t="s">
        <v>106</v>
      </c>
      <c r="W11" t="s">
        <v>106</v>
      </c>
      <c r="X11" t="s">
        <v>391</v>
      </c>
      <c r="Y11" t="s">
        <v>391</v>
      </c>
      <c r="Z11" t="s">
        <v>391</v>
      </c>
      <c r="AA11" t="s">
        <v>391</v>
      </c>
      <c r="AB11" t="s">
        <v>391</v>
      </c>
      <c r="AC11" t="s">
        <v>391</v>
      </c>
    </row>
    <row r="12" spans="1:29" x14ac:dyDescent="0.25">
      <c r="A12">
        <v>10</v>
      </c>
      <c r="B12" s="1"/>
      <c r="C12">
        <v>28</v>
      </c>
      <c r="D12" t="s">
        <v>341</v>
      </c>
      <c r="F12" t="s">
        <v>341</v>
      </c>
      <c r="G12" t="s">
        <v>341</v>
      </c>
      <c r="H12" t="s">
        <v>341</v>
      </c>
      <c r="I12" t="s">
        <v>106</v>
      </c>
      <c r="J12" t="s">
        <v>341</v>
      </c>
      <c r="K12" t="s">
        <v>341</v>
      </c>
      <c r="L12" t="s">
        <v>341</v>
      </c>
      <c r="M12" t="s">
        <v>17</v>
      </c>
      <c r="N12" t="s">
        <v>341</v>
      </c>
      <c r="O12">
        <v>0</v>
      </c>
      <c r="P12" t="s">
        <v>391</v>
      </c>
      <c r="Q12" t="s">
        <v>106</v>
      </c>
      <c r="R12" t="s">
        <v>106</v>
      </c>
      <c r="S12" t="s">
        <v>106</v>
      </c>
      <c r="T12" t="s">
        <v>106</v>
      </c>
      <c r="U12" t="s">
        <v>106</v>
      </c>
      <c r="V12" t="s">
        <v>106</v>
      </c>
      <c r="W12" t="s">
        <v>106</v>
      </c>
      <c r="X12" t="s">
        <v>391</v>
      </c>
      <c r="Y12" t="s">
        <v>391</v>
      </c>
      <c r="Z12" t="s">
        <v>391</v>
      </c>
      <c r="AA12" t="s">
        <v>391</v>
      </c>
      <c r="AB12" t="s">
        <v>391</v>
      </c>
      <c r="AC12" t="s">
        <v>391</v>
      </c>
    </row>
    <row r="13" spans="1:29" x14ac:dyDescent="0.25">
      <c r="A13">
        <v>11</v>
      </c>
      <c r="B13" s="1"/>
      <c r="C13">
        <v>29</v>
      </c>
      <c r="D13" t="s">
        <v>341</v>
      </c>
      <c r="E13" t="s">
        <v>17</v>
      </c>
      <c r="F13" t="s">
        <v>341</v>
      </c>
      <c r="G13" t="s">
        <v>341</v>
      </c>
      <c r="H13" t="s">
        <v>341</v>
      </c>
      <c r="I13" t="s">
        <v>106</v>
      </c>
      <c r="J13" t="s">
        <v>341</v>
      </c>
      <c r="K13" t="s">
        <v>341</v>
      </c>
      <c r="L13" t="s">
        <v>341</v>
      </c>
      <c r="M13" t="s">
        <v>17</v>
      </c>
      <c r="N13" t="s">
        <v>341</v>
      </c>
      <c r="O13">
        <v>0</v>
      </c>
      <c r="P13" t="s">
        <v>391</v>
      </c>
      <c r="Q13" t="s">
        <v>106</v>
      </c>
      <c r="R13" t="s">
        <v>106</v>
      </c>
      <c r="S13" t="s">
        <v>106</v>
      </c>
      <c r="T13" t="s">
        <v>106</v>
      </c>
      <c r="U13" t="s">
        <v>106</v>
      </c>
      <c r="V13" t="s">
        <v>106</v>
      </c>
      <c r="W13" t="s">
        <v>106</v>
      </c>
      <c r="X13" t="s">
        <v>391</v>
      </c>
      <c r="Y13" t="s">
        <v>391</v>
      </c>
      <c r="Z13" t="s">
        <v>391</v>
      </c>
      <c r="AA13" t="s">
        <v>391</v>
      </c>
      <c r="AB13" t="s">
        <v>391</v>
      </c>
      <c r="AC13" t="s">
        <v>391</v>
      </c>
    </row>
    <row r="14" spans="1:29" x14ac:dyDescent="0.25">
      <c r="A14">
        <v>12</v>
      </c>
      <c r="B14" s="1"/>
      <c r="C14">
        <v>30</v>
      </c>
      <c r="D14" t="s">
        <v>341</v>
      </c>
      <c r="E14" t="s">
        <v>17</v>
      </c>
      <c r="F14" t="s">
        <v>341</v>
      </c>
      <c r="G14" t="s">
        <v>341</v>
      </c>
      <c r="H14" t="s">
        <v>341</v>
      </c>
      <c r="I14" t="s">
        <v>106</v>
      </c>
      <c r="J14" t="s">
        <v>341</v>
      </c>
      <c r="K14" t="s">
        <v>341</v>
      </c>
      <c r="L14" t="s">
        <v>341</v>
      </c>
      <c r="M14" t="s">
        <v>17</v>
      </c>
      <c r="N14" t="s">
        <v>341</v>
      </c>
      <c r="O14">
        <v>0</v>
      </c>
      <c r="P14" t="s">
        <v>391</v>
      </c>
      <c r="Q14" t="s">
        <v>106</v>
      </c>
      <c r="R14" t="s">
        <v>106</v>
      </c>
      <c r="S14" t="s">
        <v>106</v>
      </c>
      <c r="T14" t="s">
        <v>106</v>
      </c>
      <c r="U14" t="s">
        <v>106</v>
      </c>
      <c r="V14" t="s">
        <v>106</v>
      </c>
      <c r="W14" t="s">
        <v>106</v>
      </c>
      <c r="X14" t="s">
        <v>391</v>
      </c>
      <c r="Y14" t="s">
        <v>391</v>
      </c>
      <c r="Z14" t="s">
        <v>391</v>
      </c>
      <c r="AA14" t="s">
        <v>391</v>
      </c>
      <c r="AB14" t="s">
        <v>391</v>
      </c>
      <c r="AC14" t="s">
        <v>391</v>
      </c>
    </row>
    <row r="15" spans="1:29" x14ac:dyDescent="0.25">
      <c r="A15">
        <v>13</v>
      </c>
      <c r="B15" s="1"/>
      <c r="C15">
        <v>31</v>
      </c>
      <c r="D15" t="s">
        <v>418</v>
      </c>
      <c r="E15" t="s">
        <v>17</v>
      </c>
      <c r="F15" t="s">
        <v>341</v>
      </c>
      <c r="G15" t="s">
        <v>341</v>
      </c>
      <c r="H15" t="s">
        <v>419</v>
      </c>
      <c r="I15" t="s">
        <v>106</v>
      </c>
      <c r="J15" t="s">
        <v>341</v>
      </c>
      <c r="K15" t="s">
        <v>341</v>
      </c>
      <c r="L15" t="s">
        <v>341</v>
      </c>
      <c r="M15" t="s">
        <v>17</v>
      </c>
      <c r="N15" t="s">
        <v>419</v>
      </c>
      <c r="O15">
        <v>0</v>
      </c>
      <c r="P15" t="s">
        <v>391</v>
      </c>
      <c r="Q15" t="s">
        <v>106</v>
      </c>
      <c r="R15" t="s">
        <v>106</v>
      </c>
      <c r="S15" t="s">
        <v>106</v>
      </c>
      <c r="T15" t="s">
        <v>106</v>
      </c>
      <c r="U15" t="s">
        <v>106</v>
      </c>
      <c r="V15" t="s">
        <v>106</v>
      </c>
      <c r="W15" t="s">
        <v>106</v>
      </c>
      <c r="X15" t="s">
        <v>391</v>
      </c>
      <c r="Y15" t="s">
        <v>391</v>
      </c>
      <c r="Z15" t="s">
        <v>391</v>
      </c>
      <c r="AA15" t="s">
        <v>391</v>
      </c>
      <c r="AB15" t="s">
        <v>391</v>
      </c>
      <c r="AC15" t="s">
        <v>391</v>
      </c>
    </row>
    <row r="16" spans="1:29" x14ac:dyDescent="0.25">
      <c r="A16">
        <v>14</v>
      </c>
      <c r="B16" s="1"/>
      <c r="C16">
        <v>32</v>
      </c>
      <c r="D16" t="s">
        <v>418</v>
      </c>
      <c r="E16" t="s">
        <v>17</v>
      </c>
      <c r="F16" t="s">
        <v>341</v>
      </c>
      <c r="G16" t="s">
        <v>341</v>
      </c>
      <c r="H16" t="s">
        <v>419</v>
      </c>
      <c r="I16" t="s">
        <v>106</v>
      </c>
      <c r="J16" t="s">
        <v>341</v>
      </c>
      <c r="K16" t="s">
        <v>341</v>
      </c>
      <c r="L16" t="s">
        <v>341</v>
      </c>
      <c r="M16" t="s">
        <v>17</v>
      </c>
      <c r="N16" t="s">
        <v>419</v>
      </c>
      <c r="O16">
        <v>0</v>
      </c>
      <c r="P16" t="s">
        <v>391</v>
      </c>
      <c r="Q16" t="s">
        <v>106</v>
      </c>
      <c r="R16" t="s">
        <v>106</v>
      </c>
      <c r="S16" t="s">
        <v>106</v>
      </c>
      <c r="T16" t="s">
        <v>106</v>
      </c>
      <c r="U16" t="s">
        <v>106</v>
      </c>
      <c r="V16" t="s">
        <v>106</v>
      </c>
      <c r="W16" t="s">
        <v>106</v>
      </c>
      <c r="X16" t="s">
        <v>391</v>
      </c>
      <c r="Y16" t="s">
        <v>391</v>
      </c>
      <c r="Z16" t="s">
        <v>391</v>
      </c>
      <c r="AA16" t="s">
        <v>391</v>
      </c>
      <c r="AB16" t="s">
        <v>391</v>
      </c>
      <c r="AC16" t="s">
        <v>391</v>
      </c>
    </row>
    <row r="17" spans="1:29" x14ac:dyDescent="0.25">
      <c r="A17">
        <v>15</v>
      </c>
      <c r="B17" s="1"/>
      <c r="C17">
        <v>33</v>
      </c>
      <c r="D17" t="s">
        <v>420</v>
      </c>
      <c r="E17" t="s">
        <v>17</v>
      </c>
      <c r="F17" t="s">
        <v>341</v>
      </c>
      <c r="G17" t="s">
        <v>341</v>
      </c>
      <c r="H17" t="s">
        <v>421</v>
      </c>
      <c r="I17" t="s">
        <v>106</v>
      </c>
      <c r="J17" t="s">
        <v>341</v>
      </c>
      <c r="K17" t="s">
        <v>341</v>
      </c>
      <c r="L17" t="s">
        <v>341</v>
      </c>
      <c r="M17" t="s">
        <v>17</v>
      </c>
      <c r="N17" t="s">
        <v>422</v>
      </c>
      <c r="O17">
        <v>0</v>
      </c>
      <c r="P17" t="s">
        <v>391</v>
      </c>
      <c r="Q17" t="s">
        <v>106</v>
      </c>
      <c r="R17" t="s">
        <v>106</v>
      </c>
      <c r="S17" t="s">
        <v>106</v>
      </c>
      <c r="T17" t="s">
        <v>106</v>
      </c>
      <c r="U17" t="s">
        <v>106</v>
      </c>
      <c r="V17" t="s">
        <v>106</v>
      </c>
      <c r="W17" t="s">
        <v>106</v>
      </c>
      <c r="X17" t="s">
        <v>391</v>
      </c>
      <c r="Y17" t="s">
        <v>391</v>
      </c>
      <c r="Z17" t="s">
        <v>391</v>
      </c>
      <c r="AA17" t="s">
        <v>391</v>
      </c>
      <c r="AB17" t="s">
        <v>391</v>
      </c>
      <c r="AC17" t="s">
        <v>391</v>
      </c>
    </row>
    <row r="18" spans="1:29" x14ac:dyDescent="0.25">
      <c r="A18">
        <v>16</v>
      </c>
      <c r="B18" s="1"/>
      <c r="C18">
        <v>34</v>
      </c>
      <c r="D18" t="s">
        <v>418</v>
      </c>
      <c r="E18" t="s">
        <v>17</v>
      </c>
      <c r="F18" t="s">
        <v>341</v>
      </c>
      <c r="G18" t="s">
        <v>341</v>
      </c>
      <c r="H18" t="s">
        <v>423</v>
      </c>
      <c r="I18" t="s">
        <v>106</v>
      </c>
      <c r="J18" t="s">
        <v>341</v>
      </c>
      <c r="K18" t="s">
        <v>341</v>
      </c>
      <c r="L18" t="s">
        <v>341</v>
      </c>
      <c r="M18" t="s">
        <v>17</v>
      </c>
      <c r="N18" t="s">
        <v>341</v>
      </c>
      <c r="O18">
        <v>0</v>
      </c>
      <c r="P18" t="s">
        <v>391</v>
      </c>
      <c r="Q18" t="s">
        <v>106</v>
      </c>
      <c r="R18" t="s">
        <v>106</v>
      </c>
      <c r="S18" t="s">
        <v>106</v>
      </c>
      <c r="T18" t="s">
        <v>106</v>
      </c>
      <c r="U18" t="s">
        <v>106</v>
      </c>
      <c r="V18" t="s">
        <v>106</v>
      </c>
      <c r="W18" t="s">
        <v>106</v>
      </c>
      <c r="X18" t="s">
        <v>391</v>
      </c>
      <c r="Y18" t="s">
        <v>391</v>
      </c>
      <c r="Z18" t="s">
        <v>391</v>
      </c>
      <c r="AA18" t="s">
        <v>391</v>
      </c>
      <c r="AB18" t="s">
        <v>391</v>
      </c>
      <c r="AC18" t="s">
        <v>391</v>
      </c>
    </row>
    <row r="19" spans="1:29" x14ac:dyDescent="0.25">
      <c r="A19">
        <v>17</v>
      </c>
      <c r="B19" s="1"/>
      <c r="C19">
        <v>35</v>
      </c>
      <c r="D19" t="s">
        <v>424</v>
      </c>
      <c r="E19" t="s">
        <v>17</v>
      </c>
      <c r="F19" t="s">
        <v>341</v>
      </c>
      <c r="G19" t="s">
        <v>341</v>
      </c>
      <c r="H19" t="s">
        <v>425</v>
      </c>
      <c r="I19" t="s">
        <v>106</v>
      </c>
      <c r="J19" t="s">
        <v>341</v>
      </c>
      <c r="K19" t="s">
        <v>341</v>
      </c>
      <c r="L19" t="s">
        <v>341</v>
      </c>
      <c r="M19" t="s">
        <v>17</v>
      </c>
      <c r="N19" t="s">
        <v>341</v>
      </c>
      <c r="O19">
        <v>0</v>
      </c>
      <c r="P19" t="s">
        <v>391</v>
      </c>
      <c r="Q19" t="s">
        <v>106</v>
      </c>
      <c r="R19" t="s">
        <v>106</v>
      </c>
      <c r="S19" t="s">
        <v>106</v>
      </c>
      <c r="T19" t="s">
        <v>106</v>
      </c>
      <c r="U19" t="s">
        <v>106</v>
      </c>
      <c r="V19" t="s">
        <v>106</v>
      </c>
      <c r="W19" t="s">
        <v>106</v>
      </c>
      <c r="X19" t="s">
        <v>391</v>
      </c>
      <c r="Y19" t="s">
        <v>391</v>
      </c>
      <c r="Z19" t="s">
        <v>391</v>
      </c>
      <c r="AA19" t="s">
        <v>391</v>
      </c>
      <c r="AB19" t="s">
        <v>391</v>
      </c>
      <c r="AC19" t="s">
        <v>391</v>
      </c>
    </row>
    <row r="20" spans="1:29" x14ac:dyDescent="0.25">
      <c r="A20">
        <v>18</v>
      </c>
      <c r="B20" s="1"/>
      <c r="C20">
        <v>36</v>
      </c>
      <c r="D20" t="s">
        <v>420</v>
      </c>
      <c r="E20" t="s">
        <v>17</v>
      </c>
      <c r="F20" t="s">
        <v>341</v>
      </c>
      <c r="G20" t="s">
        <v>341</v>
      </c>
      <c r="H20" t="s">
        <v>425</v>
      </c>
      <c r="I20" t="s">
        <v>106</v>
      </c>
      <c r="J20" t="s">
        <v>341</v>
      </c>
      <c r="K20" t="s">
        <v>341</v>
      </c>
      <c r="L20" t="s">
        <v>341</v>
      </c>
      <c r="M20" t="s">
        <v>17</v>
      </c>
      <c r="N20" t="s">
        <v>341</v>
      </c>
      <c r="O20">
        <v>0</v>
      </c>
      <c r="P20" t="s">
        <v>391</v>
      </c>
      <c r="Q20" t="s">
        <v>106</v>
      </c>
      <c r="R20" t="s">
        <v>106</v>
      </c>
      <c r="S20" t="s">
        <v>106</v>
      </c>
      <c r="T20" t="s">
        <v>106</v>
      </c>
      <c r="U20" t="s">
        <v>106</v>
      </c>
      <c r="V20" t="s">
        <v>106</v>
      </c>
      <c r="W20" t="s">
        <v>106</v>
      </c>
      <c r="X20" t="s">
        <v>391</v>
      </c>
      <c r="Y20" t="s">
        <v>391</v>
      </c>
      <c r="Z20" t="s">
        <v>391</v>
      </c>
      <c r="AA20" t="s">
        <v>391</v>
      </c>
      <c r="AB20" t="s">
        <v>391</v>
      </c>
      <c r="AC20" t="s">
        <v>391</v>
      </c>
    </row>
    <row r="21" spans="1:29" x14ac:dyDescent="0.25">
      <c r="A21">
        <v>19</v>
      </c>
      <c r="B21" s="1">
        <v>43257</v>
      </c>
      <c r="C21">
        <v>37</v>
      </c>
      <c r="D21" t="s">
        <v>420</v>
      </c>
      <c r="E21" t="s">
        <v>17</v>
      </c>
      <c r="F21" t="s">
        <v>341</v>
      </c>
      <c r="G21" t="s">
        <v>341</v>
      </c>
      <c r="H21" t="s">
        <v>426</v>
      </c>
      <c r="I21" t="s">
        <v>106</v>
      </c>
      <c r="J21" t="s">
        <v>341</v>
      </c>
      <c r="K21" t="s">
        <v>341</v>
      </c>
      <c r="L21" t="s">
        <v>341</v>
      </c>
      <c r="M21" t="s">
        <v>11</v>
      </c>
      <c r="N21" t="s">
        <v>341</v>
      </c>
      <c r="O21">
        <v>0</v>
      </c>
      <c r="P21" t="s">
        <v>391</v>
      </c>
      <c r="Q21" t="s">
        <v>106</v>
      </c>
      <c r="R21" t="s">
        <v>106</v>
      </c>
      <c r="S21" t="s">
        <v>106</v>
      </c>
      <c r="T21" t="s">
        <v>106</v>
      </c>
      <c r="U21" t="s">
        <v>106</v>
      </c>
      <c r="V21" t="s">
        <v>106</v>
      </c>
      <c r="W21" t="s">
        <v>106</v>
      </c>
      <c r="X21" t="s">
        <v>391</v>
      </c>
      <c r="Y21" t="s">
        <v>391</v>
      </c>
      <c r="Z21" t="s">
        <v>391</v>
      </c>
      <c r="AA21" t="s">
        <v>391</v>
      </c>
      <c r="AB21" t="s">
        <v>391</v>
      </c>
      <c r="AC21" t="s">
        <v>391</v>
      </c>
    </row>
    <row r="22" spans="1:29" x14ac:dyDescent="0.25">
      <c r="A22">
        <v>20</v>
      </c>
      <c r="B22" s="1">
        <v>43260</v>
      </c>
      <c r="C22">
        <v>38</v>
      </c>
      <c r="D22" t="s">
        <v>418</v>
      </c>
      <c r="E22" t="s">
        <v>17</v>
      </c>
      <c r="F22" t="s">
        <v>341</v>
      </c>
      <c r="G22" t="s">
        <v>341</v>
      </c>
      <c r="H22" t="s">
        <v>847</v>
      </c>
      <c r="I22" t="s">
        <v>106</v>
      </c>
      <c r="J22" t="s">
        <v>341</v>
      </c>
      <c r="K22" t="s">
        <v>341</v>
      </c>
      <c r="L22" t="s">
        <v>341</v>
      </c>
      <c r="M22" t="s">
        <v>11</v>
      </c>
      <c r="N22" t="s">
        <v>341</v>
      </c>
      <c r="O22">
        <v>0</v>
      </c>
      <c r="P22" t="s">
        <v>106</v>
      </c>
      <c r="Q22" t="s">
        <v>106</v>
      </c>
      <c r="R22" t="s">
        <v>106</v>
      </c>
      <c r="S22" t="s">
        <v>106</v>
      </c>
      <c r="T22" t="s">
        <v>106</v>
      </c>
      <c r="U22" t="s">
        <v>106</v>
      </c>
      <c r="V22" t="s">
        <v>106</v>
      </c>
      <c r="W22" t="s">
        <v>106</v>
      </c>
      <c r="X22" t="s">
        <v>391</v>
      </c>
      <c r="Y22" t="s">
        <v>391</v>
      </c>
      <c r="Z22" t="s">
        <v>391</v>
      </c>
      <c r="AA22" t="s">
        <v>391</v>
      </c>
      <c r="AB22" t="s">
        <v>391</v>
      </c>
      <c r="AC22" t="s">
        <v>391</v>
      </c>
    </row>
  </sheetData>
  <conditionalFormatting sqref="B2:B22">
    <cfRule type="expression" dxfId="26" priority="1">
      <formula>_xludf.ISBLANK(B2)</formula>
    </cfRule>
  </conditionalFormatting>
  <conditionalFormatting sqref="D2:D22">
    <cfRule type="expression" dxfId="25" priority="2">
      <formula>_xludf.ISBLANK(D2)</formula>
    </cfRule>
  </conditionalFormatting>
  <conditionalFormatting sqref="F2:F22">
    <cfRule type="expression" dxfId="24" priority="3">
      <formula>_xludf.ISBLANK(F2)</formula>
    </cfRule>
  </conditionalFormatting>
  <conditionalFormatting sqref="G2:G22">
    <cfRule type="expression" dxfId="23" priority="4">
      <formula>_xludf.ISBLANK(G2)</formula>
    </cfRule>
  </conditionalFormatting>
  <conditionalFormatting sqref="H2:H22">
    <cfRule type="expression" dxfId="22" priority="5">
      <formula>_xludf.ISBLANK(H2)</formula>
    </cfRule>
  </conditionalFormatting>
  <conditionalFormatting sqref="I2:I22">
    <cfRule type="expression" dxfId="21" priority="6">
      <formula>_xludf.ISBLANK(I2)</formula>
    </cfRule>
  </conditionalFormatting>
  <conditionalFormatting sqref="J2:J22">
    <cfRule type="expression" dxfId="20" priority="7">
      <formula>_xludf.ISBLANK(J2)</formula>
    </cfRule>
  </conditionalFormatting>
  <conditionalFormatting sqref="K2:K22">
    <cfRule type="expression" dxfId="19" priority="8">
      <formula>_xludf.ISBLANK(K2)</formula>
    </cfRule>
  </conditionalFormatting>
  <conditionalFormatting sqref="L2:L22">
    <cfRule type="expression" dxfId="18" priority="9">
      <formula>_xludf.ISBLANK(L2)</formula>
    </cfRule>
  </conditionalFormatting>
  <conditionalFormatting sqref="M2:M22">
    <cfRule type="expression" dxfId="17" priority="10">
      <formula>_xludf.ISBLANK(M2)</formula>
    </cfRule>
  </conditionalFormatting>
  <conditionalFormatting sqref="N2:N22">
    <cfRule type="expression" dxfId="16" priority="11">
      <formula>_xludf.ISBLANK(N2)</formula>
    </cfRule>
  </conditionalFormatting>
  <conditionalFormatting sqref="O2:O22">
    <cfRule type="expression" dxfId="15" priority="12">
      <formula>_xludf.ISBLANK(O2)</formula>
    </cfRule>
  </conditionalFormatting>
  <conditionalFormatting sqref="P2:P22">
    <cfRule type="expression" dxfId="14" priority="13">
      <formula>_xludf.ISBLANK(P2)</formula>
    </cfRule>
  </conditionalFormatting>
  <conditionalFormatting sqref="Q2:Q22">
    <cfRule type="expression" dxfId="13" priority="14">
      <formula>_xludf.ISBLANK(Q2)</formula>
    </cfRule>
  </conditionalFormatting>
  <conditionalFormatting sqref="R2:R22">
    <cfRule type="expression" dxfId="12" priority="15">
      <formula>_xludf.ISBLANK(R2)</formula>
    </cfRule>
  </conditionalFormatting>
  <conditionalFormatting sqref="S2:S22">
    <cfRule type="expression" dxfId="11" priority="16">
      <formula>_xludf.ISBLANK(S2)</formula>
    </cfRule>
  </conditionalFormatting>
  <conditionalFormatting sqref="T2:T22">
    <cfRule type="expression" dxfId="10" priority="17">
      <formula>_xludf.ISBLANK(T2)</formula>
    </cfRule>
  </conditionalFormatting>
  <conditionalFormatting sqref="U2:U22">
    <cfRule type="expression" dxfId="9" priority="18">
      <formula>_xludf.ISBLANK(U2)</formula>
    </cfRule>
  </conditionalFormatting>
  <conditionalFormatting sqref="V2:V22">
    <cfRule type="expression" dxfId="8" priority="19">
      <formula>_xludf.ISBLANK(V2)</formula>
    </cfRule>
  </conditionalFormatting>
  <conditionalFormatting sqref="W2:W22">
    <cfRule type="expression" dxfId="7" priority="20">
      <formula>_xludf.ISBLANK(W2)</formula>
    </cfRule>
  </conditionalFormatting>
  <conditionalFormatting sqref="X2:X22">
    <cfRule type="expression" dxfId="6" priority="21">
      <formula>_xludf.ISBLANK(X2)</formula>
    </cfRule>
  </conditionalFormatting>
  <conditionalFormatting sqref="Y2:Y22">
    <cfRule type="expression" dxfId="5" priority="22">
      <formula>_xludf.ISBLANK(Y2)</formula>
    </cfRule>
  </conditionalFormatting>
  <conditionalFormatting sqref="Z2:Z22">
    <cfRule type="expression" dxfId="4" priority="23">
      <formula>_xludf.ISBLANK(Z2)</formula>
    </cfRule>
  </conditionalFormatting>
  <conditionalFormatting sqref="AA2:AA22">
    <cfRule type="expression" dxfId="3" priority="24">
      <formula>_xludf.ISBLANK(AA2)</formula>
    </cfRule>
  </conditionalFormatting>
  <conditionalFormatting sqref="AB2:AB22">
    <cfRule type="expression" dxfId="2" priority="25">
      <formula>_xludf.ISBLANK(AB2)</formula>
    </cfRule>
  </conditionalFormatting>
  <conditionalFormatting sqref="AC2:AC22">
    <cfRule type="expression" dxfId="1" priority="26">
      <formula>_xludf.ISBLANK(AC2)</formula>
    </cfRule>
  </conditionalFormatting>
  <dataValidations disablePrompts="1" count="29">
    <dataValidation type="date" operator="greaterThan" allowBlank="1" showInputMessage="1" showErrorMessage="1" errorTitle="Datatype Control" error="The column requires values of the date datatype." sqref="B2:B22">
      <formula1>1</formula1>
    </dataValidation>
    <dataValidation type="whole" allowBlank="1" showInputMessage="1" showErrorMessage="1" errorTitle="Datatype Control" error="The column requires values of the int datatype." sqref="C2:C22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varchar(45) datatype." sqref="D2:D22">
      <formula1>45</formula1>
    </dataValidation>
    <dataValidation allowBlank="1" showInputMessage="1" showErrorMessage="1" sqref="A1"/>
    <dataValidation type="textLength" operator="lessThanOrEqual" allowBlank="1" showInputMessage="1" showErrorMessage="1" errorTitle="Datatype Control" error="The column requires values of the varchar(45) datatype." sqref="E2:E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F2:F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G2:G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H2:H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I2:I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J2:J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K2:K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L2:L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M2:M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N2:N22">
      <formula1>45</formula1>
    </dataValidation>
    <dataValidation type="whole" allowBlank="1" showInputMessage="1" showErrorMessage="1" errorTitle="Datatype Control" error="The column requires values of the int datatype." sqref="O2:O22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varchar(45) datatype." sqref="P2:P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Q2:Q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R2:R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S2:S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T2:T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U2:U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V2:V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W2:W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X2:X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Y2:Y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Z2:Z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A2:AA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B2:AB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C2:AC22">
      <formula1>45</formula1>
    </dataValidation>
  </dataValidations>
  <pageMargins left="0.7" right="0.7" top="0.75" bottom="0.75" header="0.3" footer="0.3"/>
  <pageSetup scale="24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7">
    <tabColor rgb="FF0070C0"/>
  </sheetPr>
  <dimension ref="B1:X83"/>
  <sheetViews>
    <sheetView topLeftCell="B25" zoomScale="40" zoomScaleNormal="40" workbookViewId="0">
      <selection activeCell="I32" sqref="I32"/>
    </sheetView>
  </sheetViews>
  <sheetFormatPr defaultColWidth="13.85546875" defaultRowHeight="33" x14ac:dyDescent="0.2"/>
  <cols>
    <col min="1" max="1" width="4" style="6" customWidth="1"/>
    <col min="2" max="2" width="27.7109375" style="7" customWidth="1"/>
    <col min="3" max="3" width="130.5703125" style="3" customWidth="1"/>
    <col min="4" max="4" width="26.7109375" style="4" customWidth="1"/>
    <col min="5" max="6" width="20.7109375" style="5" customWidth="1"/>
    <col min="7" max="18" width="20.7109375" style="6" customWidth="1"/>
    <col min="19" max="20" width="24.85546875" style="6" customWidth="1"/>
    <col min="21" max="21" width="23.28515625" style="6" customWidth="1"/>
    <col min="22" max="23" width="13.85546875" style="6"/>
    <col min="24" max="24" width="62" style="6" customWidth="1"/>
    <col min="25" max="194" width="13.85546875" style="6"/>
    <col min="195" max="195" width="13.5703125" style="6" customWidth="1"/>
    <col min="196" max="196" width="26.140625" style="6" customWidth="1"/>
    <col min="197" max="197" width="24.42578125" style="6" customWidth="1"/>
    <col min="198" max="198" width="10" style="6" customWidth="1"/>
    <col min="199" max="199" width="9.85546875" style="6" customWidth="1"/>
    <col min="200" max="200" width="8.85546875" style="6" customWidth="1"/>
    <col min="201" max="201" width="10.140625" style="6" customWidth="1"/>
    <col min="202" max="203" width="9.85546875" style="6" customWidth="1"/>
    <col min="204" max="204" width="9.7109375" style="6" customWidth="1"/>
    <col min="205" max="205" width="10.42578125" style="6" customWidth="1"/>
    <col min="206" max="206" width="9.85546875" style="6" customWidth="1"/>
    <col min="207" max="207" width="9.42578125" style="6" customWidth="1"/>
    <col min="208" max="209" width="8.85546875" style="6" customWidth="1"/>
    <col min="210" max="210" width="9.85546875" style="6" customWidth="1"/>
    <col min="211" max="211" width="11" style="6" customWidth="1"/>
    <col min="212" max="212" width="19" style="6" customWidth="1"/>
    <col min="213" max="213" width="28.7109375" style="6" customWidth="1"/>
    <col min="214" max="16384" width="13.85546875" style="6"/>
  </cols>
  <sheetData>
    <row r="1" spans="2:24" ht="40.9" customHeight="1" x14ac:dyDescent="0.2">
      <c r="B1" s="2"/>
    </row>
    <row r="2" spans="2:24" ht="67.900000000000006" customHeight="1" x14ac:dyDescent="0.9">
      <c r="C2" s="503" t="s">
        <v>615</v>
      </c>
      <c r="D2" s="503"/>
      <c r="E2" s="503"/>
      <c r="F2" s="503"/>
      <c r="G2" s="503"/>
      <c r="H2" s="503"/>
      <c r="I2" s="503"/>
      <c r="J2" s="503"/>
      <c r="K2" s="503"/>
      <c r="M2" s="512" t="s">
        <v>11</v>
      </c>
      <c r="N2" s="513"/>
      <c r="O2" s="513"/>
      <c r="P2" s="513"/>
    </row>
    <row r="3" spans="2:24" ht="25.15" customHeight="1" thickBot="1" x14ac:dyDescent="0.25">
      <c r="B3" s="8"/>
      <c r="C3" s="9"/>
      <c r="D3" s="10"/>
    </row>
    <row r="4" spans="2:24" s="17" customFormat="1" ht="35.450000000000003" customHeight="1" thickTop="1" x14ac:dyDescent="0.65">
      <c r="B4" s="413" t="s">
        <v>201</v>
      </c>
      <c r="C4" s="449" t="s">
        <v>202</v>
      </c>
      <c r="D4" s="415"/>
      <c r="E4" s="11"/>
      <c r="F4" s="12"/>
      <c r="G4" s="12"/>
      <c r="H4" s="12" t="s">
        <v>616</v>
      </c>
      <c r="I4" s="12"/>
      <c r="J4" s="12"/>
      <c r="K4" s="12"/>
      <c r="L4" s="13"/>
      <c r="M4" s="14"/>
      <c r="N4" s="14"/>
      <c r="O4" s="15" t="s">
        <v>204</v>
      </c>
      <c r="P4" s="14"/>
      <c r="Q4" s="14"/>
      <c r="R4" s="16"/>
      <c r="S4" s="467" t="s">
        <v>205</v>
      </c>
      <c r="T4" s="501"/>
      <c r="U4" s="482" t="s">
        <v>206</v>
      </c>
    </row>
    <row r="5" spans="2:24" s="17" customFormat="1" ht="57.75" customHeight="1" thickBot="1" x14ac:dyDescent="0.7">
      <c r="B5" s="414"/>
      <c r="C5" s="434"/>
      <c r="D5" s="417"/>
      <c r="E5" s="18" t="s">
        <v>207</v>
      </c>
      <c r="F5" s="19" t="s">
        <v>0</v>
      </c>
      <c r="G5" s="20" t="s">
        <v>208</v>
      </c>
      <c r="H5" s="21" t="s">
        <v>209</v>
      </c>
      <c r="I5" s="22" t="s">
        <v>210</v>
      </c>
      <c r="J5" s="23" t="s">
        <v>211</v>
      </c>
      <c r="K5" s="24" t="s">
        <v>212</v>
      </c>
      <c r="L5" s="25" t="s">
        <v>207</v>
      </c>
      <c r="M5" s="26" t="s">
        <v>0</v>
      </c>
      <c r="N5" s="27" t="s">
        <v>208</v>
      </c>
      <c r="O5" s="26" t="s">
        <v>209</v>
      </c>
      <c r="P5" s="27" t="s">
        <v>210</v>
      </c>
      <c r="Q5" s="26" t="s">
        <v>211</v>
      </c>
      <c r="R5" s="28" t="s">
        <v>212</v>
      </c>
      <c r="S5" s="29" t="s">
        <v>213</v>
      </c>
      <c r="T5" s="30" t="s">
        <v>617</v>
      </c>
      <c r="U5" s="483"/>
      <c r="X5" s="31"/>
    </row>
    <row r="6" spans="2:24" s="44" customFormat="1" ht="105.6" customHeight="1" thickTop="1" thickBot="1" x14ac:dyDescent="0.5">
      <c r="B6" s="32" t="s">
        <v>215</v>
      </c>
      <c r="C6" s="487" t="s">
        <v>618</v>
      </c>
      <c r="D6" s="488"/>
      <c r="E6" s="33">
        <f>E13+E16</f>
        <v>0</v>
      </c>
      <c r="F6" s="34">
        <f>M13+M16</f>
        <v>0</v>
      </c>
      <c r="G6" s="35">
        <f t="shared" ref="G6:R6" si="0">G13+G16</f>
        <v>0</v>
      </c>
      <c r="H6" s="36">
        <f t="shared" si="0"/>
        <v>0</v>
      </c>
      <c r="I6" s="37">
        <f t="shared" si="0"/>
        <v>0</v>
      </c>
      <c r="J6" s="34">
        <f t="shared" si="0"/>
        <v>0</v>
      </c>
      <c r="K6" s="38">
        <f t="shared" si="0"/>
        <v>0</v>
      </c>
      <c r="L6" s="39">
        <f t="shared" si="0"/>
        <v>0</v>
      </c>
      <c r="M6" s="35">
        <f t="shared" si="0"/>
        <v>0</v>
      </c>
      <c r="N6" s="34">
        <f t="shared" si="0"/>
        <v>0</v>
      </c>
      <c r="O6" s="35">
        <f t="shared" si="0"/>
        <v>0</v>
      </c>
      <c r="P6" s="36">
        <f t="shared" si="0"/>
        <v>0</v>
      </c>
      <c r="Q6" s="37">
        <f t="shared" si="0"/>
        <v>0</v>
      </c>
      <c r="R6" s="40">
        <f t="shared" si="0"/>
        <v>0</v>
      </c>
      <c r="S6" s="41">
        <f>SUM(E6:K6)</f>
        <v>0</v>
      </c>
      <c r="T6" s="42">
        <f>SUM(L6:R6)</f>
        <v>0</v>
      </c>
      <c r="U6" s="43">
        <f>SUM(S6:T6)</f>
        <v>0</v>
      </c>
      <c r="W6" s="45"/>
      <c r="X6" s="46"/>
    </row>
    <row r="7" spans="2:24" s="44" customFormat="1" ht="108.75" customHeight="1" thickTop="1" thickBot="1" x14ac:dyDescent="0.5">
      <c r="B7" s="456" t="s">
        <v>216</v>
      </c>
      <c r="C7" s="504" t="s">
        <v>619</v>
      </c>
      <c r="D7" s="505"/>
      <c r="E7" s="47">
        <f>E8+E10+E11+E12</f>
        <v>0</v>
      </c>
      <c r="F7" s="48">
        <f>M8+M10+M11+M12</f>
        <v>0</v>
      </c>
      <c r="G7" s="49">
        <f t="shared" ref="G7:R7" si="1">G8+G10+G11+G12</f>
        <v>0</v>
      </c>
      <c r="H7" s="50">
        <f t="shared" si="1"/>
        <v>0</v>
      </c>
      <c r="I7" s="51">
        <f t="shared" si="1"/>
        <v>0</v>
      </c>
      <c r="J7" s="48">
        <f t="shared" si="1"/>
        <v>0</v>
      </c>
      <c r="K7" s="52">
        <f t="shared" si="1"/>
        <v>0</v>
      </c>
      <c r="L7" s="53">
        <f>L8+L10+L11+L12</f>
        <v>0</v>
      </c>
      <c r="M7" s="49">
        <f t="shared" si="1"/>
        <v>0</v>
      </c>
      <c r="N7" s="48">
        <f t="shared" si="1"/>
        <v>0</v>
      </c>
      <c r="O7" s="49">
        <f t="shared" si="1"/>
        <v>0</v>
      </c>
      <c r="P7" s="50">
        <f t="shared" si="1"/>
        <v>0</v>
      </c>
      <c r="Q7" s="51">
        <f t="shared" si="1"/>
        <v>0</v>
      </c>
      <c r="R7" s="54">
        <f t="shared" si="1"/>
        <v>0</v>
      </c>
      <c r="S7" s="55">
        <f t="shared" ref="S7:S15" si="2">SUM(E7:K7)</f>
        <v>0</v>
      </c>
      <c r="T7" s="56">
        <f t="shared" ref="T7:T15" si="3">SUM(L7:R7)</f>
        <v>0</v>
      </c>
      <c r="U7" s="57">
        <f t="shared" ref="U7:U15" si="4">SUM(S7:T7)</f>
        <v>0</v>
      </c>
      <c r="W7" s="45"/>
      <c r="X7" s="58"/>
    </row>
    <row r="8" spans="2:24" s="44" customFormat="1" ht="108.6" customHeight="1" thickTop="1" x14ac:dyDescent="0.45">
      <c r="B8" s="457"/>
      <c r="C8" s="506" t="s">
        <v>217</v>
      </c>
      <c r="D8" s="507"/>
      <c r="E8" s="59">
        <f>COUNTIFS(Folha2_Table1[idade],"&lt;1",Folha2_Table1[sexo],"F",Folha2_Table1[sexo],"Posetivo")</f>
        <v>0</v>
      </c>
      <c r="F8" s="60">
        <f>COUNTIFS(Folha2_Table1[idade],"&gt;0",Folha2_Table1[idade],"&lt;5",Folha2_Table1[sexo],"F",Folha2_Table1[sexo],"=Posetivo")</f>
        <v>0</v>
      </c>
      <c r="G8" s="61">
        <f>COUNTIFS(Folha2_Table1[idade],"&gt;4",Folha2_Table1[idade],"&lt;10",Folha2_Table1[sexo],"F",Folha2_Table1[sexo],"=Posetivo")</f>
        <v>0</v>
      </c>
      <c r="H8" s="62">
        <f>COUNTIFS(Folha2_Table1[idade],"&gt;9",Folha2_Table1[idade],"&lt;15",Folha2_Table1[sexo],"F",Folha2_Table1[sexo],"=Posetivo")</f>
        <v>0</v>
      </c>
      <c r="I8" s="63">
        <f>COUNTIFS(Folha2_Table1[idade],"&gt;14",Folha2_Table1[idade],"&lt;18",Folha2_Table1[sexo],"F",Folha2_Table1[sexo],"=Posetivo")</f>
        <v>0</v>
      </c>
      <c r="J8" s="60">
        <f>COUNTIFS(Folha2_Table1[idade],"&gt;17",Folha2_Table1[idade],"&lt;25",Folha2_Table1[sexo],"F",Folha2_Table1[sexo],"=Posetivo")</f>
        <v>0</v>
      </c>
      <c r="K8" s="64">
        <f>COUNTIFS(Folha2_Table1[idade],"&gt;25",Folha2_Table1[sexo],"F",Folha2_Table1[resultado],"=Posetivo")</f>
        <v>0</v>
      </c>
      <c r="L8" s="410">
        <f>COUNTIFS(Folha2_Table1[idade],"&lt;1",Folha2_Table1[sexo],"M",Folha2_Table1[sexo],"Posetivo")</f>
        <v>0</v>
      </c>
      <c r="M8" s="279">
        <f>COUNTIFS(Folha2_Table1[idade],"&gt;0",Folha2_Table1[idade],"&lt;5",Folha2_Table1[sexo],"M",Folha2_Table1[sexo],"=Posetivo")</f>
        <v>0</v>
      </c>
      <c r="N8" s="60">
        <f>COUNTIFS(Folha2_Table1[idade],"&gt;4",Folha2_Table1[idade],"&lt;10",Folha2_Table1[sexo],"M",Folha2_Table1[sexo],"=Posetivo")</f>
        <v>0</v>
      </c>
      <c r="O8" s="61">
        <f>COUNTIFS(Folha2_Table1[idade],"&gt;9",Folha2_Table1[idade],"&lt;15",Folha2_Table1[sexo],"M",Folha2_Table1[sexo],"=Posetivo")</f>
        <v>0</v>
      </c>
      <c r="P8" s="62">
        <f>COUNTIFS(Folha2_Table1[idade],"&gt;14",Folha2_Table1[idade],"&lt;18",Folha2_Table1[sexo],"M",Folha2_Table1[sexo],"=Posetivo")</f>
        <v>0</v>
      </c>
      <c r="Q8" s="63">
        <f>COUNTIFS(Folha2_Table1[idade],"&gt;17",Folha2_Table1[idade],"&lt;25",Folha2_Table1[sexo],"M",Folha2_Table1[sexo],"=Posetivo")</f>
        <v>0</v>
      </c>
      <c r="R8" s="65">
        <f>COUNTIFS(Folha2_Table1[idade],"&gt;25",Folha2_Table1[sexo],"M",Folha2_Table1[sexo],"=Posetivo")</f>
        <v>0</v>
      </c>
      <c r="S8" s="66">
        <f>SUM(L8:R8)</f>
        <v>0</v>
      </c>
      <c r="T8" s="67">
        <f>SUM(E8:K8)</f>
        <v>0</v>
      </c>
      <c r="U8" s="68">
        <f t="shared" si="4"/>
        <v>0</v>
      </c>
      <c r="X8" s="58"/>
    </row>
    <row r="9" spans="2:24" s="44" customFormat="1" ht="79.5" customHeight="1" x14ac:dyDescent="0.45">
      <c r="B9" s="457"/>
      <c r="C9" s="508" t="s">
        <v>218</v>
      </c>
      <c r="D9" s="509"/>
      <c r="E9" s="69">
        <f>COUNTIFS(Folha2_Table1[idade],"&lt;1",Folha2_Table1[sexo],"F",Folha2_Table1[resultado],"=Posetivo",Folha2_Table1[em_tratamento_tarv],"Sim")</f>
        <v>0</v>
      </c>
      <c r="F9" s="70">
        <f>COUNTIFS(Folha2_Table1[idade],"&gt;0",Folha2_Table1[idade],"&lt;5",Folha2_Table1[sexo],"F",Folha2_Table1[resultado],"=Posetivo",Folha2_Table1[em_tratamento_tarv],"Sim")</f>
        <v>0</v>
      </c>
      <c r="G9" s="71">
        <f>COUNTIFS(Folha2_Table1[idade],"&gt;4",Folha2_Table1[idade],"&lt;10",Folha2_Table1[sexo],"F",Folha2_Table1[resultado],"=Posetivo",Folha2_Table1[em_tratamento_tarv],"Sim")</f>
        <v>0</v>
      </c>
      <c r="H9" s="72">
        <f>COUNTIFS(Folha2_Table1[idade],"&gt;9",Folha2_Table1[idade],"&lt;15",Folha2_Table1[sexo],"F",Folha2_Table1[resultado],"=Posetivo",Folha2_Table1[em_tratamento_tarv],"Sim")</f>
        <v>0</v>
      </c>
      <c r="I9" s="73">
        <f>COUNTIFS(Folha2_Table1[idade],"&gt;14",Folha2_Table1[idade],"&lt;18",Folha2_Table1[sexo],"F",Folha2_Table1[resultado],"=Posetivo",Folha2_Table1[em_tratamento_tarv],"Sim")</f>
        <v>0</v>
      </c>
      <c r="J9" s="70">
        <f>COUNTIFS(Folha2_Table1[idade],"&gt;17",Folha2_Table1[idade],"&lt;25",Folha2_Table1[sexo],"F",Folha2_Table1[resultado],"=Posetivo",Folha2_Table1[em_tratamento_tarv],"Sim")</f>
        <v>0</v>
      </c>
      <c r="K9" s="74">
        <f>COUNTIFS(Folha2_Table1[idade],"&gt;25",Folha2_Table1[sexo],"F",Folha2_Table1[resultado],"=Posetivo",Folha2_Table1[em_tratamento_tarv],"Sim")</f>
        <v>0</v>
      </c>
      <c r="L9" s="75">
        <f>COUNTIFS(Folha2_Table1[idade],"&lt;1",Folha2_Table1[sexo],"M",Folha2_Table1[sexo],"Posetivo",Folha2_Table1[em_tratamento_tarv],"=Sim")</f>
        <v>0</v>
      </c>
      <c r="M9" s="71">
        <f>COUNTIFS(Folha2_Table1[idade],"&gt;0",Folha2_Table1[idade],"&lt;5",Folha2_Table1[sexo],"M",Folha2_Table1[sexo],"=Posetivo",Folha2_Table1[em_tratamento_tarv],"Sim")</f>
        <v>0</v>
      </c>
      <c r="N9" s="70">
        <f>COUNTIFS(Folha2_Table1[idade],"&gt;4",Folha2_Table1[idade],"&lt;10",Folha2_Table1[sexo],"M",Folha2_Table1[sexo],"=Posetivo",Folha2_Table1[em_tratamento_tarv],"Sim")</f>
        <v>0</v>
      </c>
      <c r="O9" s="71">
        <f>COUNTIFS(Folha2_Table1[idade],"&gt;9",Folha2_Table1[idade],"&lt;15",Folha2_Table1[sexo],"M",Folha2_Table1[sexo],"=Posetivo",Folha2_Table1[em_tratamento_tarv],"Sim")</f>
        <v>0</v>
      </c>
      <c r="P9" s="72">
        <f>COUNTIFS(Folha2_Table1[idade],"&gt;14",Folha2_Table1[idade],"&lt;18",Folha2_Table1[sexo],"M",Folha2_Table1[sexo],"=Posetivo",Folha2_Table1[em_tratamento_tarv],"Sim")</f>
        <v>0</v>
      </c>
      <c r="Q9" s="73">
        <f>COUNTIFS(Folha2_Table1[idade],"&gt;17",Folha2_Table1[idade],"&lt;25",Folha2_Table1[sexo],"M",Folha2_Table1[sexo],"=Posetivo",Folha2_Table1[em_tratamento_tarv],"Sim")</f>
        <v>0</v>
      </c>
      <c r="R9" s="76">
        <f>COUNTIFS(Folha2_Table1[idade],"&gt;25",Folha2_Table1[sexo],"M",Folha2_Table1[sexo],"=Posetivo",Folha2_Table1[em_tratamento_tarv],"Sim")</f>
        <v>0</v>
      </c>
      <c r="S9" s="77">
        <f>SUM(L9:R9)</f>
        <v>0</v>
      </c>
      <c r="T9" s="78">
        <f>SUM(E9:K9)</f>
        <v>0</v>
      </c>
      <c r="U9" s="68">
        <f t="shared" si="4"/>
        <v>0</v>
      </c>
      <c r="X9" s="58"/>
    </row>
    <row r="10" spans="2:24" s="44" customFormat="1" ht="84" customHeight="1" x14ac:dyDescent="0.45">
      <c r="B10" s="457"/>
      <c r="C10" s="510" t="s">
        <v>219</v>
      </c>
      <c r="D10" s="511"/>
      <c r="E10" s="79">
        <f>COUNTIFS(Folha2_Table1[idade],"&lt;1",Folha2_Table1[sexo],"F",Folha2_Table1[sexo],"Negativo")</f>
        <v>0</v>
      </c>
      <c r="F10" s="80">
        <f>COUNTIFS(Folha2_Table1[idade],"&gt;0",Folha2_Table1[idade],"&lt;5",Folha2_Table1[sexo],"F",Folha2_Table1[sexo],"=Negativo")</f>
        <v>0</v>
      </c>
      <c r="G10" s="81">
        <f>COUNTIFS(Folha2_Table1[idade],"&gt;4",Folha2_Table1[idade],"&lt;10",Folha2_Table1[sexo],"F",Folha2_Table1[sexo],"Negativo")</f>
        <v>0</v>
      </c>
      <c r="H10" s="82">
        <f>COUNTIFS(Folha2_Table1[idade],"&gt;9",Folha2_Table1[idade],"&lt;15",Folha2_Table1[sexo],"F",Folha2_Table1[sexo],"=Negativo")</f>
        <v>0</v>
      </c>
      <c r="I10" s="83">
        <f>COUNTIFS(Folha2_Table1[idade],"&gt;14",Folha2_Table1[idade],"&lt;18",Folha2_Table1[sexo],"F",Folha2_Table1[sexo],"=Negativo")</f>
        <v>0</v>
      </c>
      <c r="J10" s="80">
        <f>COUNTIFS(Folha2_Table1[idade],"&gt;17",Folha2_Table1[idade],"&lt;25",Folha2_Table1[sexo],"F",Folha2_Table1[sexo],"=Negativo")</f>
        <v>0</v>
      </c>
      <c r="K10" s="84">
        <f>COUNTIFS(Folha2_Table1[idade],"&gt;25",Folha2_Table1[sexo],"F",Folha2_Table1[sexo],"=Negativo")</f>
        <v>0</v>
      </c>
      <c r="L10" s="85">
        <f>COUNTIFS(Folha2_Table1[idade],"&lt;1",Folha2_Table1[sexo],"M",Folha2_Table1[sexo],"Negativo")</f>
        <v>0</v>
      </c>
      <c r="M10" s="81">
        <f>COUNTIFS(Folha2_Table1[idade],"&gt;0",Folha2_Table1[idade],"&lt;5",Folha2_Table1[sexo],"M",Folha2_Table1[sexo],"=Negativo")</f>
        <v>0</v>
      </c>
      <c r="N10" s="80">
        <f>COUNTIFS(Folha2_Table1[idade],"&gt;4",Folha2_Table1[idade],"&lt;10",Folha2_Table1[sexo],"M",Folha2_Table1[sexo],"Negativo")</f>
        <v>0</v>
      </c>
      <c r="O10" s="81">
        <f>COUNTIFS(Folha2_Table1[idade],"&gt;9",Folha2_Table1[idade],"&lt;15",Folha2_Table1[sexo],"M",Folha2_Table1[sexo],"=Negativo")</f>
        <v>0</v>
      </c>
      <c r="P10" s="82">
        <f>COUNTIFS(Folha2_Table1[idade],"&gt;14",Folha2_Table1[idade],"&lt;18",Folha2_Table1[sexo],"M",Folha2_Table1[sexo],"=Negativo")</f>
        <v>0</v>
      </c>
      <c r="Q10" s="83">
        <f>COUNTIFS(Folha2_Table1[idade],"&gt;17",Folha2_Table1[idade],"&lt;25",Folha2_Table1[sexo],"M",Folha2_Table1[sexo],"=Negativo")</f>
        <v>0</v>
      </c>
      <c r="R10" s="86">
        <f>COUNTIFS(Folha2_Table1[idade],"&gt;25",Folha2_Table1[sexo],"M",Folha2_Table1[sexo],"=Negativo")</f>
        <v>0</v>
      </c>
      <c r="S10" s="77">
        <f>SUM(L10:R10)</f>
        <v>0</v>
      </c>
      <c r="T10" s="78">
        <f>SUM(E10:K10)</f>
        <v>0</v>
      </c>
      <c r="U10" s="68">
        <f t="shared" si="4"/>
        <v>0</v>
      </c>
      <c r="X10" s="58"/>
    </row>
    <row r="11" spans="2:24" s="44" customFormat="1" ht="84.6" customHeight="1" x14ac:dyDescent="0.45">
      <c r="B11" s="457"/>
      <c r="C11" s="510" t="s">
        <v>220</v>
      </c>
      <c r="D11" s="511"/>
      <c r="E11" s="79">
        <f>COUNTIFS(Folha2_Table1[idade],"&lt;1",Folha2_Table1[sexo],"F",Folha2_Table1[sexo],"Indeterminado")</f>
        <v>0</v>
      </c>
      <c r="F11" s="80">
        <f>COUNTIFS(Folha2_Table1[idade],"&gt;0",Folha2_Table1[idade],"&lt;5",Folha2_Table1[sexo],"F",Folha2_Table1[sexo],"=Indeterminado")</f>
        <v>0</v>
      </c>
      <c r="G11" s="81">
        <f>COUNTIFS(Folha2_Table1[idade],"&gt;4",Folha2_Table1[idade],"&lt;10",Folha2_Table1[sexo],"F",Folha2_Table1[sexo],"Indeterminado")</f>
        <v>0</v>
      </c>
      <c r="H11" s="82">
        <f>COUNTIFS(Folha2_Table1[idade],"&gt;9",Folha2_Table1[idade],"&lt;15",Folha2_Table1[sexo],"F",Folha2_Table1[sexo],"=Indeterminado")</f>
        <v>0</v>
      </c>
      <c r="I11" s="83">
        <f>COUNTIFS(Folha2_Table1[idade],"&gt;9",Folha2_Table1[idade],"&lt;15",Folha2_Table1[sexo],"F",Folha2_Table1[sexo],"=Indeterminado")</f>
        <v>0</v>
      </c>
      <c r="J11" s="80">
        <f>COUNTIFS(Folha2_Table1[idade],"&gt;17",Folha2_Table1[idade],"&lt;25",Folha2_Table1[sexo],"F",Folha2_Table1[sexo],"=Indeterminado")</f>
        <v>0</v>
      </c>
      <c r="K11" s="84">
        <f>COUNTIFS(Folha2_Table1[idade],"&gt;25",Folha2_Table1[sexo],"F",Folha2_Table1[sexo],"=Indeterminado")</f>
        <v>0</v>
      </c>
      <c r="L11" s="85">
        <f>COUNTIFS(Folha2_Table1[idade],"&lt;1",Folha2_Table1[sexo],"M",Folha2_Table1[sexo],"Indeterminado")</f>
        <v>0</v>
      </c>
      <c r="M11" s="81">
        <f>COUNTIFS(Folha2_Table1[idade],"&gt;0",Folha2_Table1[idade],"&lt;5",Folha2_Table1[sexo],"M",Folha2_Table1[sexo],"=Indeterminado")</f>
        <v>0</v>
      </c>
      <c r="N11" s="80">
        <f>COUNTIFS(Folha2_Table1[idade],"&gt;4",Folha2_Table1[idade],"&lt;10",Folha2_Table1[sexo],"M",Folha2_Table1[sexo],"Indeterminado")</f>
        <v>0</v>
      </c>
      <c r="O11" s="81">
        <f>COUNTIFS(Folha2_Table1[idade],"&gt;9",Folha2_Table1[idade],"&lt;15",Folha2_Table1[sexo],"M",Folha2_Table1[sexo],"=Indeterminado")</f>
        <v>0</v>
      </c>
      <c r="P11" s="82">
        <f>COUNTIFS(Folha2_Table1[idade],"&gt;9",Folha2_Table1[idade],"&lt;15",Folha2_Table1[sexo],"M",Folha2_Table1[sexo],"=Indeterminado")</f>
        <v>0</v>
      </c>
      <c r="Q11" s="83">
        <f>COUNTIFS(Folha2_Table1[idade],"&gt;17",Folha2_Table1[idade],"&lt;25",Folha2_Table1[sexo],"M",Folha2_Table1[sexo],"=Indeterminado")</f>
        <v>0</v>
      </c>
      <c r="R11" s="86">
        <f>COUNTIFS(Folha2_Table1[idade],"&gt;25",Folha2_Table1[sexo],"M",Folha2_Table1[sexo],"=Indeterminado")</f>
        <v>0</v>
      </c>
      <c r="S11" s="77">
        <f>SUM(L11:R11)</f>
        <v>0</v>
      </c>
      <c r="T11" s="78">
        <f>SUM(E11:K11)</f>
        <v>0</v>
      </c>
      <c r="U11" s="87">
        <f t="shared" si="4"/>
        <v>0</v>
      </c>
      <c r="X11" s="58"/>
    </row>
    <row r="12" spans="2:24" s="44" customFormat="1" ht="78.75" customHeight="1" thickBot="1" x14ac:dyDescent="0.5">
      <c r="B12" s="458"/>
      <c r="C12" s="427" t="s">
        <v>221</v>
      </c>
      <c r="D12" s="502"/>
      <c r="E12" s="88">
        <f>COUNTIFS(Folha2_Table1[idade],"&lt;1",Folha2_Table1[sexo],"F",Folha2_Table1[compartilhar_resultado],"Nao")</f>
        <v>0</v>
      </c>
      <c r="F12" s="89">
        <f>COUNTIFS(Folha2_Table1[idade],"&gt;0",Folha2_Table1[idade],"&lt;5",Folha2_Table1[sexo],"F",Folha2_Table1[compartilhar_resultado],"=Nao")</f>
        <v>0</v>
      </c>
      <c r="G12" s="90">
        <f>COUNTIFS(Folha2_Table1[idade],"&gt;4",Folha2_Table1[idade],"&lt;10",Folha2_Table1[sexo],"F",Folha2_Table1[compartilhar_resultado],"=Nao")</f>
        <v>0</v>
      </c>
      <c r="H12" s="91">
        <f>COUNTIFS(Folha2_Table1[idade],"&gt;9",Folha2_Table1[idade],"&lt;15",Folha2_Table1[sexo],"F",Folha2_Table1[compartilhar_resultado],"=Nao")</f>
        <v>0</v>
      </c>
      <c r="I12" s="92">
        <f>COUNTIFS(Folha2_Table1[idade],"&gt;14",Folha2_Table1[idade],"&lt;18",Folha2_Table1[sexo],"F",Folha2_Table1[compartilhar_resultado],"=Nao")</f>
        <v>0</v>
      </c>
      <c r="J12" s="89">
        <f>COUNTIFS(Folha2_Table1[idade],"&gt;17",Folha2_Table1[idade],"&lt;25",Folha2_Table1[sexo],"F",Folha2_Table1[compartilhar_resultado],"=Nao")</f>
        <v>0</v>
      </c>
      <c r="K12" s="93">
        <f>COUNTIFS(Folha2_Table1[idade],"&gt;25",Folha2_Table1[sexo],"F",Folha2_Table1[compartilhar_resultado],"=Nao")</f>
        <v>0</v>
      </c>
      <c r="L12" s="94">
        <f>COUNTIFS(Folha2_Table1[idade],"&lt;1",Folha2_Table1[sexo],"M",Folha2_Table1[compartilhar_resultado],"Nao")</f>
        <v>0</v>
      </c>
      <c r="M12" s="90">
        <f>COUNTIFS(Folha2_Table1[idade],"&gt;0",Folha2_Table1[idade],"&lt;5",Folha2_Table1[sexo],"M",Folha2_Table1[compartilhar_resultado],"=Nao")</f>
        <v>0</v>
      </c>
      <c r="N12" s="89">
        <f>COUNTIFS(Folha2_Table1[idade],"&gt;4",Folha2_Table1[idade],"&lt;10",Folha2_Table1[sexo],"M",Folha2_Table1[compartilhar_resultado],"=Nao")</f>
        <v>0</v>
      </c>
      <c r="O12" s="90">
        <f>COUNTIFS(Folha2_Table1[idade],"&gt;9",Folha2_Table1[idade],"&lt;15",Folha2_Table1[sexo],"M",Folha2_Table1[compartilhar_resultado],"=Nao")</f>
        <v>0</v>
      </c>
      <c r="P12" s="91">
        <f>COUNTIFS(Folha2_Table1[idade],"&gt;14",Folha2_Table1[idade],"&lt;18",Folha2_Table1[sexo],"M",Folha2_Table1[compartilhar_resultado],"=Nao")</f>
        <v>0</v>
      </c>
      <c r="Q12" s="92">
        <f>COUNTIFS(Folha2_Table1[idade],"&gt;17",Folha2_Table1[idade],"&lt;25",Folha2_Table1[sexo],"M",Folha2_Table1[compartilhar_resultado],"=Nao")</f>
        <v>0</v>
      </c>
      <c r="R12" s="95">
        <f>COUNTIFS(Folha2_Table1[idade],"&gt;25",Folha2_Table1[sexo],"M",Folha2_Table1[compartilhar_resultado],"=Nao")</f>
        <v>0</v>
      </c>
      <c r="S12" s="96">
        <f>SUM(L12:R12)</f>
        <v>0</v>
      </c>
      <c r="T12" s="96">
        <f>SUM(E12:K12)</f>
        <v>0</v>
      </c>
      <c r="U12" s="97">
        <f t="shared" si="4"/>
        <v>0</v>
      </c>
      <c r="X12" s="58"/>
    </row>
    <row r="13" spans="2:24" s="44" customFormat="1" ht="78.75" customHeight="1" thickTop="1" thickBot="1" x14ac:dyDescent="0.5">
      <c r="B13" s="484" t="s">
        <v>222</v>
      </c>
      <c r="C13" s="487" t="s">
        <v>223</v>
      </c>
      <c r="D13" s="488"/>
      <c r="E13" s="98">
        <f>E14+E15</f>
        <v>0</v>
      </c>
      <c r="F13" s="99">
        <f t="shared" ref="F13:R13" si="5">F14+F15</f>
        <v>0</v>
      </c>
      <c r="G13" s="100">
        <f t="shared" si="5"/>
        <v>0</v>
      </c>
      <c r="H13" s="101">
        <f t="shared" si="5"/>
        <v>0</v>
      </c>
      <c r="I13" s="102">
        <f t="shared" si="5"/>
        <v>0</v>
      </c>
      <c r="J13" s="99">
        <f t="shared" si="5"/>
        <v>0</v>
      </c>
      <c r="K13" s="103">
        <f t="shared" si="5"/>
        <v>0</v>
      </c>
      <c r="L13" s="104">
        <f t="shared" si="5"/>
        <v>0</v>
      </c>
      <c r="M13" s="100">
        <f t="shared" si="5"/>
        <v>0</v>
      </c>
      <c r="N13" s="99">
        <f t="shared" si="5"/>
        <v>0</v>
      </c>
      <c r="O13" s="100">
        <f t="shared" si="5"/>
        <v>0</v>
      </c>
      <c r="P13" s="101">
        <f t="shared" si="5"/>
        <v>0</v>
      </c>
      <c r="Q13" s="102">
        <f t="shared" si="5"/>
        <v>0</v>
      </c>
      <c r="R13" s="105">
        <f t="shared" si="5"/>
        <v>0</v>
      </c>
      <c r="S13" s="106">
        <f t="shared" si="2"/>
        <v>0</v>
      </c>
      <c r="T13" s="107">
        <f t="shared" si="3"/>
        <v>0</v>
      </c>
      <c r="U13" s="108">
        <f t="shared" si="4"/>
        <v>0</v>
      </c>
      <c r="X13" s="58"/>
    </row>
    <row r="14" spans="2:24" s="120" customFormat="1" ht="78.75" customHeight="1" thickTop="1" x14ac:dyDescent="0.45">
      <c r="B14" s="485"/>
      <c r="C14" s="489" t="s">
        <v>224</v>
      </c>
      <c r="D14" s="490"/>
      <c r="E14" s="109"/>
      <c r="F14" s="110"/>
      <c r="G14" s="111"/>
      <c r="H14" s="112"/>
      <c r="I14" s="113"/>
      <c r="J14" s="110"/>
      <c r="K14" s="114"/>
      <c r="L14" s="115"/>
      <c r="M14" s="116"/>
      <c r="N14" s="110"/>
      <c r="O14" s="111"/>
      <c r="P14" s="112"/>
      <c r="Q14" s="113"/>
      <c r="R14" s="117"/>
      <c r="S14" s="118"/>
      <c r="T14" s="118"/>
      <c r="U14" s="119"/>
      <c r="X14" s="121"/>
    </row>
    <row r="15" spans="2:24" s="120" customFormat="1" ht="78.75" customHeight="1" thickBot="1" x14ac:dyDescent="0.5">
      <c r="B15" s="486"/>
      <c r="C15" s="491" t="s">
        <v>225</v>
      </c>
      <c r="D15" s="492"/>
      <c r="E15" s="122">
        <f>COUNTIFS(Folha2_Table1[idade],"&lt;1",Folha2_Table1[sexo],"F",Folha2_Table1[data_digitacao],"=MONTH(TODAY())")</f>
        <v>0</v>
      </c>
      <c r="F15" s="123">
        <f>COUNTIFS(Folha2_Table1[idade],"&lt;0",Folha2_Table1[idade],"&gt;5",Folha2_Table1[sexo],"F",Folha2_Table1[data_digitacao],"=MONTH(TODAY())")</f>
        <v>0</v>
      </c>
      <c r="G15" s="124">
        <f>COUNTIFS(Folha2_Table1[idade],"&lt;4",Folha2_Table1[idade],"&gt;10",Folha2_Table1[sexo],"F",Folha2_Table1[data_digitacao],"=MONTH(TODAY())")</f>
        <v>0</v>
      </c>
      <c r="H15" s="125">
        <f>COUNTIFS(Folha2_Table1[idade],"&lt;9",Folha2_Table1[idade],"&gt;15",Folha2_Table1[sexo],"F",Folha2_Table1[data_digitacao],"=MONTH(TODAY())")</f>
        <v>0</v>
      </c>
      <c r="I15" s="125">
        <f>COUNTIFS(Folha2_Table1[idade],"&lt;14",Folha2_Table1[idade],"&gt;18",Folha2_Table1[sexo],"F",Folha2_Table1[data_digitacao],"=MONTH(TODAY())")</f>
        <v>0</v>
      </c>
      <c r="J15" s="123">
        <f>COUNTIFS(Folha2_Table1[idade],"&lt;17",Folha2_Table1[idade],"&gt;25",Folha2_Table1[sexo],"F",Folha2_Table1[data_digitacao],"=MONTH(TODAY())")</f>
        <v>0</v>
      </c>
      <c r="K15" s="122">
        <f>COUNTIFS(Folha2_Table1[idade],"&gt;25",Folha2_Table1[sexo],"F",Folha2_Table1[data_digitacao],"=MONTH(TODAY())")</f>
        <v>0</v>
      </c>
      <c r="L15" s="122">
        <f>COUNTIFS(Folha2_Table1[idade],"&lt;1",Folha2_Table1[sexo],"M",Folha2_Table1[data_digitacao],"=MONTH(TODAY())")</f>
        <v>0</v>
      </c>
      <c r="M15" s="123">
        <f>COUNTIFS(Folha2_Table1[idade],"&lt;0",Folha2_Table1[idade],"&gt;5",Folha2_Table1[sexo],"M",Folha2_Table1[data_digitacao],"=MONTH(TODAY())")</f>
        <v>0</v>
      </c>
      <c r="N15" s="124">
        <f>COUNTIFS(Folha2_Table1[idade],"&lt;4",Folha2_Table1[idade],"&gt;10",Folha2_Table1[sexo],"M",Folha2_Table1[data_digitacao],"=MONTH(TODAY())")</f>
        <v>0</v>
      </c>
      <c r="O15" s="125">
        <f>COUNTIFS(Folha2_Table1[idade],"&lt;9",Folha2_Table1[idade],"&gt;15",Folha2_Table1[sexo],"M",Folha2_Table1[data_digitacao],"=MONTH(TODAY())")</f>
        <v>0</v>
      </c>
      <c r="P15" s="125">
        <f>COUNTIFS(Folha2_Table1[idade],"&lt;14",Folha2_Table1[idade],"&gt;18",Folha2_Table1[sexo],"M",Folha2_Table1[data_digitacao],"=MONTH(TODAY())")</f>
        <v>0</v>
      </c>
      <c r="Q15" s="123">
        <f>COUNTIFS(Folha2_Table1[idade],"&lt;17",Folha2_Table1[idade],"&gt;25",Folha2_Table1[sexo],"M",Folha2_Table1[data_digitacao],"=MONTH(TODAY())")</f>
        <v>0</v>
      </c>
      <c r="R15" s="122">
        <f>COUNTIFS(Folha2_Table1[idade],"&gt;25",Folha2_Table1[sexo],"M",Folha2_Table1[data_digitacao],"=MONTH(TODAY())")</f>
        <v>0</v>
      </c>
      <c r="S15" s="126">
        <f t="shared" si="2"/>
        <v>0</v>
      </c>
      <c r="T15" s="126">
        <f t="shared" si="3"/>
        <v>0</v>
      </c>
      <c r="U15" s="127">
        <f t="shared" si="4"/>
        <v>0</v>
      </c>
      <c r="X15" s="121"/>
    </row>
    <row r="16" spans="2:24" s="44" customFormat="1" ht="79.5" customHeight="1" thickTop="1" x14ac:dyDescent="0.45">
      <c r="B16" s="456" t="s">
        <v>215</v>
      </c>
      <c r="C16" s="493" t="s">
        <v>226</v>
      </c>
      <c r="D16" s="494"/>
      <c r="E16" s="128"/>
      <c r="F16" s="129"/>
      <c r="G16" s="130"/>
      <c r="H16" s="131"/>
      <c r="I16" s="132"/>
      <c r="J16" s="129"/>
      <c r="K16" s="133"/>
      <c r="L16" s="134"/>
      <c r="M16" s="135"/>
      <c r="N16" s="129"/>
      <c r="O16" s="135"/>
      <c r="P16" s="136"/>
      <c r="Q16" s="132"/>
      <c r="R16" s="137"/>
      <c r="S16" s="66"/>
      <c r="T16" s="67"/>
      <c r="U16" s="68"/>
      <c r="X16" s="58"/>
    </row>
    <row r="17" spans="2:24" s="44" customFormat="1" ht="103.5" customHeight="1" x14ac:dyDescent="0.45">
      <c r="B17" s="457"/>
      <c r="C17" s="495" t="s">
        <v>227</v>
      </c>
      <c r="D17" s="496"/>
      <c r="E17" s="138">
        <f>COUNTIFS(Folha8_Table1[sexo],"F",Folha8_Table1[idade],"Menor que 1",Folha8_Table1[actividade],"Transferido para outros ONGs que nao tem o apoio financeiro da USAID")</f>
        <v>0</v>
      </c>
      <c r="F17" s="80">
        <f>COUNTIFS(Folha8_Table1[sexo],"F",Folha8_Table1[idade],"1-4",Folha8_Table1[actividade],"Transferido para outros ONGs que nao tem o apoio financeiro da USAID")</f>
        <v>0</v>
      </c>
      <c r="G17" s="81">
        <f>COUNTIFS(Folha8_Table1[sexo],"F",Folha8_Table1[idade],"5-9",Folha8_Table1[actividade],"Transferido para outros ONGs que nao tem o apoio financeiro da USAID")</f>
        <v>0</v>
      </c>
      <c r="H17" s="82">
        <f>COUNTIFS(Folha8_Table1[sexo],"F",Folha8_Table1[idade],"10-14",Folha8_Table1[actividade],"Transferido para outros ONGs que nao tem o apoio financeiro da USAID")</f>
        <v>0</v>
      </c>
      <c r="I17" s="83">
        <f>COUNTIFS(Folha8_Table1[sexo],"F",Folha8_Table1[idade],"15-17",Folha8_Table1[actividade],"Transferido para outros ONGs que nao tem o apoio financeiro da USAID")</f>
        <v>0</v>
      </c>
      <c r="J17" s="138">
        <f>COUNTIFS(Folha8_Table1[sexo],"F",Folha8_Table1[idade],"18-24",Folha8_Table1[actividade],"Transferido para outros ONGs que nao tem o apoio financeiro da USAID")</f>
        <v>0</v>
      </c>
      <c r="K17" s="84">
        <f>COUNTIFS(Folha8_Table1[sexo],"F",Folha8_Table1[idade],"&gt;=25",Folha8_Table1[actividade],"Transferido para outros ONGs que nao tem o apoio financeiro da USAID")</f>
        <v>0</v>
      </c>
      <c r="L17" s="138">
        <f>COUNTIFS(Folha8_Table1[sexo],"M",Folha8_Table1[idade],"Menor que 1",Folha8_Table1[actividade],"Transferido para outros ONGs que nao tem o apoio financeiro da USAID")</f>
        <v>0</v>
      </c>
      <c r="M17" s="80">
        <f>COUNTIFS(Folha8_Table1[sexo],"M",Folha8_Table1[idade],"1-4",Folha8_Table1[actividade],"Transferido para outros ONGs que nao tem o apoio financeiro da USAID")</f>
        <v>1</v>
      </c>
      <c r="N17" s="81">
        <f>COUNTIFS(Folha8_Table1[sexo],"M",Folha8_Table1[idade],"5-9",Folha8_Table1[actividade],"Transferido para outros ONGs que nao tem o apoio financeiro da USAID")</f>
        <v>0</v>
      </c>
      <c r="O17" s="82">
        <f>COUNTIFS(Folha8_Table1[sexo],"M",Folha8_Table1[idade],"10-14",Folha8_Table1[actividade],"Transferido para outros ONGs que nao tem o apoio financeiro da USAID")</f>
        <v>0</v>
      </c>
      <c r="P17" s="83">
        <f>COUNTIFS(Folha8_Table1[sexo],"M",Folha8_Table1[idade],"15-17",Folha8_Table1[actividade],"Transferido para outros ONGs que nao tem o apoio financeiro da USAID")</f>
        <v>0</v>
      </c>
      <c r="Q17" s="138">
        <f>COUNTIFS(Folha8_Table1[sexo],"M",Folha8_Table1[idade],"18-24",Folha8_Table1[actividade],"Transferido para outros ONGs que nao tem o apoio financeiro da USAID")</f>
        <v>0</v>
      </c>
      <c r="R17" s="84">
        <f>COUNTIFS(Folha8_Table1[sexo],"M",Folha8_Table1[idade],"&gt;=25",Folha8_Table1[actividade],"Transferido para outros ONGs que nao tem o apoio financeiro da USAID")</f>
        <v>0</v>
      </c>
      <c r="S17" s="139">
        <f>SUM(L17:R17)</f>
        <v>1</v>
      </c>
      <c r="T17" s="78">
        <f>SUM(E17:K17)</f>
        <v>0</v>
      </c>
      <c r="U17" s="68">
        <f>SUM(S17:T17)</f>
        <v>1</v>
      </c>
      <c r="X17" s="58"/>
    </row>
    <row r="18" spans="2:24" s="44" customFormat="1" ht="103.5" customHeight="1" thickBot="1" x14ac:dyDescent="0.5">
      <c r="B18" s="458"/>
      <c r="C18" s="497" t="s">
        <v>280</v>
      </c>
      <c r="D18" s="498"/>
      <c r="E18" s="88"/>
      <c r="F18" s="89"/>
      <c r="G18" s="90"/>
      <c r="H18" s="91"/>
      <c r="I18" s="92"/>
      <c r="J18" s="89"/>
      <c r="K18" s="93"/>
      <c r="L18" s="94"/>
      <c r="M18" s="90"/>
      <c r="N18" s="89"/>
      <c r="O18" s="90"/>
      <c r="P18" s="91"/>
      <c r="Q18" s="92"/>
      <c r="R18" s="95"/>
      <c r="S18" s="140"/>
      <c r="T18" s="141"/>
      <c r="U18" s="142"/>
      <c r="X18" s="58"/>
    </row>
    <row r="19" spans="2:24" s="44" customFormat="1" ht="52.9" customHeight="1" thickTop="1" thickBot="1" x14ac:dyDescent="0.5">
      <c r="B19" s="436" t="s">
        <v>228</v>
      </c>
      <c r="C19" s="143"/>
      <c r="D19" s="144"/>
      <c r="E19" s="145"/>
      <c r="F19" s="145"/>
      <c r="G19" s="145" t="s">
        <v>229</v>
      </c>
      <c r="H19" s="145"/>
      <c r="I19" s="145"/>
      <c r="J19" s="145"/>
      <c r="K19" s="145"/>
      <c r="L19" s="146"/>
      <c r="M19" s="145"/>
      <c r="N19" s="145"/>
      <c r="O19" s="145"/>
      <c r="P19" s="145"/>
      <c r="Q19" s="145"/>
      <c r="R19" s="145"/>
      <c r="S19" s="144"/>
      <c r="T19" s="144"/>
      <c r="U19" s="147"/>
    </row>
    <row r="20" spans="2:24" s="44" customFormat="1" ht="81.75" customHeight="1" x14ac:dyDescent="0.45">
      <c r="B20" s="437"/>
      <c r="C20" s="499" t="s">
        <v>230</v>
      </c>
      <c r="D20" s="500"/>
      <c r="E20" s="138">
        <f>COUNTIFS(Folha8_Table1[sexo],"F",Folha8_Table1[idade],"Menor que 1",Folha8_Table1[actividade],"Individuos que completaram uma intervencao de normas de VBG no contexto de HIV/SIDA")</f>
        <v>0</v>
      </c>
      <c r="F20" s="80">
        <f>COUNTIFS(Folha8_Table1[sexo],"F",Folha8_Table1[idade],"1-4",Folha8_Table1[actividade],"Individuos que completaram uma intervencao de normas de VBG no contexto de HIV/SIDA")</f>
        <v>0</v>
      </c>
      <c r="G20" s="81">
        <f>COUNTIFS(Folha8_Table1[sexo],"F",Folha8_Table1[idade],"5-9",Folha8_Table1[actividade],"Individuos que completaram uma intervencao de normas de VBG no contexto de HIV/SIDA")</f>
        <v>0</v>
      </c>
      <c r="H20" s="82">
        <f>COUNTIFS(Folha8_Table1[sexo],"F",Folha8_Table1[idade],"10-14",Folha8_Table1[actividade],"Individuos que completaram uma intervencao de normas de VBG no contexto de HIV/SIDA")</f>
        <v>0</v>
      </c>
      <c r="I20" s="83">
        <f>COUNTIFS(Folha8_Table1[sexo],"F",Folha8_Table1[idade],"15-17",Folha8_Table1[actividade],"Individuos que completaram uma intervencao de normas de VBG no contexto de HIV/SIDA")</f>
        <v>0</v>
      </c>
      <c r="J20" s="138">
        <f>COUNTIFS(Folha8_Table1[sexo],"F",Folha8_Table1[idade],"18-24",Folha8_Table1[actividade],"Individuos que completaram uma intervencao de normas de VBG no contexto de HIV/SIDA")</f>
        <v>0</v>
      </c>
      <c r="K20" s="84">
        <f>COUNTIFS(Folha8_Table1[sexo],"F",Folha8_Table1[idade],"&gt;=25",Folha8_Table1[actividade],"Individuos que completaram uma intervencao de normas de VBG no contexto de HIV/SIDA")</f>
        <v>0</v>
      </c>
      <c r="L20" s="138">
        <f>COUNTIFS(Folha8_Table1[sexo],"M",Folha8_Table1[idade],"Menor que 1",Folha8_Table1[actividade],"Individuos que completaram uma intervencao de normas de VBG no contexto de HIV/SIDA")</f>
        <v>0</v>
      </c>
      <c r="M20" s="80">
        <f>COUNTIFS(Folha8_Table1[sexo],"M",Folha8_Table1[idade],"1-4",Folha8_Table1[actividade],"Individuos que completaram uma intervencao de normas de VBG no contexto de HIV/SIDA")</f>
        <v>0</v>
      </c>
      <c r="N20" s="81">
        <f>COUNTIFS(Folha8_Table1[sexo],"M",Folha8_Table1[idade],"5-9",Folha8_Table1[actividade],"Individuos que completaram uma intervencao de normas de VBG no contexto de HIV/SIDA")</f>
        <v>0</v>
      </c>
      <c r="O20" s="82">
        <f>COUNTIFS(Folha8_Table1[sexo],"M",Folha8_Table1[idade],"10-14",Folha8_Table1[actividade],"Individuos que completaram uma intervencao de normas de VBG no contexto de HIV/SIDA")</f>
        <v>0</v>
      </c>
      <c r="P20" s="83">
        <f>COUNTIFS(Folha8_Table1[sexo],"M",Folha8_Table1[idade],"15-17",Folha8_Table1[actividade],"Individuos que completaram uma intervencao de normas de VBG no contexto de HIV/SIDA")</f>
        <v>0</v>
      </c>
      <c r="Q20" s="138">
        <f>COUNTIFS(Folha8_Table1[sexo],"M",Folha8_Table1[idade],"18-24",Folha8_Table1[actividade],"Individuos que completaram uma intervencao de normas de VBG no contexto de HIV/SIDA")</f>
        <v>0</v>
      </c>
      <c r="R20" s="84">
        <f>COUNTIFS(Folha8_Table1[sexo],"M",Folha8_Table1[idade],"&gt;=25",Folha8_Table1[actividade],"Individuos que completaram uma intervencao de normas de VBG no contexto de HIV/SIDA")</f>
        <v>0</v>
      </c>
      <c r="S20" s="150">
        <f>SUM(L20:R20)</f>
        <v>0</v>
      </c>
      <c r="T20" s="67">
        <f>SUM(E20:K20)</f>
        <v>0</v>
      </c>
      <c r="U20" s="68">
        <f>SUM(S20:T20)</f>
        <v>0</v>
      </c>
      <c r="X20" s="58"/>
    </row>
    <row r="21" spans="2:24" s="44" customFormat="1" ht="108" customHeight="1" thickBot="1" x14ac:dyDescent="0.5">
      <c r="B21" s="438"/>
      <c r="C21" s="409" t="s">
        <v>231</v>
      </c>
      <c r="D21" s="151">
        <f>SUMIF(Folha8_Table1[actividade],"Sessoes sobre as normas de genero no contexto de HIV/SIDA realizados",Folha8_Table1[numero])</f>
        <v>0</v>
      </c>
      <c r="E21" s="152"/>
      <c r="F21" s="153"/>
      <c r="G21" s="154"/>
      <c r="H21" s="153"/>
      <c r="I21" s="154"/>
      <c r="J21" s="153"/>
      <c r="K21" s="153"/>
      <c r="L21" s="155"/>
      <c r="M21" s="154"/>
      <c r="N21" s="153"/>
      <c r="O21" s="152"/>
      <c r="P21" s="153"/>
      <c r="Q21" s="154"/>
      <c r="R21" s="153"/>
      <c r="S21" s="156"/>
      <c r="T21" s="157"/>
      <c r="U21" s="158">
        <f>D21</f>
        <v>0</v>
      </c>
      <c r="X21" s="58"/>
    </row>
    <row r="22" spans="2:24" s="17" customFormat="1" ht="50.45" customHeight="1" thickTop="1" x14ac:dyDescent="0.65">
      <c r="B22" s="413" t="s">
        <v>201</v>
      </c>
      <c r="C22" s="449" t="s">
        <v>202</v>
      </c>
      <c r="D22" s="415"/>
      <c r="E22" s="159"/>
      <c r="F22" s="160"/>
      <c r="G22" s="160"/>
      <c r="H22" s="160" t="s">
        <v>203</v>
      </c>
      <c r="I22" s="160"/>
      <c r="J22" s="160"/>
      <c r="K22" s="160"/>
      <c r="L22" s="161"/>
      <c r="M22" s="162"/>
      <c r="N22" s="162"/>
      <c r="O22" s="163" t="s">
        <v>204</v>
      </c>
      <c r="P22" s="162"/>
      <c r="Q22" s="162"/>
      <c r="R22" s="164"/>
      <c r="S22" s="418" t="s">
        <v>205</v>
      </c>
      <c r="T22" s="501"/>
      <c r="U22" s="482" t="s">
        <v>206</v>
      </c>
      <c r="X22" s="58"/>
    </row>
    <row r="23" spans="2:24" s="17" customFormat="1" ht="50.45" customHeight="1" thickBot="1" x14ac:dyDescent="0.7">
      <c r="B23" s="414"/>
      <c r="C23" s="434"/>
      <c r="D23" s="417"/>
      <c r="E23" s="165" t="s">
        <v>207</v>
      </c>
      <c r="F23" s="166" t="s">
        <v>0</v>
      </c>
      <c r="G23" s="167" t="s">
        <v>208</v>
      </c>
      <c r="H23" s="168" t="s">
        <v>209</v>
      </c>
      <c r="I23" s="169" t="s">
        <v>210</v>
      </c>
      <c r="J23" s="166" t="s">
        <v>211</v>
      </c>
      <c r="K23" s="170" t="s">
        <v>212</v>
      </c>
      <c r="L23" s="171" t="s">
        <v>207</v>
      </c>
      <c r="M23" s="172" t="s">
        <v>0</v>
      </c>
      <c r="N23" s="173" t="s">
        <v>208</v>
      </c>
      <c r="O23" s="172" t="s">
        <v>209</v>
      </c>
      <c r="P23" s="173" t="s">
        <v>210</v>
      </c>
      <c r="Q23" s="172" t="s">
        <v>211</v>
      </c>
      <c r="R23" s="174" t="s">
        <v>212</v>
      </c>
      <c r="S23" s="175" t="s">
        <v>213</v>
      </c>
      <c r="T23" s="30" t="s">
        <v>214</v>
      </c>
      <c r="U23" s="483"/>
      <c r="X23" s="58"/>
    </row>
    <row r="24" spans="2:24" s="44" customFormat="1" ht="82.5" customHeight="1" thickTop="1" x14ac:dyDescent="0.45">
      <c r="B24" s="436" t="s">
        <v>232</v>
      </c>
      <c r="C24" s="472" t="s">
        <v>233</v>
      </c>
      <c r="D24" s="473"/>
      <c r="E24" s="176"/>
      <c r="F24" s="177"/>
      <c r="G24" s="178"/>
      <c r="H24" s="179"/>
      <c r="I24" s="138">
        <f>COUNTIFS(Folha8_Table1[sexo],"F",Folha8_Table1[idade],"15-17",Folha8_Table1[actividade],"Membros do governo treinados em sistema de referencia e ligacao dos beneficarios para os SDSMAS e LIPS")</f>
        <v>0</v>
      </c>
      <c r="J24" s="138">
        <f>COUNTIFS(Folha8_Table1[sexo],"F",Folha8_Table1[idade],"18-24",Folha8_Table1[actividade],"Membros do governo treinados em sistema de referencia e ligacao dos beneficarios para os SDSMAS e LIPS")</f>
        <v>0</v>
      </c>
      <c r="K24" s="84">
        <f>COUNTIFS(Folha8_Table1[sexo],"F",Folha8_Table1[idade],"&gt;=25",Folha8_Table1[actividade],"Membros do governo treinados em sistema de referencia e ligacao dos beneficarios para os SDSMAS e LIPS")</f>
        <v>0</v>
      </c>
      <c r="L24" s="180"/>
      <c r="M24" s="181"/>
      <c r="N24" s="182"/>
      <c r="O24" s="183"/>
      <c r="P24" s="138">
        <f>COUNTIFS(Folha8_Table1[sexo],"M",Folha8_Table1[idade],"15-17",Folha8_Table1[actividade],"Membros do governo treinados em sistema de referencia e ligacao dos beneficarios para os SDSMAS e LIPS")</f>
        <v>0</v>
      </c>
      <c r="Q24" s="138">
        <f>COUNTIFS(Folha8_Table1[sexo],"M",Folha8_Table1[idade],"18-24",Folha8_Table1[actividade],"Membros do governo treinados em sistema de referencia e ligacao dos beneficarios para os SDSMAS e LIPS")</f>
        <v>0</v>
      </c>
      <c r="R24" s="84">
        <f>COUNTIFS(Folha8_Table1[sexo],"M",Folha8_Table1[idade],"&gt;=25",Folha8_Table1[actividade],"Membros do governo treinados em sistema de referencia e ligacao dos beneficarios para os SDSMAS e LIPS")</f>
        <v>0</v>
      </c>
      <c r="S24" s="139">
        <f>SUM(P24:R24)</f>
        <v>0</v>
      </c>
      <c r="T24" s="185">
        <f>SUM(I24:K24)</f>
        <v>0</v>
      </c>
      <c r="U24" s="87">
        <f>SUM(S24:T24)</f>
        <v>0</v>
      </c>
      <c r="X24" s="58"/>
    </row>
    <row r="25" spans="2:24" s="44" customFormat="1" ht="84.75" customHeight="1" x14ac:dyDescent="0.45">
      <c r="B25" s="437"/>
      <c r="C25" s="474" t="s">
        <v>234</v>
      </c>
      <c r="D25" s="475"/>
      <c r="E25" s="186">
        <f>COUNTIFS(Folha13_Table1[idade],"&lt;1",Folha13_Table1[sexo],"F")</f>
        <v>0</v>
      </c>
      <c r="F25" s="187">
        <f>COUNTIFS(Folha13_Table1[idade],"&lt;5",Folha13_Table1[idade],"&gt;0",Folha13_Table1[sexo],"F")</f>
        <v>0</v>
      </c>
      <c r="G25" s="188">
        <f>COUNTIFS(Folha13_Table1[idade],"&lt;4",Folha13_Table1[idade],"&gt;10",Folha13_Table1[sexo],"F")</f>
        <v>0</v>
      </c>
      <c r="H25" s="189">
        <f>COUNTIFS(Folha13_Table1[idade],"&lt;9",Folha13_Table1[idade],"&gt;15",Folha13_Table1[sexo],"F")</f>
        <v>0</v>
      </c>
      <c r="I25" s="186">
        <f>COUNTIFS(Folha13_Table1[idade],"&lt;14",Folha13_Table1[idade],"&gt;18",Folha13_Table1[sexo],"F")</f>
        <v>0</v>
      </c>
      <c r="J25" s="187">
        <f>COUNTIFS(Folha13_Table1[idade],"&lt;17",Folha13_Table1[idade],"&gt;25",Folha13_Table1[sexo],"F")</f>
        <v>0</v>
      </c>
      <c r="K25" s="186">
        <f>COUNTIFS(Folha13_Table1[idade],"&gt;24",Folha13_Table1[sexo],"F")</f>
        <v>0</v>
      </c>
      <c r="L25" s="186">
        <f>COUNTIFS(Folha13_Table1[idade],"&lt;1",Folha13_Table1[sexo],"M")</f>
        <v>1</v>
      </c>
      <c r="M25" s="187">
        <f>COUNTIFS(Folha13_Table1[idade],"&lt;5",Folha13_Table1[idade],"&gt;0",Folha13_Table1[sexo],"M")</f>
        <v>6</v>
      </c>
      <c r="N25" s="188">
        <f>COUNTIFS(Folha13_Table1[idade],"&lt;4",Folha13_Table1[idade],"&gt;10",Folha13_Table1[sexo],"M")</f>
        <v>0</v>
      </c>
      <c r="O25" s="189">
        <f>COUNTIFS(Folha13_Table1[idade],"&lt;9",Folha13_Table1[idade],"&gt;15",Folha13_Table1[sexo],"M")</f>
        <v>0</v>
      </c>
      <c r="P25" s="186">
        <f>COUNTIFS(Folha13_Table1[idade],"&lt;14",Folha13_Table1[idade],"&gt;18",Folha13_Table1[sexo],"M")</f>
        <v>0</v>
      </c>
      <c r="Q25" s="187">
        <f>COUNTIFS(Folha13_Table1[idade],"&lt;17",Folha13_Table1[idade],"&gt;25",Folha13_Table1[sexo],"M")</f>
        <v>0</v>
      </c>
      <c r="R25" s="186">
        <f>COUNTIFS(Folha13_Table1[idade],"&gt;24",Folha13_Table1[sexo],"M")</f>
        <v>0</v>
      </c>
      <c r="S25" s="139">
        <f>SUM(L25:R25)</f>
        <v>7</v>
      </c>
      <c r="T25" s="185">
        <f>SUM(E25:K25)</f>
        <v>0</v>
      </c>
      <c r="U25" s="87">
        <f>SUM(S25:T25)</f>
        <v>7</v>
      </c>
    </row>
    <row r="26" spans="2:24" s="44" customFormat="1" ht="84.6" customHeight="1" x14ac:dyDescent="0.45">
      <c r="B26" s="437"/>
      <c r="C26" s="476" t="s">
        <v>235</v>
      </c>
      <c r="D26" s="477"/>
      <c r="E26" s="186">
        <f>COUNTIFS(Folha13_Table1[idade],"&lt;1",Folha13_Table1[sexo],"F")</f>
        <v>0</v>
      </c>
      <c r="F26" s="187">
        <f>COUNTIFS(Folha13_Table1[idade],"&lt;5",Folha13_Table1[idade],"&gt;0",Folha13_Table1[sexo],"F")</f>
        <v>0</v>
      </c>
      <c r="G26" s="188">
        <f>COUNTIFS(Folha13_Table1[idade],"&lt;4",Folha13_Table1[idade],"&gt;10",Folha13_Table1[sexo],"F")</f>
        <v>0</v>
      </c>
      <c r="H26" s="189">
        <f>COUNTIFS(Folha13_Table1[idade],"&lt;9",Folha13_Table1[idade],"&gt;15",Folha13_Table1[sexo],"F")</f>
        <v>0</v>
      </c>
      <c r="I26" s="186">
        <f>COUNTIFS(Folha13_Table1[idade],"&lt;14",Folha13_Table1[idade],"&gt;18",Folha13_Table1[sexo],"F")</f>
        <v>0</v>
      </c>
      <c r="J26" s="187">
        <f>COUNTIFS(Folha13_Table1[idade],"&lt;17",Folha13_Table1[idade],"&gt;25",Folha13_Table1[sexo],"F")</f>
        <v>0</v>
      </c>
      <c r="K26" s="186">
        <f>COUNTIFS(Folha13_Table1[idade],"&gt;24",Folha13_Table1[sexo],"F")</f>
        <v>0</v>
      </c>
      <c r="L26" s="186">
        <f>COUNTIFS(Folha13_Table1[idade],"&lt;1",Folha13_Table1[sexo],"M")</f>
        <v>1</v>
      </c>
      <c r="M26" s="187">
        <f>COUNTIFS(Folha13_Table1[idade],"&lt;5",Folha13_Table1[idade],"&gt;0",Folha13_Table1[sexo],"M")</f>
        <v>6</v>
      </c>
      <c r="N26" s="188">
        <f>COUNTIFS(Folha13_Table1[idade],"&lt;4",Folha13_Table1[idade],"&gt;10",Folha13_Table1[sexo],"M")</f>
        <v>0</v>
      </c>
      <c r="O26" s="189">
        <f>COUNTIFS(Folha13_Table1[idade],"&lt;9",Folha13_Table1[idade],"&gt;15",Folha13_Table1[sexo],"M")</f>
        <v>0</v>
      </c>
      <c r="P26" s="186">
        <f>COUNTIFS(Folha13_Table1[idade],"&lt;14",Folha13_Table1[idade],"&gt;18",Folha13_Table1[sexo],"M")</f>
        <v>0</v>
      </c>
      <c r="Q26" s="187">
        <f>COUNTIFS(Folha13_Table1[idade],"&lt;17",Folha13_Table1[idade],"&gt;25",Folha13_Table1[sexo],"M")</f>
        <v>0</v>
      </c>
      <c r="R26" s="186">
        <f>COUNTIFS(Folha13_Table1[idade],"&gt;24",Folha13_Table1[sexo],"M")</f>
        <v>0</v>
      </c>
      <c r="S26" s="139">
        <f>SUM(L26:R26)</f>
        <v>7</v>
      </c>
      <c r="T26" s="185">
        <f>SUM(E26:K26)</f>
        <v>0</v>
      </c>
      <c r="U26" s="87">
        <f>SUM(S26:T26)</f>
        <v>7</v>
      </c>
    </row>
    <row r="27" spans="2:24" s="44" customFormat="1" ht="99" customHeight="1" x14ac:dyDescent="0.5">
      <c r="B27" s="437"/>
      <c r="C27" s="407" t="s">
        <v>236</v>
      </c>
      <c r="D27" s="198">
        <f>SUMIF(Folha8_Table1[actividade],"Encontros trimestrais e multisectoriais realizadas no ambito de coordenacao das actividades de COVs",Folha8_Table1[numero])</f>
        <v>8</v>
      </c>
      <c r="E27" s="351"/>
      <c r="F27" s="352"/>
      <c r="G27" s="353"/>
      <c r="H27" s="354"/>
      <c r="I27" s="355"/>
      <c r="J27" s="354"/>
      <c r="K27" s="356"/>
      <c r="L27" s="357"/>
      <c r="M27" s="358"/>
      <c r="N27" s="359"/>
      <c r="O27" s="353"/>
      <c r="P27" s="354"/>
      <c r="Q27" s="355"/>
      <c r="R27" s="359"/>
      <c r="S27" s="360"/>
      <c r="T27" s="361"/>
      <c r="U27" s="362"/>
    </row>
    <row r="28" spans="2:24" s="44" customFormat="1" ht="68.25" customHeight="1" thickBot="1" x14ac:dyDescent="0.5">
      <c r="B28" s="437"/>
      <c r="C28" s="476" t="s">
        <v>237</v>
      </c>
      <c r="D28" s="477"/>
      <c r="E28" s="138">
        <f>COUNTIFS(Folha8_Table1[sexo],"F",Folha8_Table1[idade],"Menor que 1",Folha8_Table1[actividade],"Benficiarios treinados por cada tema de treinamento (VBG, Educacao, VSLA, referencia)")</f>
        <v>0</v>
      </c>
      <c r="F28" s="80">
        <f>COUNTIFS(Folha8_Table1[sexo],"F",Folha8_Table1[idade],"1-4",Folha8_Table1[actividade],"Benficiarios treinados por cada tema de treinamento (VBG, Educacao, VSLA, referencia)")</f>
        <v>0</v>
      </c>
      <c r="G28" s="90">
        <f>COUNTIFS(Folha8_Table1[sexo],"F",Folha8_Table1[idade],"5-9",Folha8_Table1[actividade],"Benficiarios treinados por cada tema de treinamento (VBG, Educacao, VSLA, referencia)")</f>
        <v>0</v>
      </c>
      <c r="H28" s="91">
        <f>COUNTIFS(Folha8_Table1[sexo],"F",Folha8_Table1[idade],"10-14",Folha8_Table1[actividade],"Benficiarios treinados por cada tema de treinamento (VBG, Educacao, VSLA, referencia)")</f>
        <v>0</v>
      </c>
      <c r="I28" s="83">
        <f>COUNTIFS(Folha8_Table1[sexo],"F",Folha8_Table1[idade],"15-17",Folha8_Table1[actividade],"Benficiarios treinados por cada tema de treinamento (VBG, Educacao, VSLA, referencia)")</f>
        <v>0</v>
      </c>
      <c r="J28" s="138">
        <f>COUNTIFS(Folha8_Table1[sexo],"F",Folha8_Table1[idade],"18-24",Folha8_Table1[actividade],"Benficiarios treinados por cada tema de treinamento (VBG, Educacao, VSLA, referencia)")</f>
        <v>0</v>
      </c>
      <c r="K28" s="84">
        <f>COUNTIFS(Folha8_Table1[sexo],"F",Folha8_Table1[idade],"&gt;=25",Folha8_Table1[actividade],"Benficiarios treinados por cada tema de treinamento (VBG, Educacao, VSLA, referencia)")</f>
        <v>0</v>
      </c>
      <c r="L28" s="138">
        <f>COUNTIFS(Folha8_Table1[sexo],"M",Folha8_Table1[idade],"Menor que 1",Folha8_Table1[actividade],"Benficiarios treinados por cada tema de treinamento (VBG, Educacao, VSLA, referencia)")</f>
        <v>0</v>
      </c>
      <c r="M28" s="80">
        <f>COUNTIFS(Folha8_Table1[sexo],"M",Folha8_Table1[idade],"1-4",Folha8_Table1[actividade],"Benficiarios treinados por cada tema de treinamento (VBG, Educacao, VSLA, referencia)")</f>
        <v>0</v>
      </c>
      <c r="N28" s="90">
        <f>COUNTIFS(Folha8_Table1[sexo],"M",Folha8_Table1[idade],"5-9",Folha8_Table1[actividade],"Benficiarios treinados por cada tema de treinamento (VBG, Educacao, VSLA, referencia)")</f>
        <v>0</v>
      </c>
      <c r="O28" s="91">
        <f>COUNTIFS(Folha8_Table1[sexo],"M",Folha8_Table1[idade],"10-14",Folha8_Table1[actividade],"Benficiarios treinados por cada tema de treinamento (VBG, Educacao, VSLA, referencia)")</f>
        <v>0</v>
      </c>
      <c r="P28" s="83">
        <f>COUNTIFS(Folha8_Table1[sexo],"M",Folha8_Table1[idade],"15-17",Folha8_Table1[actividade],"Benficiarios treinados por cada tema de treinamento (VBG, Educacao, VSLA, referencia)")</f>
        <v>0</v>
      </c>
      <c r="Q28" s="138">
        <f>COUNTIFS(Folha8_Table1[sexo],"M",Folha8_Table1[idade],"18-24",Folha8_Table1[actividade],"Benficiarios treinados por cada tema de treinamento (VBG, Educacao, VSLA, referencia)")</f>
        <v>0</v>
      </c>
      <c r="R28" s="84">
        <f>COUNTIFS(Folha8_Table1[sexo],"M",Folha8_Table1[idade],"&gt;=25",Folha8_Table1[actividade],"Benficiarios treinados por cada tema de treinamento (VBG, Educacao, VSLA, referencia)")</f>
        <v>0</v>
      </c>
      <c r="S28" s="139">
        <f>SUM(L28:R28)</f>
        <v>0</v>
      </c>
      <c r="T28" s="185">
        <f>SUM(E28:K28)</f>
        <v>0</v>
      </c>
      <c r="U28" s="87">
        <f>SUM(S28:T28)</f>
        <v>0</v>
      </c>
    </row>
    <row r="29" spans="2:24" s="44" customFormat="1" ht="168.75" customHeight="1" thickBot="1" x14ac:dyDescent="0.5">
      <c r="B29" s="437"/>
      <c r="C29" s="408" t="s">
        <v>238</v>
      </c>
      <c r="D29" s="200">
        <f>SUMIF(Folha8_Table1[actividade],"Treinamentos realizados nas diferentes areas (no acto de reporte deve especificar o tipo de treinamento, seja de VBG, Mentores, VSLA, gestao de caso, educacao parental etc).",Folha8_Table1[numero])</f>
        <v>4</v>
      </c>
      <c r="E29" s="363"/>
      <c r="F29" s="359"/>
      <c r="G29" s="364"/>
      <c r="H29" s="365"/>
      <c r="I29" s="355"/>
      <c r="J29" s="363"/>
      <c r="K29" s="366"/>
      <c r="L29" s="367"/>
      <c r="M29" s="363"/>
      <c r="N29" s="359"/>
      <c r="O29" s="353"/>
      <c r="P29" s="354"/>
      <c r="Q29" s="355"/>
      <c r="R29" s="363"/>
      <c r="S29" s="360"/>
      <c r="T29" s="361"/>
      <c r="U29" s="362"/>
    </row>
    <row r="30" spans="2:24" s="44" customFormat="1" ht="78.75" customHeight="1" thickTop="1" thickBot="1" x14ac:dyDescent="0.5">
      <c r="B30" s="437"/>
      <c r="C30" s="478" t="s">
        <v>239</v>
      </c>
      <c r="D30" s="479"/>
      <c r="E30" s="201">
        <f>SUM(E31:E37)</f>
        <v>0</v>
      </c>
      <c r="F30" s="202">
        <f t="shared" ref="F30:R30" si="6">SUM(F31:F37)</f>
        <v>0</v>
      </c>
      <c r="G30" s="203">
        <f t="shared" si="6"/>
        <v>0</v>
      </c>
      <c r="H30" s="204">
        <f t="shared" si="6"/>
        <v>0</v>
      </c>
      <c r="I30" s="205">
        <f t="shared" si="6"/>
        <v>0</v>
      </c>
      <c r="J30" s="202">
        <f t="shared" si="6"/>
        <v>0</v>
      </c>
      <c r="K30" s="206">
        <f t="shared" si="6"/>
        <v>0</v>
      </c>
      <c r="L30" s="207">
        <f t="shared" si="6"/>
        <v>0</v>
      </c>
      <c r="M30" s="203">
        <f t="shared" si="6"/>
        <v>5</v>
      </c>
      <c r="N30" s="202">
        <f t="shared" si="6"/>
        <v>0</v>
      </c>
      <c r="O30" s="203">
        <f t="shared" si="6"/>
        <v>0</v>
      </c>
      <c r="P30" s="204">
        <f t="shared" si="6"/>
        <v>0</v>
      </c>
      <c r="Q30" s="205">
        <f t="shared" si="6"/>
        <v>1</v>
      </c>
      <c r="R30" s="208">
        <f t="shared" si="6"/>
        <v>0</v>
      </c>
      <c r="S30" s="106">
        <f t="shared" ref="S30:S37" si="7">SUM(L30:R30)</f>
        <v>6</v>
      </c>
      <c r="T30" s="107">
        <f t="shared" ref="T30:T37" si="8">SUM(E30:K30)</f>
        <v>0</v>
      </c>
      <c r="U30" s="108">
        <f t="shared" ref="U30:U37" si="9">SUM(S30:T30)</f>
        <v>6</v>
      </c>
      <c r="X30" s="58"/>
    </row>
    <row r="31" spans="2:24" s="120" customFormat="1" ht="106.9" customHeight="1" thickTop="1" x14ac:dyDescent="0.45">
      <c r="B31" s="437"/>
      <c r="C31" s="480" t="s">
        <v>240</v>
      </c>
      <c r="D31" s="481"/>
      <c r="E31" s="209">
        <f>COUNTIFS(Folha11_Table1[idade],"0",Folha11_Table1[sexo],"F",Folha11_Table1[referido1],"Reabilitacao Nutricional",Folha11_Table1[contrRecebida],"X")</f>
        <v>0</v>
      </c>
      <c r="F31" s="210">
        <f>COUNTIFS(Folha11_Table1[idade],"&gt;0",Folha11_Table1[idade],"&lt;5",Folha11_Table1[sexo],"F",Folha11_Table1[referido1],"Reabilitacao Nutricional",Folha11_Table1[contrRecebida],"X")</f>
        <v>0</v>
      </c>
      <c r="G31" s="210">
        <f>COUNTIFS(Folha11_Table1[idade],"&gt;4",Folha11_Table1[idade],"&lt;10",Folha11_Table1[sexo],"F",Folha11_Table1[referido1],"Reabilitacao Nutricional",Folha11_Table1[contrRecebida],"X")</f>
        <v>0</v>
      </c>
      <c r="H31" s="210">
        <f>COUNTIFS(Folha11_Table1[idade],"&gt;9",Folha11_Table1[idade],"&lt;15",Folha11_Table1[sexo],"F",Folha11_Table1[referido1],"Reabilitacao Nutricional",Folha11_Table1[contrRecebida],"X")</f>
        <v>0</v>
      </c>
      <c r="I31" s="210">
        <f>COUNTIFS(Folha11_Table1[idade],"&gt;14",Folha11_Table1[idade],"&lt;18",Folha11_Table1[sexo],"F",Folha11_Table1[referido1],"Reabilitacao Nutricional",Folha11_Table1[contrRecebida],"X")</f>
        <v>0</v>
      </c>
      <c r="J31" s="210">
        <f>COUNTIFS(Folha11_Table1[idade],"&gt;17",Folha11_Table1[idade],"&lt;25",Folha11_Table1[sexo],"F",Folha11_Table1[referido1],"Reabilitacao Nutricional",Folha11_Table1[contrRecebida],"X")</f>
        <v>0</v>
      </c>
      <c r="K31" s="209">
        <f>COUNTIFS(Folha11_Table1[idade],"&gt;24",Folha11_Table1[sexo],"F",Folha11_Table1[referido1],"Reabilitacao Nutricional",Folha11_Table1[contrRecebida],"X")</f>
        <v>0</v>
      </c>
      <c r="L31" s="209">
        <f>COUNTIFS(Folha11_Table1[idade],"0",Folha11_Table1[sexo],"M",Folha11_Table1[referido1],"Reabilitacao Nutricional",Folha11_Table1[contrRecebida],"X")</f>
        <v>0</v>
      </c>
      <c r="M31" s="210">
        <f>COUNTIFS(Folha11_Table1[idade],"&gt;0",Folha11_Table1[idade],"&lt;5",Folha11_Table1[sexo],"M",Folha11_Table1[referido1],"Reabilitacao Nutricional",Folha11_Table1[contrRecebida],"X")</f>
        <v>2</v>
      </c>
      <c r="N31" s="210">
        <f>COUNTIFS(Folha11_Table1[idade],"&gt;4",Folha11_Table1[idade],"&lt;10",Folha11_Table1[sexo],"M",Folha11_Table1[referido1],"Reabilitacao Nutricional",Folha11_Table1[contrRecebida],"X")</f>
        <v>0</v>
      </c>
      <c r="O31" s="210">
        <f>COUNTIFS(Folha11_Table1[idade],"&gt;9",Folha11_Table1[idade],"&lt;15",Folha11_Table1[sexo],"M",Folha11_Table1[referido1],"Reabilitacao Nutricional",Folha11_Table1[contrRecebida],"X")</f>
        <v>0</v>
      </c>
      <c r="P31" s="210">
        <f>COUNTIFS(Folha11_Table1[idade],"&gt;14",Folha11_Table1[idade],"&lt;18",Folha11_Table1[sexo],"M",Folha11_Table1[referido1],"Reabilitacao Nutricional",Folha11_Table1[contrRecebida],"X")</f>
        <v>0</v>
      </c>
      <c r="Q31" s="210">
        <f>COUNTIFS(Folha11_Table1[idade],"&gt;17",Folha11_Table1[idade],"&lt;25",Folha11_Table1[sexo],"M",Folha11_Table1[referido1],"Reabilitacao Nutricional",Folha11_Table1[contrRecebida],"X")</f>
        <v>1</v>
      </c>
      <c r="R31" s="209">
        <f>COUNTIFS(Folha11_Table1[idade],"&gt;24",Folha11_Table1[sexo],"M",Folha11_Table1[referido1],"Reabilitacao Nutricional",Folha11_Table1[contrRecebida],"X")</f>
        <v>0</v>
      </c>
      <c r="S31" s="77">
        <f t="shared" si="7"/>
        <v>3</v>
      </c>
      <c r="T31" s="185">
        <f t="shared" si="8"/>
        <v>0</v>
      </c>
      <c r="U31" s="87">
        <f t="shared" si="9"/>
        <v>3</v>
      </c>
    </row>
    <row r="32" spans="2:24" s="120" customFormat="1" ht="106.9" customHeight="1" x14ac:dyDescent="0.45">
      <c r="B32" s="437"/>
      <c r="C32" s="468" t="s">
        <v>241</v>
      </c>
      <c r="D32" s="469"/>
      <c r="E32" s="209">
        <f>COUNTIFS(Folha11_Table1[idade],"0",Folha11_Table1[sexo],"F",Folha11_Table1[referido1],"Testagem e aconselhamento para HIV",Folha11_Table1[contrRecebida],"X")</f>
        <v>0</v>
      </c>
      <c r="F32" s="210">
        <f>COUNTIFS(Folha11_Table1[idade],"&gt;0",Folha11_Table1[idade],"&lt;5",Folha11_Table1[sexo],"F",Folha11_Table1[referido1],"estagem e aconselhamento para HIV",Folha11_Table1[contrRecebida],"X")</f>
        <v>0</v>
      </c>
      <c r="G32" s="210">
        <f>COUNTIFS(Folha11_Table1[idade],"&gt;4",Folha11_Table1[idade],"&lt;10",Folha11_Table1[sexo],"F",Folha11_Table1[referido1],"estagem e aconselhamento para HIV",Folha11_Table1[contrRecebida],"X")</f>
        <v>0</v>
      </c>
      <c r="H32" s="210">
        <f>COUNTIFS(Folha11_Table1[idade],"&gt;9",Folha11_Table1[idade],"&lt;15",Folha11_Table1[sexo],"F",Folha11_Table1[referido1],"estagem e aconselhamento para HIV",Folha11_Table1[contrRecebida],"X")</f>
        <v>0</v>
      </c>
      <c r="I32" s="210">
        <f>COUNTIFS(Folha11_Table1[idade],"&gt;14",Folha11_Table1[idade],"&lt;18",Folha11_Table1[sexo],"F",Folha11_Table1[referido1],"estagem e aconselhamento para HIV",Folha11_Table1[contrRecebida],"X")</f>
        <v>0</v>
      </c>
      <c r="J32" s="210">
        <f>COUNTIFS(Folha11_Table1[idade],"&gt;17",Folha11_Table1[idade],"&lt;25",Folha11_Table1[sexo],"F",Folha11_Table1[referido1],"estagem e aconselhamento para HIV",Folha11_Table1[contrRecebida],"X")</f>
        <v>0</v>
      </c>
      <c r="K32" s="209">
        <f>COUNTIFS(Folha11_Table1[idade],"&gt;24",Folha11_Table1[sexo],"F",Folha11_Table1[referido1],"estagem e aconselhamento para HIV",Folha11_Table1[contrRecebida],"X")</f>
        <v>0</v>
      </c>
      <c r="L32" s="209">
        <f>COUNTIFS(Folha11_Table1[idade],"0",Folha11_Table1[sexo],"M",Folha11_Table1[referido1],"Testagem e aconselhamento para HIV",Folha11_Table1[contrRecebida],"X")</f>
        <v>0</v>
      </c>
      <c r="M32" s="210">
        <f>COUNTIFS(Folha11_Table1[idade],"&gt;0",Folha11_Table1[idade],"&lt;5",Folha11_Table1[sexo],"M",Folha11_Table1[referido1],"estagem e aconselhamento para HIV",Folha11_Table1[contrRecebida],"X")</f>
        <v>0</v>
      </c>
      <c r="N32" s="210">
        <f>COUNTIFS(Folha11_Table1[idade],"&gt;4",Folha11_Table1[idade],"&lt;10",Folha11_Table1[sexo],"M",Folha11_Table1[referido1],"estagem e aconselhamento para HIV",Folha11_Table1[contrRecebida],"X")</f>
        <v>0</v>
      </c>
      <c r="O32" s="210">
        <f>COUNTIFS(Folha11_Table1[idade],"&gt;9",Folha11_Table1[idade],"&lt;15",Folha11_Table1[sexo],"M",Folha11_Table1[referido1],"estagem e aconselhamento para HIV",Folha11_Table1[contrRecebida],"X")</f>
        <v>0</v>
      </c>
      <c r="P32" s="210">
        <f>COUNTIFS(Folha11_Table1[idade],"&gt;14",Folha11_Table1[idade],"&lt;18",Folha11_Table1[sexo],"M",Folha11_Table1[referido1],"estagem e aconselhamento para HIV",Folha11_Table1[contrRecebida],"X")</f>
        <v>0</v>
      </c>
      <c r="Q32" s="210">
        <f>COUNTIFS(Folha11_Table1[idade],"&gt;17",Folha11_Table1[idade],"&lt;25",Folha11_Table1[sexo],"M",Folha11_Table1[referido1],"estagem e aconselhamento para HIV",Folha11_Table1[contrRecebida],"X")</f>
        <v>0</v>
      </c>
      <c r="R32" s="209">
        <f>COUNTIFS(Folha11_Table1[idade],"&gt;24",Folha11_Table1[sexo],"M",Folha11_Table1[referido1],"estagem e aconselhamento para HIV",Folha11_Table1[contrRecebida],"X")</f>
        <v>0</v>
      </c>
      <c r="S32" s="77">
        <f t="shared" si="7"/>
        <v>0</v>
      </c>
      <c r="T32" s="185">
        <f t="shared" si="8"/>
        <v>0</v>
      </c>
      <c r="U32" s="87">
        <f t="shared" si="9"/>
        <v>0</v>
      </c>
    </row>
    <row r="33" spans="2:21" s="120" customFormat="1" ht="106.9" customHeight="1" x14ac:dyDescent="0.45">
      <c r="B33" s="437"/>
      <c r="C33" s="468" t="s">
        <v>242</v>
      </c>
      <c r="D33" s="469"/>
      <c r="E33" s="209">
        <f>COUNTIFS(Folha11_Table1[idade],"0",Folha11_Table1[sexo],"F",Folha11_Table1[referido1],"Reiniciar o TARV",Folha11_Table1[contrRecebida],"X")</f>
        <v>0</v>
      </c>
      <c r="F33" s="210">
        <f>COUNTIFS(Folha11_Table1[idade],"&gt;0",Folha11_Table1[idade],"&lt;5",Folha11_Table1[sexo],"F",Folha11_Table1[referido1],"Reiniciar o TARV",Folha11_Table1[contrRecebida],"X")</f>
        <v>0</v>
      </c>
      <c r="G33" s="210">
        <f>COUNTIFS(Folha11_Table1[idade],"&gt;4",Folha11_Table1[idade],"&lt;10",Folha11_Table1[sexo],"F",Folha11_Table1[referido1],"Reiniciar o TARV",Folha11_Table1[contrRecebida],"X")</f>
        <v>0</v>
      </c>
      <c r="H33" s="210">
        <f>COUNTIFS(Folha11_Table1[idade],"&gt;9",Folha11_Table1[idade],"&lt;15",Folha11_Table1[sexo],"F",Folha11_Table1[referido1],"Reiniciar o TARV",Folha11_Table1[contrRecebida],"X")</f>
        <v>0</v>
      </c>
      <c r="I33" s="210">
        <f>COUNTIFS(Folha11_Table1[idade],"&gt;14",Folha11_Table1[idade],"&lt;18",Folha11_Table1[sexo],"F",Folha11_Table1[referido1],"Reiniciar o TARV",Folha11_Table1[contrRecebida],"X")</f>
        <v>0</v>
      </c>
      <c r="J33" s="210">
        <f>COUNTIFS(Folha11_Table1[idade],"&gt;17",Folha11_Table1[idade],"&lt;25",Folha11_Table1[sexo],"F",Folha11_Table1[referido1],"Reiniciar o TARV",Folha11_Table1[contrRecebida],"X")</f>
        <v>0</v>
      </c>
      <c r="K33" s="209">
        <f>COUNTIFS(Folha11_Table1[idade],"&gt;24",Folha11_Table1[sexo],"F",Folha11_Table1[referido1],"Reiniciar o TARV",Folha11_Table1[contrRecebida],"X")</f>
        <v>0</v>
      </c>
      <c r="L33" s="209">
        <f>COUNTIFS(Folha11_Table1[idade],"0",Folha11_Table1[sexo],"M",Folha11_Table1[referido1],"Reiniciar o TARV",Folha11_Table1[contrRecebida],"X")</f>
        <v>0</v>
      </c>
      <c r="M33" s="210">
        <f>COUNTIFS(Folha11_Table1[idade],"&gt;0",Folha11_Table1[idade],"&lt;5",Folha11_Table1[sexo],"M",Folha11_Table1[referido1],"Reiniciar o TARV",Folha11_Table1[contrRecebida],"X")</f>
        <v>1</v>
      </c>
      <c r="N33" s="210">
        <f>COUNTIFS(Folha11_Table1[idade],"&gt;4",Folha11_Table1[idade],"&lt;10",Folha11_Table1[sexo],"M",Folha11_Table1[referido1],"Reiniciar o TARV",Folha11_Table1[contrRecebida],"X")</f>
        <v>0</v>
      </c>
      <c r="O33" s="210">
        <f>COUNTIFS(Folha11_Table1[idade],"&gt;9",Folha11_Table1[idade],"&lt;15",Folha11_Table1[sexo],"M",Folha11_Table1[referido1],"Reiniciar o TARV",Folha11_Table1[contrRecebida],"X")</f>
        <v>0</v>
      </c>
      <c r="P33" s="210">
        <f>COUNTIFS(Folha11_Table1[idade],"&gt;14",Folha11_Table1[idade],"&lt;18",Folha11_Table1[sexo],"M",Folha11_Table1[referido1],"Reiniciar o TARV",Folha11_Table1[contrRecebida],"X")</f>
        <v>0</v>
      </c>
      <c r="Q33" s="210">
        <f>COUNTIFS(Folha11_Table1[idade],"&gt;17",Folha11_Table1[idade],"&lt;25",Folha11_Table1[sexo],"M",Folha11_Table1[referido1],"Reiniciar o TARV",Folha11_Table1[contrRecebida],"X")</f>
        <v>0</v>
      </c>
      <c r="R33" s="209">
        <f>COUNTIFS(Folha11_Table1[idade],"&gt;24",Folha11_Table1[sexo],"M",Folha11_Table1[referido1],"Reiniciar o TARV",Folha11_Table1[contrRecebida],"X")</f>
        <v>0</v>
      </c>
      <c r="S33" s="77">
        <f t="shared" si="7"/>
        <v>1</v>
      </c>
      <c r="T33" s="185">
        <f t="shared" si="8"/>
        <v>0</v>
      </c>
      <c r="U33" s="87">
        <f t="shared" si="9"/>
        <v>1</v>
      </c>
    </row>
    <row r="34" spans="2:21" s="120" customFormat="1" ht="106.9" customHeight="1" x14ac:dyDescent="0.45">
      <c r="B34" s="437"/>
      <c r="C34" s="468" t="s">
        <v>243</v>
      </c>
      <c r="D34" s="469"/>
      <c r="E34" s="209">
        <f>COUNTIFS(Folha11_Table1[idade],"0",Folha11_Table1[sexo],"F",Folha11_Table1[referido1],"Intervencoes pos Violacao (VBG)",Folha11_Table1[contrRecebida],"X")</f>
        <v>0</v>
      </c>
      <c r="F34" s="210">
        <f>COUNTIFS(Folha11_Table1[idade],"&gt;0",Folha11_Table1[idade],"&lt;5",Folha11_Table1[sexo],"F",Folha11_Table1[referido1],"Intervencoes pos Violacao (VBG)",Folha11_Table1[contrRecebida],"X")</f>
        <v>0</v>
      </c>
      <c r="G34" s="211">
        <f>COUNTIFS(Folha11_Table1[idade],"&gt;4",Folha11_Table1[idade],"&lt;10",Folha11_Table1[sexo],"F",Folha11_Table1[referido1],"Intervencoes pos Violacao (VBG)",Folha11_Table1[contrRecebida],"X")</f>
        <v>0</v>
      </c>
      <c r="H34" s="212">
        <f>COUNTIFS(Folha11_Table1[idade],"&gt;9",Folha11_Table1[idade],"&lt;15",Folha11_Table1[sexo],"F",Folha11_Table1[referido1],"Intervencoes pos Violacao (VBG)",Folha11_Table1[contrRecebida],"X")</f>
        <v>0</v>
      </c>
      <c r="I34" s="213">
        <f>COUNTIFS(Folha11_Table1[idade],"&gt;14",Folha11_Table1[idade],"&lt;18",Folha11_Table1[sexo],"F",Folha11_Table1[referido1],"Intervencoes pos Violacao (VBG)",Folha11_Table1[contrRecebida],"X")</f>
        <v>0</v>
      </c>
      <c r="J34" s="212">
        <f>COUNTIFS(Folha11_Table1[idade],"&gt;17",Folha11_Table1[idade],"&lt;25",Folha11_Table1[sexo],"F",Folha11_Table1[referido1],"Intervencoes pos Violacao (VBG)",Folha11_Table1[contrRecebida],"X")</f>
        <v>0</v>
      </c>
      <c r="K34" s="214">
        <f>COUNTIFS(Folha11_Table1[idade],"&gt;=25",Folha11_Table1[sexo],"F",Folha11_Table1[referido1],"Intervencoes pos Violacao (VBG)",Folha11_Table1[contrRecebida],"X")</f>
        <v>0</v>
      </c>
      <c r="L34" s="85">
        <f>COUNTIFS(Folha11_Table1[idade],"0",Folha11_Table1[sexo],"M",Folha11_Table1[referido1],"Intervencoes pos Violacao (VBG)",Folha11_Table1[contrRecebida],"X")</f>
        <v>0</v>
      </c>
      <c r="M34" s="215">
        <f>COUNTIFS(Folha11_Table1[idade],"&gt;0",Folha11_Table1[idade],"&lt;5",Folha11_Table1[sexo],"M",Folha11_Table1[referido1],"Intervencoes pos Violacao (VBG)",Folha11_Table1[contrRecebida],"X")</f>
        <v>1</v>
      </c>
      <c r="N34" s="210">
        <f>COUNTIFS(Folha11_Table1[idade],"&gt;4",Folha11_Table1[idade],"&lt;10",Folha11_Table1[sexo],"M",Folha11_Table1[referido1],"ntervencoes pos Violacao (VBG)",Folha11_Table1[contrRecebida],"X")</f>
        <v>0</v>
      </c>
      <c r="O34" s="211">
        <f>COUNTIFS(Folha11_Table1[idade],"&gt;9",Folha11_Table1[idade],"&lt;15",Folha11_Table1[sexo],"M",Folha11_Table1[referido1],"Intervencoes pos Violacao (VBG)",Folha11_Table1[contrRecebida],"X")</f>
        <v>0</v>
      </c>
      <c r="P34" s="212">
        <f>COUNTIFS(Folha11_Table1[idade],"&gt;14",Folha11_Table1[idade],"&lt;18",Folha11_Table1[sexo],"M",Folha11_Table1[referido1],"Intervencoes pos Violacao (VBG)",Folha11_Table1[contrRecebida],"X")</f>
        <v>0</v>
      </c>
      <c r="Q34" s="213">
        <f>COUNTIFS(Folha11_Table1[idade],"&gt;17",Folha11_Table1[idade],"&lt;25",Folha11_Table1[sexo],"M",Folha11_Table1[referido1],"Intervencoes pos Violacao (VBG)",Folha11_Table1[contrRecebida],"X")</f>
        <v>0</v>
      </c>
      <c r="R34" s="216">
        <f>COUNTIFS(Folha11_Table1[idade],"&gt;=25",Folha11_Table1[sexo],"M",Folha11_Table1[referido1]," Intervencoes pos Violacao (VBG)",Folha11_Table1[contrRecebida],"X")</f>
        <v>0</v>
      </c>
      <c r="S34" s="77">
        <f t="shared" si="7"/>
        <v>1</v>
      </c>
      <c r="T34" s="185">
        <f t="shared" si="8"/>
        <v>0</v>
      </c>
      <c r="U34" s="87">
        <f t="shared" si="9"/>
        <v>1</v>
      </c>
    </row>
    <row r="35" spans="2:21" s="120" customFormat="1" ht="106.9" customHeight="1" x14ac:dyDescent="0.45">
      <c r="B35" s="437"/>
      <c r="C35" s="468" t="s">
        <v>244</v>
      </c>
      <c r="D35" s="469"/>
      <c r="E35" s="209">
        <f>COUNTIFS(Folha11_Table1[idade],"0",Folha11_Table1[sexo],"F",Folha11_Table1[referido1],"Planeamento Familiar (PF)",Folha11_Table1[contrRecebida],"X")</f>
        <v>0</v>
      </c>
      <c r="F35" s="210">
        <f>COUNTIFS(Folha11_Table1[idade],"&gt;0",Folha11_Table1[idade],"&lt;5",Folha11_Table1[sexo],"F",Folha11_Table1[referido1],"Planeamento Familiar (PF)",Folha11_Table1[contrRecebida],"X")</f>
        <v>0</v>
      </c>
      <c r="G35" s="211">
        <f>COUNTIFS(Folha11_Table1[idade],"&gt;4",Folha11_Table1[idade],"&lt;10",Folha11_Table1[sexo],"F",Folha11_Table1[referido1],"Planeamento Familiar (PF)",Folha11_Table1[contrRecebida],"X")</f>
        <v>0</v>
      </c>
      <c r="H35" s="212">
        <f>COUNTIFS(Folha11_Table1[idade],"&gt;9",Folha11_Table1[idade],"&lt;15",Folha11_Table1[sexo],"F",Folha11_Table1[referido1],"Planeamento Familiar (PF)",Folha11_Table1[contrRecebida],"X")</f>
        <v>0</v>
      </c>
      <c r="I35" s="213">
        <f>COUNTIFS(Folha11_Table1[idade],"&gt;14",Folha11_Table1[idade],"&lt;18",Folha11_Table1[sexo],"F",Folha11_Table1[referido1],"Planeamento Familiar (PF)",Folha11_Table1[contrRecebida],"X")</f>
        <v>0</v>
      </c>
      <c r="J35" s="212">
        <f>COUNTIFS(Folha11_Table1[idade],"&gt;17",Folha11_Table1[idade],"&lt;25",Folha11_Table1[sexo],"F",Folha11_Table1[referido1],"Planeamento Familiar (PF)",Folha11_Table1[contrRecebida],"X")</f>
        <v>0</v>
      </c>
      <c r="K35" s="214">
        <f>COUNTIFS(Folha11_Table1[idade],"&gt;=25",Folha11_Table1[sexo],"F",Folha11_Table1[referido1],"Planeamento Familiar (PF)",Folha11_Table1[contrRecebida],"X")</f>
        <v>0</v>
      </c>
      <c r="L35" s="209">
        <f>COUNTIFS(Folha11_Table1[idade],"0",Folha11_Table1[sexo],"M",Folha11_Table1[referido1],"Planeamento Familiar (PF)",Folha11_Table1[contrRecebida],"X")</f>
        <v>0</v>
      </c>
      <c r="M35" s="210">
        <f>COUNTIFS(Folha11_Table1[idade],"&gt;0",Folha11_Table1[idade],"&lt;5",Folha11_Table1[sexo],"M",Folha11_Table1[referido1],"Planeamento Familiar (PF)",Folha11_Table1[contrRecebida],"X")</f>
        <v>1</v>
      </c>
      <c r="N35" s="211">
        <f>COUNTIFS(Folha11_Table1[idade],"&gt;4",Folha11_Table1[idade],"&lt;10",Folha11_Table1[sexo],"M",Folha11_Table1[referido1],"Planeamento Familiar (PF)",Folha11_Table1[contrRecebida],"X")</f>
        <v>0</v>
      </c>
      <c r="O35" s="212">
        <f>COUNTIFS(Folha11_Table1[idade],"&gt;9",Folha11_Table1[idade],"&lt;15",Folha11_Table1[sexo],"M",Folha11_Table1[referido1],"Planeamento Familiar (PF)",Folha11_Table1[contrRecebida],"X")</f>
        <v>0</v>
      </c>
      <c r="P35" s="213">
        <f>COUNTIFS(Folha11_Table1[idade],"&gt;14",Folha11_Table1[idade],"&lt;18",Folha11_Table1[sexo],"M",Folha11_Table1[referido1],"Planeamento Familiar (PF)",Folha11_Table1[contrRecebida],"X")</f>
        <v>0</v>
      </c>
      <c r="Q35" s="212">
        <f>COUNTIFS(Folha11_Table1[idade],"&gt;17",Folha11_Table1[idade],"&lt;25",Folha11_Table1[sexo],"M",Folha11_Table1[referido1],"Planeamento Familiar (PF)",Folha11_Table1[contrRecebida],"X")</f>
        <v>0</v>
      </c>
      <c r="R35" s="214">
        <f>COUNTIFS(Folha11_Table1[idade],"&gt;=25",Folha11_Table1[sexo],"M",Folha11_Table1[referido1],"Planeamento Familiar (PF)",Folha11_Table1[contrRecebida],"X")</f>
        <v>0</v>
      </c>
      <c r="S35" s="77">
        <f t="shared" si="7"/>
        <v>1</v>
      </c>
      <c r="T35" s="185">
        <f t="shared" si="8"/>
        <v>0</v>
      </c>
      <c r="U35" s="87">
        <f t="shared" si="9"/>
        <v>1</v>
      </c>
    </row>
    <row r="36" spans="2:21" s="120" customFormat="1" ht="106.9" customHeight="1" x14ac:dyDescent="0.45">
      <c r="B36" s="437"/>
      <c r="C36" s="468" t="s">
        <v>245</v>
      </c>
      <c r="D36" s="469"/>
      <c r="E36" s="209">
        <f>COUNTIFS(Folha11_Table1[idade],"0",Folha11_Table1[sexo],"F",Folha11_Table1[referido1],"Integracao escolar e Vocacional",Folha11_Table1[contrRecebida],"X")</f>
        <v>0</v>
      </c>
      <c r="F36" s="210">
        <f>COUNTIFS(Folha11_Table1[idade],"&gt;0",Folha11_Table1[idade],"&lt;5",Folha11_Table1[sexo],"F",Folha11_Table1[referido1],"Integracao escolar e Vocacional",Folha11_Table1[contrRecebida],"X")</f>
        <v>0</v>
      </c>
      <c r="G36" s="211">
        <f>COUNTIFS(Folha11_Table1[idade],"&gt;4",Folha11_Table1[idade],"&lt;10",Folha11_Table1[sexo],"F",Folha11_Table1[referido1],"Integracao escolar e Vocacional",Folha11_Table1[contrRecebida],"X")</f>
        <v>0</v>
      </c>
      <c r="H36" s="212">
        <f>COUNTIFS(Folha11_Table1[idade],"&gt;9",Folha11_Table1[idade],"&lt;15",Folha11_Table1[sexo],"F",Folha11_Table1[referido1],"Integracao escolar e Vocacional",Folha11_Table1[contrRecebida],"X")</f>
        <v>0</v>
      </c>
      <c r="I36" s="213">
        <f>COUNTIFS(Folha11_Table1[idade],"&gt;14",Folha11_Table1[idade],"&lt;18",Folha11_Table1[sexo],"F",Folha11_Table1[referido1],"Integracao escolar e Vocacional",Folha11_Table1[contrRecebida],"X")</f>
        <v>0</v>
      </c>
      <c r="J36" s="212">
        <f>COUNTIFS(Folha11_Table1[idade],"&gt;17",Folha11_Table1[idade],"&lt;25",Folha11_Table1[sexo],"F",Folha11_Table1[referido1],"Integracao escolar e Vocacional",Folha11_Table1[contrRecebida],"X")</f>
        <v>0</v>
      </c>
      <c r="K36" s="214">
        <f>COUNTIFS(Folha11_Table1[idade],"&gt;=25",Folha11_Table1[sexo],"F",Folha11_Table1[referido1],"Integracao escolar e Vocacional",Folha11_Table1[contrRecebida],"X")</f>
        <v>0</v>
      </c>
      <c r="L36" s="85">
        <f>COUNTIFS(Folha11_Table1[idade],"0",Folha11_Table1[sexo],"M",Folha11_Table1[referido1],"Integracao escolar e Vocacional",Folha11_Table1[contrRecebida],"X")</f>
        <v>0</v>
      </c>
      <c r="M36" s="215">
        <f>COUNTIFS(Folha11_Table1[idade],"&gt;0",Folha11_Table1[idade],"&lt;5",Folha11_Table1[sexo],"M",Folha11_Table1[referido1],"Integracao escolar e Vocacional",Folha11_Table1[contrRecebida],"X")</f>
        <v>0</v>
      </c>
      <c r="N36" s="210">
        <f>COUNTIFS(Folha11_Table1[idade],"&gt;4",Folha11_Table1[idade],"&lt;10",Folha11_Table1[sexo],"M",Folha11_Table1[referido1],"Integracao escolar e Vocacional",Folha11_Table1[contrRecebida],"X")</f>
        <v>0</v>
      </c>
      <c r="O36" s="211">
        <f>COUNTIFS(Folha11_Table1[idade],"&gt;9",Folha11_Table1[idade],"&lt;15",Folha11_Table1[sexo],"M",Folha11_Table1[referido1],"Integracao escolar e Vocacional",Folha11_Table1[contrRecebida],"X")</f>
        <v>0</v>
      </c>
      <c r="P36" s="212">
        <f>COUNTIFS(Folha11_Table1[idade],"&gt;14",Folha11_Table1[idade],"&lt;18",Folha11_Table1[sexo],"M",Folha11_Table1[referido1],"Integracao escolar e Vocacional",Folha11_Table1[contrRecebida],"X")</f>
        <v>0</v>
      </c>
      <c r="Q36" s="213">
        <f>COUNTIFS(Folha11_Table1[idade],"&gt;17",Folha11_Table1[idade],"&lt;25",Folha11_Table1[sexo],"M",Folha11_Table1[referido1],"Integracao escolar e Vocacional",Folha11_Table1[contrRecebida],"X")</f>
        <v>0</v>
      </c>
      <c r="R36" s="216">
        <f>COUNTIFS(Folha11_Table1[idade],"&gt;=25",Folha11_Table1[sexo],"M",Folha11_Table1[referido1],"Integracao escolar e Vocacional",Folha11_Table1[contrRecebida],"X")</f>
        <v>0</v>
      </c>
      <c r="S36" s="77">
        <f t="shared" si="7"/>
        <v>0</v>
      </c>
      <c r="T36" s="185">
        <f t="shared" si="8"/>
        <v>0</v>
      </c>
      <c r="U36" s="87">
        <f t="shared" si="9"/>
        <v>0</v>
      </c>
    </row>
    <row r="37" spans="2:21" s="120" customFormat="1" ht="106.9" customHeight="1" thickBot="1" x14ac:dyDescent="0.5">
      <c r="B37" s="438"/>
      <c r="C37" s="470" t="s">
        <v>246</v>
      </c>
      <c r="D37" s="471"/>
      <c r="E37" s="209">
        <f>COUNTIFS(Folha11_Table1[idade],"0",Folha11_Table1[sexo],"F",Folha11_Table1[referido1],"Apoio Legal",Folha11_Table1[contrRecebida],"X")</f>
        <v>0</v>
      </c>
      <c r="F37" s="210">
        <f>COUNTIFS(Folha11_Table1[idade],"&gt;0",Folha11_Table1[idade],"&lt;5",Folha11_Table1[sexo],"F",Folha11_Table1[referido1],"Apoio Legal",Folha11_Table1[contrRecebida],"X")</f>
        <v>0</v>
      </c>
      <c r="G37" s="211">
        <f>COUNTIFS(Folha11_Table1[idade],"&gt;4",Folha11_Table1[idade],"&lt;10",Folha11_Table1[sexo],"F",Folha11_Table1[referido1],"Apoio Legal",Folha11_Table1[contrRecebida],"X")</f>
        <v>0</v>
      </c>
      <c r="H37" s="212">
        <f>COUNTIFS(Folha11_Table1[idade],"&gt;9",Folha11_Table1[idade],"&lt;15",Folha11_Table1[sexo],"F",Folha11_Table1[referido1],"Apoio Legal",Folha11_Table1[contrRecebida],"X")</f>
        <v>0</v>
      </c>
      <c r="I37" s="213">
        <f>COUNTIFS(Folha11_Table1[idade],"&gt;14",Folha11_Table1[idade],"&lt;18",Folha11_Table1[sexo],"F",Folha11_Table1[referido1],"Apoio Legal",Folha11_Table1[contrRecebida],"X")</f>
        <v>0</v>
      </c>
      <c r="J37" s="212">
        <f>COUNTIFS(Folha11_Table1[idade],"&gt;17",Folha11_Table1[idade],"&lt;25",Folha11_Table1[sexo],"F",Folha11_Table1[referido1],"Apoio Legal",Folha11_Table1[contrRecebida],"X")</f>
        <v>0</v>
      </c>
      <c r="K37" s="214">
        <f>COUNTIFS(Folha11_Table1[idade],"&gt;=25",Folha11_Table1[sexo],"F",Folha11_Table1[referido1],"Apoio Legal",Folha11_Table1[contrRecebida],"X")</f>
        <v>0</v>
      </c>
      <c r="L37" s="85">
        <f>COUNTIFS(Folha11_Table1[idade],"0",Folha11_Table1[sexo],"M",Folha11_Table1[referido1],"Apoio Legal",Folha11_Table1[contrRecebida],"X")</f>
        <v>0</v>
      </c>
      <c r="M37" s="215">
        <f>COUNTIFS(Folha11_Table1[idade],"&gt;0",Folha11_Table1[idade],"&lt;5",Folha11_Table1[sexo],"M",Folha11_Table1[referido1],"Apoio Legal",Folha11_Table1[contrRecebida],"X")</f>
        <v>0</v>
      </c>
      <c r="N37" s="210">
        <f>COUNTIFS(Folha11_Table1[idade],"&gt;4",Folha11_Table1[idade],"&lt;10",Folha11_Table1[sexo],"M",Folha11_Table1[referido1],"Apoio Legal",Folha11_Table1[contrRecebida],"X")</f>
        <v>0</v>
      </c>
      <c r="O37" s="211">
        <f>COUNTIFS(Folha11_Table1[idade],"&gt;9",Folha11_Table1[idade],"&lt;15",Folha11_Table1[sexo],"M",Folha11_Table1[referido1],"Apoio Legal",Folha11_Table1[contrRecebida],"X")</f>
        <v>0</v>
      </c>
      <c r="P37" s="212">
        <f>COUNTIFS(Folha11_Table1[idade],"&gt;14",Folha11_Table1[idade],"&lt;18",Folha11_Table1[sexo],"M",Folha11_Table1[referido1],"Apoio Legal",Folha11_Table1[contrRecebida],"X")</f>
        <v>0</v>
      </c>
      <c r="Q37" s="213">
        <f>COUNTIFS(Folha11_Table1[idade],"&gt;17",Folha11_Table1[idade],"&lt;25",Folha11_Table1[sexo],"M",Folha11_Table1[referido1],"Apoio Legal",Folha11_Table1[contrRecebida],"X")</f>
        <v>0</v>
      </c>
      <c r="R37" s="216">
        <f>COUNTIFS(Folha11_Table1[idade],"&gt;=25",Folha11_Table1[sexo],"M",Folha11_Table1[referido1],"Apoio Legal",Folha11_Table1[contrRecebida],"X")</f>
        <v>0</v>
      </c>
      <c r="S37" s="77">
        <f t="shared" si="7"/>
        <v>0</v>
      </c>
      <c r="T37" s="185">
        <f t="shared" si="8"/>
        <v>0</v>
      </c>
      <c r="U37" s="87">
        <f t="shared" si="9"/>
        <v>0</v>
      </c>
    </row>
    <row r="38" spans="2:21" s="17" customFormat="1" ht="65.25" customHeight="1" thickTop="1" x14ac:dyDescent="0.65">
      <c r="B38" s="413" t="s">
        <v>201</v>
      </c>
      <c r="C38" s="449" t="s">
        <v>202</v>
      </c>
      <c r="D38" s="415"/>
      <c r="E38" s="217"/>
      <c r="F38" s="218"/>
      <c r="G38" s="218"/>
      <c r="H38" s="218" t="s">
        <v>203</v>
      </c>
      <c r="I38" s="218"/>
      <c r="J38" s="218"/>
      <c r="K38" s="218"/>
      <c r="L38" s="219"/>
      <c r="M38" s="220"/>
      <c r="N38" s="220"/>
      <c r="O38" s="221" t="s">
        <v>204</v>
      </c>
      <c r="P38" s="220"/>
      <c r="Q38" s="220"/>
      <c r="R38" s="222"/>
      <c r="S38" s="467" t="s">
        <v>205</v>
      </c>
      <c r="T38" s="419"/>
      <c r="U38" s="420" t="s">
        <v>206</v>
      </c>
    </row>
    <row r="39" spans="2:21" s="17" customFormat="1" ht="47.25" customHeight="1" thickBot="1" x14ac:dyDescent="0.7">
      <c r="B39" s="416"/>
      <c r="C39" s="434"/>
      <c r="D39" s="417"/>
      <c r="E39" s="165" t="s">
        <v>207</v>
      </c>
      <c r="F39" s="166" t="s">
        <v>0</v>
      </c>
      <c r="G39" s="167" t="s">
        <v>208</v>
      </c>
      <c r="H39" s="168" t="s">
        <v>209</v>
      </c>
      <c r="I39" s="169" t="s">
        <v>210</v>
      </c>
      <c r="J39" s="166" t="s">
        <v>211</v>
      </c>
      <c r="K39" s="170" t="s">
        <v>212</v>
      </c>
      <c r="L39" s="171" t="s">
        <v>207</v>
      </c>
      <c r="M39" s="172" t="s">
        <v>0</v>
      </c>
      <c r="N39" s="173" t="s">
        <v>208</v>
      </c>
      <c r="O39" s="172" t="s">
        <v>209</v>
      </c>
      <c r="P39" s="173" t="s">
        <v>210</v>
      </c>
      <c r="Q39" s="172" t="s">
        <v>211</v>
      </c>
      <c r="R39" s="174" t="s">
        <v>212</v>
      </c>
      <c r="S39" s="175" t="s">
        <v>213</v>
      </c>
      <c r="T39" s="223" t="s">
        <v>214</v>
      </c>
      <c r="U39" s="421"/>
    </row>
    <row r="40" spans="2:21" s="44" customFormat="1" ht="51" customHeight="1" thickTop="1" thickBot="1" x14ac:dyDescent="0.5">
      <c r="B40" s="456" t="s">
        <v>247</v>
      </c>
      <c r="C40" s="224"/>
      <c r="D40" s="225"/>
      <c r="E40" s="226"/>
      <c r="F40" s="226"/>
      <c r="G40" s="226" t="s">
        <v>248</v>
      </c>
      <c r="H40" s="226"/>
      <c r="I40" s="226"/>
      <c r="J40" s="226"/>
      <c r="K40" s="226"/>
      <c r="L40" s="227"/>
      <c r="M40" s="228"/>
      <c r="N40" s="226"/>
      <c r="O40" s="226"/>
      <c r="P40" s="226"/>
      <c r="Q40" s="226"/>
      <c r="R40" s="226"/>
      <c r="S40" s="229"/>
      <c r="T40" s="229"/>
      <c r="U40" s="230"/>
    </row>
    <row r="41" spans="2:21" s="44" customFormat="1" ht="81.599999999999994" customHeight="1" thickTop="1" x14ac:dyDescent="0.45">
      <c r="B41" s="457"/>
      <c r="C41" s="459" t="s">
        <v>249</v>
      </c>
      <c r="D41" s="460"/>
      <c r="E41" s="231">
        <f>COUNTIFS(Folha8_Table1[idade],"Menor que 1",Folha8_Table1[sexo],"F",Folha8_Table1[actividade],"COVs (3-5anos) inscritos nos centros de DPI &amp; que participa nas actividades de pre escola")</f>
        <v>0</v>
      </c>
      <c r="F41" s="232">
        <f>COUNTIFS(Folha8_Table1[idade],"1-4",Folha8_Table1[sexo],"F",Folha8_Table1[actividade],"COVs (3-5anos) inscritos nos centros de DPI &amp; que participa nas actividades de pre escola")</f>
        <v>0</v>
      </c>
      <c r="G41" s="233">
        <f>COUNTIFS(Folha8_Table1[idade],"5-9",Folha8_Table1[sexo],"F",Folha8_Table1[actividade],"COVs (3-5anos) inscritos nos centros de DPI &amp; que participa nas actividades de pre escola")</f>
        <v>0</v>
      </c>
      <c r="H41" s="234">
        <f>COUNTIFS(Folha8_Table1[idade],"10-14",Folha8_Table1[sexo],"F",Folha8_Table1[actividade],"COVs (3-5anos) inscritos nos centros de DPI &amp; que participa nas actividades de pre escola")</f>
        <v>0</v>
      </c>
      <c r="I41" s="231">
        <f>COUNTIFS(Folha8_Table1[idade],"15-17",Folha8_Table1[sexo],"F",Folha8_Table1[actividade],"COVs (3-5anos) inscritos nos centros de DPI &amp; que participa nas actividades de pre escola")</f>
        <v>0</v>
      </c>
      <c r="J41" s="235">
        <f>COUNTIFS(Folha8_Table1[idade],"18-24",Folha8_Table1[sexo],"F",Folha8_Table1[actividade],"COVs (3-5anos) inscritos nos centros de DPI &amp; que participa nas actividades de pre escola")</f>
        <v>0</v>
      </c>
      <c r="K41" s="236">
        <f>COUNTIFS(Folha8_Table1[idade],"Maior que 25",Folha8_Table1[sexo],"F",Folha8_Table1[actividade],"COVs (3-5anos) inscritos nos centros de DPI &amp; que participa nas actividades de pre escola")</f>
        <v>0</v>
      </c>
      <c r="L41" s="237">
        <f>COUNTIFS(Folha8_Table1[idade],"Menor que 1",Folha8_Table1[sexo],"M",Folha8_Table1[actividade],"COVs (3-5anos) inscritos nos centros de DPI &amp; que participa nas actividades de pre escola")</f>
        <v>0</v>
      </c>
      <c r="M41" s="238">
        <f>COUNTIFS(Folha8_Table1[idade],"1-4",Folha8_Table1[sexo],"M",Folha8_Table1[actividade],"COVs (3-5anos) inscritos nos centros de DPI &amp; que participa nas actividades de pre escola")</f>
        <v>0</v>
      </c>
      <c r="N41" s="239">
        <f>COUNTIFS(Folha8_Table1[idade],"5-9",Folha8_Table1[sexo],"M",Folha8_Table1[actividade],"COVs (3-5anos) inscritos nos centros de DPI &amp; que participa nas actividades de pre escola")</f>
        <v>0</v>
      </c>
      <c r="O41" s="236">
        <f>COUNTIFS(Folha8_Table1[idade],"10-14",Folha8_Table1[sexo],"M",Folha8_Table1[actividade],"COVs (3-5anos) inscritos nos centros de DPI &amp; que participa nas actividades de pre escola")</f>
        <v>0</v>
      </c>
      <c r="P41" s="240">
        <f>COUNTIFS(Folha8_Table1[idade],"15-17",Folha8_Table1[sexo],"M",Folha8_Table1[actividade],"COVs (3-5anos) inscritos nos centros de DPI &amp; que participa nas actividades de pre escola")</f>
        <v>0</v>
      </c>
      <c r="Q41" s="241">
        <f>COUNTIFS(Folha8_Table1[idade],"18-24",Folha8_Table1[sexo],"M",Folha8_Table1[actividade],"COVs (3-5anos) inscritos nos centros de DPI &amp; que participa nas actividades de pre escola")</f>
        <v>0</v>
      </c>
      <c r="R41" s="235">
        <f>COUNTIFS(Folha8_Table1[idade],"Maior que 25",Folha8_Table1[sexo],"M",Folha8_Table1[actividade],"COVs (3-5anos) inscritos nos centros de DPI &amp; que participa nas actividades de pre escola")</f>
        <v>0</v>
      </c>
      <c r="S41" s="139">
        <f>SUM(L41:R41)</f>
        <v>0</v>
      </c>
      <c r="T41" s="185">
        <f>SUM(E41:K41)</f>
        <v>0</v>
      </c>
      <c r="U41" s="68">
        <f>SUM(S41:T41)</f>
        <v>0</v>
      </c>
    </row>
    <row r="42" spans="2:21" s="44" customFormat="1" ht="81.599999999999994" customHeight="1" x14ac:dyDescent="0.45">
      <c r="B42" s="457"/>
      <c r="C42" s="461" t="s">
        <v>250</v>
      </c>
      <c r="D42" s="462"/>
      <c r="E42" s="242">
        <f>COUNTIFS(Folha8_Table1[idade],"Menor que 1",Folha8_Table1[sexo],"F",Folha8_Table1[actividade],"Benficiarios que receberam subcidio escolar nas escolas primaria")</f>
        <v>0</v>
      </c>
      <c r="F42" s="243">
        <f>COUNTIFS(Folha8_Table1[idade],"1-4",Folha8_Table1[sexo],"F",Folha8_Table1[actividade],"Benficiarios que receberam subcidio escolar nas escolas primaria")</f>
        <v>0</v>
      </c>
      <c r="G42" s="84">
        <f>COUNTIFS(Folha8_Table1[idade],"5-9",Folha8_Table1[sexo],"F",Folha8_Table1[actividade],"Benficiarios que receberam subcidio escolar nas escolas primaria")</f>
        <v>0</v>
      </c>
      <c r="H42" s="199">
        <f>COUNTIFS(Folha8_Table1[idade],"10-14",Folha8_Table1[sexo],"F",Folha8_Table1[actividade],"Benficiarios que receberam subcidio escolar nas escolas primaria")</f>
        <v>0</v>
      </c>
      <c r="I42" s="244">
        <f>COUNTIFS(Folha8_Table1[idade],"15-17",Folha8_Table1[sexo],"F",Folha8_Table1[actividade],"Benficiarios que receberam subcidio escolar nas escolas primaria")</f>
        <v>0</v>
      </c>
      <c r="J42" s="245">
        <f>COUNTIFS(Folha8_Table1[idade],"18-24",Folha8_Table1[sexo],"F",Folha8_Table1[actividade],"Benficiarios que receberam subcidio escolar nas escolas primaria")</f>
        <v>0</v>
      </c>
      <c r="K42" s="246">
        <f>COUNTIFS(Folha8_Table1[idade],"Maior que 25",Folha8_Table1[sexo],"F",Folha8_Table1[actividade],"Benficiarios que receberam subcidio escolar nas escolas primaria")</f>
        <v>0</v>
      </c>
      <c r="L42" s="247">
        <f>COUNTIFS(Folha8_Table1[idade],"Menor que 1",Folha8_Table1[sexo],"M",Folha8_Table1[actividade],"Benficiarios que receberam subcidio escolar nas escolas primaria")</f>
        <v>0</v>
      </c>
      <c r="M42" s="242">
        <f>COUNTIFS(Folha8_Table1[idade],"1-4",Folha8_Table1[sexo],"M",Folha8_Table1[actividade],"Benficiarios que receberam subcidio escolar nas escolas primaria")</f>
        <v>0</v>
      </c>
      <c r="N42" s="138">
        <f>COUNTIFS(Folha8_Table1[idade],"5-9",Folha8_Table1[sexo],"M",Folha8_Table1[actividade],"Benficiarios que receberam subcidio escolar nas escolas primaria")</f>
        <v>0</v>
      </c>
      <c r="O42" s="246">
        <f>COUNTIFS(Folha8_Table1[idade],"10-14",Folha8_Table1[sexo],"M",Folha8_Table1[actividade],"Benficiarios que receberam subcidio escolar nas escolas primaria")</f>
        <v>0</v>
      </c>
      <c r="P42" s="248">
        <f>COUNTIFS(Folha8_Table1[idade],"15-17",Folha8_Table1[sexo],"M",Folha8_Table1[actividade],"Benficiarios que receberam subcidio escolar nas escolas primaria")</f>
        <v>0</v>
      </c>
      <c r="Q42" s="249">
        <f>COUNTIFS(Folha8_Table1[idade],"18-24",Folha8_Table1[sexo],"M",Folha8_Table1[actividade],"Benficiarios que receberam subcidio escolar nas escolas primaria")</f>
        <v>0</v>
      </c>
      <c r="R42" s="250">
        <f>COUNTIFS(Folha8_Table1[idade],"Maior que 25",Folha8_Table1[sexo],"M",Folha8_Table1[actividade],"Benficiarios que receberam subcidio escolar nas escolas primaria")</f>
        <v>0</v>
      </c>
      <c r="S42" s="139">
        <f>SUM(L42:R42)</f>
        <v>0</v>
      </c>
      <c r="T42" s="185">
        <f>SUM(E42:K42)</f>
        <v>0</v>
      </c>
      <c r="U42" s="87">
        <f>SUM(S42:T42)</f>
        <v>0</v>
      </c>
    </row>
    <row r="43" spans="2:21" s="44" customFormat="1" ht="81.599999999999994" customHeight="1" x14ac:dyDescent="0.45">
      <c r="B43" s="457"/>
      <c r="C43" s="461" t="s">
        <v>251</v>
      </c>
      <c r="D43" s="462"/>
      <c r="E43" s="242">
        <f>COUNTIFS(Folha8_Table1[idade],"Menor que 1",Folha8_Table1[sexo],"F",Folha8_Table1[actividade],"Benficiarios que receberam subcidio escolar nas escolas Secundaria")</f>
        <v>0</v>
      </c>
      <c r="F43" s="243">
        <f>COUNTIFS(Folha8_Table1[idade],"1-4",Folha8_Table1[sexo],"F",Folha8_Table1[actividade],"Benficiarios que receberam subcidio escolar nas escolas Secundaria")</f>
        <v>0</v>
      </c>
      <c r="G43" s="186">
        <f>COUNTIFS(Folha8_Table1[idade],"5-9",Folha8_Table1[sexo],"F",Folha8_Table1[actividade],"Benficiarios que receberam subcidio escolar nas escolas Secundaria")</f>
        <v>0</v>
      </c>
      <c r="H43" s="251">
        <f>COUNTIFS(Folha8_Table1[idade],"10-14",Folha8_Table1[sexo],"F",Folha8_Table1[actividade],"Benficiarios que receberam subcidio escolar nas escolas Secundaria")</f>
        <v>0</v>
      </c>
      <c r="I43" s="252">
        <f>COUNTIFS(Folha8_Table1[idade],"15-17",Folha8_Table1[sexo],"F",Folha8_Table1[actividade],"Benficiarios que receberam subcidio escolar nas escolas Secundaria")</f>
        <v>0</v>
      </c>
      <c r="J43" s="253">
        <f>COUNTIFS(Folha8_Table1[idade],"18-24",Folha8_Table1[sexo],"F",Folha8_Table1[actividade],"Benficiarios que receberam subcidio escolar nas escolas Secundaria")</f>
        <v>0</v>
      </c>
      <c r="K43" s="254">
        <f>COUNTIFS(Folha8_Table1[idade],"Maior que 25",Folha8_Table1[sexo],"F",Folha8_Table1[actividade],"Benficiarios que receberam subcidio escolar nas escolas Secundaria")</f>
        <v>0</v>
      </c>
      <c r="L43" s="255">
        <f>COUNTIFS(Folha8_Table1[idade],"Menor que 1",Folha8_Table1[sexo],"M",Folha8_Table1[actividade],"Benficiarios que receberam subcidio escolar nas escolas Secundaria")</f>
        <v>0</v>
      </c>
      <c r="M43" s="256">
        <f>COUNTIFS(Folha8_Table1[idade],"1-4",Folha8_Table1[sexo],"M",Folha8_Table1[actividade],"Benficiarios que receberam subcidio escolar nas escolas Secundaria")</f>
        <v>0</v>
      </c>
      <c r="N43" s="257">
        <f>COUNTIFS(Folha8_Table1[idade],"5-9",Folha8_Table1[sexo],"M",Folha8_Table1[actividade],"Benficiarios que receberam subcidio escolar nas escolas Secundaria")</f>
        <v>0</v>
      </c>
      <c r="O43" s="254">
        <f>COUNTIFS(Folha8_Table1[idade],"10-14",Folha8_Table1[sexo],"M",Folha8_Table1[actividade],"Benficiarios que receberam subcidio escolar nas escolas Secundaria")</f>
        <v>0</v>
      </c>
      <c r="P43" s="258">
        <f>COUNTIFS(Folha8_Table1[idade],"15-17",Folha8_Table1[sexo],"M",Folha8_Table1[actividade],"Benficiarios que receberam subcidio escolar nas escolas Secundaria")</f>
        <v>2</v>
      </c>
      <c r="Q43" s="259">
        <f>COUNTIFS(Folha8_Table1[idade],"18-24",Folha8_Table1[sexo],"M",Folha8_Table1[actividade],"Benficiarios que receberam subcidio escolar nas escolas Secundaria")</f>
        <v>0</v>
      </c>
      <c r="R43" s="253">
        <f>COUNTIFS(Folha8_Table1[idade],"Maior que 25",Folha8_Table1[sexo],"M",Folha8_Table1[actividade],"Benficiarios que receberam subcidio escolar nas escolas Secundaria")</f>
        <v>0</v>
      </c>
      <c r="S43" s="139">
        <f>SUM(L43:R43)</f>
        <v>2</v>
      </c>
      <c r="T43" s="185">
        <f>SUM(E43:K43)</f>
        <v>0</v>
      </c>
      <c r="U43" s="87">
        <f>SUM(S43:T43)</f>
        <v>2</v>
      </c>
    </row>
    <row r="44" spans="2:21" s="44" customFormat="1" ht="81.599999999999994" customHeight="1" x14ac:dyDescent="0.45">
      <c r="B44" s="457"/>
      <c r="C44" s="463" t="s">
        <v>252</v>
      </c>
      <c r="D44" s="464"/>
      <c r="E44" s="242">
        <f>COUNTIFS(Folha8_Table1[idade],"Menor que 1",Folha8_Table1[sexo],"F",Folha8_Table1[actividade],"Membros dos conselhos das escolas e representantes dos pais treinados para fazer o coorte de COVs/RAMJ")</f>
        <v>0</v>
      </c>
      <c r="F44" s="260">
        <f>COUNTIFS(Folha8_Table1[idade],"1-4",Folha8_Table1[sexo],"F",Folha8_Table1[actividade],"Membros dos conselhos das escolas e representantes dos pais treinados para fazer o coorte de COVs/RAMJ")</f>
        <v>0</v>
      </c>
      <c r="G44" s="81">
        <f>COUNTIFS(Folha8_Table1[idade],"5-9",Folha8_Table1[sexo],"F",Folha8_Table1[actividade],"Membros dos conselhos das escolas e representantes dos pais treinados para fazer o coorte de COVs/RAMJ")</f>
        <v>0</v>
      </c>
      <c r="H44" s="261">
        <f>COUNTIFS(Folha8_Table1[idade],"10-14",Folha8_Table1[sexo],"F",Folha8_Table1[actividade],"Membros dos conselhos das escolas e representantes dos pais treinados para fazer o coorte de COVs/RAMJ")</f>
        <v>0</v>
      </c>
      <c r="I44" s="262">
        <f>COUNTIFS(Folha8_Table1[idade],"15-17",Folha8_Table1[sexo],"F",Folha8_Table1[actividade],"Membros dos conselhos das escolas e representantes dos pais treinados para fazer o coorte de COVs/RAMJ")</f>
        <v>0</v>
      </c>
      <c r="J44" s="82">
        <f>COUNTIFS(Folha8_Table1[idade],"18-24",Folha8_Table1[sexo],"F",Folha8_Table1[actividade],"Membros dos conselhos das escolas e representantes dos pais treinados para fazer o coorte de COVs/RAMJ")</f>
        <v>0</v>
      </c>
      <c r="K44" s="261">
        <f>COUNTIFS(Folha8_Table1[idade],"Maior que 25",Folha8_Table1[sexo],"F",Folha8_Table1[actividade],"Membros dos conselhos das escolas e representantes dos pais treinados para fazer o coorte de COVs/RAMJ")</f>
        <v>0</v>
      </c>
      <c r="L44" s="247">
        <f>COUNTIFS(Folha8_Table1[idade],"Menor que 1",Folha8_Table1[sexo],"M",Folha8_Table1[actividade],"Membros dos conselhos das escolas e representantes dos pais treinados para fazer o coorte de COVs/RAMJ")</f>
        <v>0</v>
      </c>
      <c r="M44" s="242">
        <f>COUNTIFS(Folha8_Table1[idade],"1-4",Folha8_Table1[sexo],"M",Folha8_Table1[actividade],"Membros dos conselhos das escolas e representantes dos pais treinados para fazer o coorte de COVs/RAMJ")</f>
        <v>0</v>
      </c>
      <c r="N44" s="82">
        <f>COUNTIFS(Folha8_Table1[idade],"5-9",Folha8_Table1[sexo],"M",Folha8_Table1[actividade],"Membros dos conselhos das escolas e representantes dos pais treinados para fazer o coorte de COVs/RAMJ")</f>
        <v>0</v>
      </c>
      <c r="O44" s="81">
        <f>COUNTIFS(Folha8_Table1[idade],"10-14",Folha8_Table1[sexo],"M",Folha8_Table1[actividade],"Membros dos conselhos das escolas e representantes dos pais treinados para fazer o coorte de COVs/RAMJ")</f>
        <v>0</v>
      </c>
      <c r="P44" s="261">
        <f>COUNTIFS(Folha8_Table1[idade],"15-17",Folha8_Table1[sexo],"M",Folha8_Table1[actividade],"Membros dos conselhos das escolas e representantes dos pais treinados para fazer o coorte de COVs/RAMJ")</f>
        <v>0</v>
      </c>
      <c r="Q44" s="84">
        <f>COUNTIFS(Folha8_Table1[idade],"18-24",Folha8_Table1[sexo],"M",Folha8_Table1[actividade],"Membros dos conselhos das escolas e representantes dos pais treinados para fazer o coorte de COVs/RAMJ")</f>
        <v>0</v>
      </c>
      <c r="R44" s="86">
        <f>COUNTIFS(Folha8_Table1[idade],"Maior que 25",Folha8_Table1[sexo],"M",Folha8_Table1[actividade],"Membros dos conselhos das escolas e representantes dos pais treinados para fazer o coorte de COVs/RAMJ")</f>
        <v>0</v>
      </c>
      <c r="S44" s="139">
        <f>SUM(L44:R44)</f>
        <v>0</v>
      </c>
      <c r="T44" s="185">
        <f>SUM(E44:K44)</f>
        <v>0</v>
      </c>
      <c r="U44" s="87">
        <f>SUM(S44:T44)</f>
        <v>0</v>
      </c>
    </row>
    <row r="45" spans="2:21" s="44" customFormat="1" ht="81.599999999999994" customHeight="1" thickBot="1" x14ac:dyDescent="0.5">
      <c r="B45" s="458"/>
      <c r="C45" s="465" t="s">
        <v>253</v>
      </c>
      <c r="D45" s="466"/>
      <c r="E45" s="263">
        <f>COUNTIFS(Folha8_Table1[idade],"Menor que 1",Folha8_Table1[sexo],"F",Folha8_Table1[actividade],"COVs/RAMJ acompanhados atraves dos coortes")</f>
        <v>0</v>
      </c>
      <c r="F45" s="264">
        <f>COUNTIFS(Folha8_Table1[idade],"1-4",Folha8_Table1[sexo],"F",Folha8_Table1[actividade],"COVs/RAMJ acompanhados atraves dos coortes")</f>
        <v>0</v>
      </c>
      <c r="G45" s="81">
        <f>COUNTIFS(Folha8_Table1[idade],"5-9",Folha8_Table1[sexo],"F",Folha8_Table1[actividade],"COVs/RAMJ acompanhados atraves dos coortes")</f>
        <v>0</v>
      </c>
      <c r="H45" s="261">
        <f>COUNTIFS(Folha8_Table1[idade],"10-14",Folha8_Table1[sexo],"F",Folha8_Table1[actividade],"COVs/RAMJ acompanhados atraves dos coortes")</f>
        <v>0</v>
      </c>
      <c r="I45" s="262">
        <f>COUNTIFS(Folha8_Table1[idade],"15-17",Folha8_Table1[sexo],"F",Folha8_Table1[actividade],"COVs/RAMJ acompanhados atraves dos coortes")</f>
        <v>0</v>
      </c>
      <c r="J45" s="265">
        <f>COUNTIFS(Folha8_Table1[idade],"18-24",Folha8_Table1[sexo],"F",Folha8_Table1[actividade],"COVs/RAMJ acompanhados atraves dos coortes")</f>
        <v>0</v>
      </c>
      <c r="K45" s="261">
        <f>COUNTIFS(Folha8_Table1[idade],"Maior que 25",Folha8_Table1[sexo],"F",Folha8_Table1[actividade],"COVs/RAMJ acompanhados atraves dos coortes")</f>
        <v>0</v>
      </c>
      <c r="L45" s="266">
        <f>COUNTIFS(Folha8_Table1[idade],"Menor que 1",Folha8_Table1[sexo],"M",Folha8_Table1[actividade],"COVs/RAMJ acompanhados atraves dos coortes")</f>
        <v>0</v>
      </c>
      <c r="M45" s="263">
        <f>COUNTIFS(Folha8_Table1[idade],"1-4",Folha8_Table1[sexo],"M",Folha8_Table1[actividade],"COVs/RAMJ acompanhados atraves dos coortes")</f>
        <v>0</v>
      </c>
      <c r="N45" s="265">
        <f>COUNTIFS(Folha8_Table1[idade],"5-9",Folha8_Table1[sexo],"M",Folha8_Table1[actividade],"COVs/RAMJ acompanhados atraves dos coortes")</f>
        <v>0</v>
      </c>
      <c r="O45" s="267">
        <f>COUNTIFS(Folha8_Table1[idade],"10-14",Folha8_Table1[sexo],"M",Folha8_Table1[actividade],"COVs/RAMJ acompanhados atraves dos coortes")</f>
        <v>0</v>
      </c>
      <c r="P45" s="268">
        <f>COUNTIFS(Folha8_Table1[idade],"15-17",Folha8_Table1[sexo],"M",Folha8_Table1[actividade],"COVs/RAMJ acompanhados atraves dos coortes")</f>
        <v>0</v>
      </c>
      <c r="Q45" s="84">
        <f>COUNTIFS(Folha8_Table1[idade],"18-24",Folha8_Table1[sexo],"M",Folha8_Table1[actividade],"COVs/RAMJ acompanhados atraves dos coortes")</f>
        <v>0</v>
      </c>
      <c r="R45" s="86">
        <f>COUNTIFS(Folha8_Table1[idade],"Maior que 25",Folha8_Table1[sexo],"M",Folha8_Table1[actividade],"COVs/RAMJ acompanhados atraves dos coortes")</f>
        <v>0</v>
      </c>
      <c r="S45" s="139">
        <f>SUM(L45:R45)</f>
        <v>0</v>
      </c>
      <c r="T45" s="185">
        <f>SUM(E45:K45)</f>
        <v>0</v>
      </c>
      <c r="U45" s="87">
        <f>SUM(S45:T45)</f>
        <v>0</v>
      </c>
    </row>
    <row r="46" spans="2:21" s="17" customFormat="1" ht="49.15" customHeight="1" thickTop="1" x14ac:dyDescent="0.65">
      <c r="B46" s="413" t="s">
        <v>201</v>
      </c>
      <c r="C46" s="449" t="s">
        <v>202</v>
      </c>
      <c r="D46" s="415"/>
      <c r="E46" s="159"/>
      <c r="F46" s="160"/>
      <c r="G46" s="160"/>
      <c r="H46" s="160" t="s">
        <v>203</v>
      </c>
      <c r="I46" s="160"/>
      <c r="J46" s="160"/>
      <c r="K46" s="160"/>
      <c r="L46" s="161"/>
      <c r="M46" s="162"/>
      <c r="N46" s="162"/>
      <c r="O46" s="163" t="s">
        <v>204</v>
      </c>
      <c r="P46" s="162"/>
      <c r="Q46" s="162"/>
      <c r="R46" s="164"/>
      <c r="S46" s="418" t="s">
        <v>205</v>
      </c>
      <c r="T46" s="419"/>
      <c r="U46" s="420" t="s">
        <v>206</v>
      </c>
    </row>
    <row r="47" spans="2:21" s="17" customFormat="1" ht="49.15" customHeight="1" thickBot="1" x14ac:dyDescent="0.7">
      <c r="B47" s="416"/>
      <c r="C47" s="434"/>
      <c r="D47" s="417"/>
      <c r="E47" s="165" t="s">
        <v>207</v>
      </c>
      <c r="F47" s="166" t="s">
        <v>0</v>
      </c>
      <c r="G47" s="167" t="s">
        <v>208</v>
      </c>
      <c r="H47" s="168" t="s">
        <v>209</v>
      </c>
      <c r="I47" s="169" t="s">
        <v>210</v>
      </c>
      <c r="J47" s="166" t="s">
        <v>211</v>
      </c>
      <c r="K47" s="170" t="s">
        <v>212</v>
      </c>
      <c r="L47" s="171" t="s">
        <v>207</v>
      </c>
      <c r="M47" s="172" t="s">
        <v>0</v>
      </c>
      <c r="N47" s="173" t="s">
        <v>208</v>
      </c>
      <c r="O47" s="172" t="s">
        <v>209</v>
      </c>
      <c r="P47" s="173" t="s">
        <v>210</v>
      </c>
      <c r="Q47" s="172" t="s">
        <v>211</v>
      </c>
      <c r="R47" s="174" t="s">
        <v>212</v>
      </c>
      <c r="S47" s="175" t="s">
        <v>213</v>
      </c>
      <c r="T47" s="223" t="s">
        <v>214</v>
      </c>
      <c r="U47" s="421"/>
    </row>
    <row r="48" spans="2:21" s="17" customFormat="1" ht="49.15" customHeight="1" thickTop="1" thickBot="1" x14ac:dyDescent="0.7">
      <c r="B48" s="436" t="s">
        <v>254</v>
      </c>
      <c r="C48" s="269"/>
      <c r="D48" s="270"/>
      <c r="E48" s="271"/>
      <c r="F48" s="272" t="s">
        <v>255</v>
      </c>
      <c r="G48" s="271"/>
      <c r="H48" s="271"/>
      <c r="I48" s="271"/>
      <c r="J48" s="271"/>
      <c r="K48" s="271"/>
      <c r="L48" s="273"/>
      <c r="M48" s="274"/>
      <c r="N48" s="271"/>
      <c r="O48" s="271"/>
      <c r="P48" s="271"/>
      <c r="Q48" s="271"/>
      <c r="R48" s="271"/>
      <c r="S48" s="275"/>
      <c r="T48" s="275"/>
      <c r="U48" s="276"/>
    </row>
    <row r="49" spans="2:21" s="44" customFormat="1" ht="85.9" customHeight="1" thickTop="1" x14ac:dyDescent="0.45">
      <c r="B49" s="437"/>
      <c r="C49" s="450" t="s">
        <v>281</v>
      </c>
      <c r="D49" s="451"/>
      <c r="E49" s="277">
        <f>COUNTIFS(Folha8_Table1[sexo],"F",Folha8_Table1[idade],"Menor que 1",Folha8_Table1[actividade],"COVs identificados nas comunidades e rastreiados para mal nutricao (DAG e DAM)")</f>
        <v>0</v>
      </c>
      <c r="F49" s="278">
        <f>COUNTIFS(Folha8_Table1[sexo],"F",Folha8_Table1[idade],"1-4",Folha8_Table1[actividade],"COVs identificados nas comunidades e rastreiados para mal nutricao (DAG e DAM)")</f>
        <v>0</v>
      </c>
      <c r="G49" s="279">
        <f>COUNTIFS(Folha8_Table1[sexo],"F",Folha8_Table1[idade],"5-9",Folha8_Table1[actividade],"COVs identificados nas comunidades e rastreiados para mal nutricao (DAG e DAM)")</f>
        <v>0</v>
      </c>
      <c r="H49" s="280">
        <f>COUNTIFS(Folha8_Table1[sexo],"F",Folha8_Table1[idade],"10-14",Folha8_Table1[actividade],"COVs identificados nas comunidades e rastreiados para mal nutricao (DAG e DAM)")</f>
        <v>0</v>
      </c>
      <c r="I49" s="281">
        <f>COUNTIFS(Folha8_Table1[sexo],"F",Folha8_Table1[idade],"15-17",Folha8_Table1[actividade],"COVs identificados nas comunidades e rastreiados para mal nutricao (DAG e DAM)")</f>
        <v>0</v>
      </c>
      <c r="J49" s="184">
        <f>COUNTIFS(Folha8_Table1[sexo],"F",Folha8_Table1[idade],"18-24",Folha8_Table1[actividade],"COVs identificados nas comunidades e rastreiados para mal nutricao (DAG e DAM)")</f>
        <v>0</v>
      </c>
      <c r="K49" s="282">
        <f>COUNTIFS(Folha8_Table1[sexo],"F",Folha8_Table1[idade],"Maior que 25",Folha8_Table1[actividade],"COVs identificados nas comunidades e rastreiados para mal nutricao (DAG e DAM)")</f>
        <v>0</v>
      </c>
      <c r="L49" s="283">
        <f>COUNTIFS(Folha8_Table1[sexo],"M",Folha8_Table1[idade],"Menor que 1",Folha8_Table1[actividade],"COVs identificados nas comunidades e rastreiados para mal nutricao (DAG e DAM)")</f>
        <v>0</v>
      </c>
      <c r="M49" s="284">
        <f>COUNTIFS(Folha8_Table1[sexo],"M",Folha8_Table1[idade],"1-4",Folha8_Table1[actividade],"COVs identificados nas comunidades e rastreiados para mal nutricao (DAG e DAM)")</f>
        <v>0</v>
      </c>
      <c r="N49" s="285">
        <f>COUNTIFS(Folha8_Table1[sexo],"M",Folha8_Table1[idade],"5-9",Folha8_Table1[actividade],"COVs identificados nas comunidades e rastreiados para mal nutricao (DAG e DAM)")</f>
        <v>0</v>
      </c>
      <c r="O49" s="279">
        <f>COUNTIFS(Folha8_Table1[sexo],"M",Folha8_Table1[idade],"10-14",Folha8_Table1[actividade],"COVs identificados nas comunidades e rastreiados para mal nutricao (DAG e DAM)")</f>
        <v>0</v>
      </c>
      <c r="P49" s="280">
        <f>COUNTIFS(Folha8_Table1[sexo],"M",Folha8_Table1[idade],"15-17",Folha8_Table1[actividade],"COVs identificados nas comunidades e rastreiados para mal nutricao (DAG e DAM)")</f>
        <v>1</v>
      </c>
      <c r="Q49" s="281">
        <f>COUNTIFS(Folha8_Table1[sexo],"M",Folha8_Table1[idade],"18-24",Folha8_Table1[actividade],"COVs identificados nas comunidades e rastreiados para mal nutricao (DAG e DAM)")</f>
        <v>0</v>
      </c>
      <c r="R49" s="286">
        <f>COUNTIFS(Folha8_Table1[sexo],"M",Folha8_Table1[idade],"Maior que 25",Folha8_Table1[actividade],"COVs identificados nas comunidades e rastreiados para mal nutricao (DAG e DAM)")</f>
        <v>1</v>
      </c>
      <c r="S49" s="150">
        <f t="shared" ref="S49:S56" si="10">SUM(L49:R49)</f>
        <v>2</v>
      </c>
      <c r="T49" s="287">
        <f t="shared" ref="T49:T56" si="11">SUM(E49:K49)</f>
        <v>0</v>
      </c>
      <c r="U49" s="68">
        <f t="shared" ref="U49:U56" si="12">SUM(S49:T49)</f>
        <v>2</v>
      </c>
    </row>
    <row r="50" spans="2:21" s="44" customFormat="1" ht="85.9" customHeight="1" x14ac:dyDescent="0.45">
      <c r="B50" s="437"/>
      <c r="C50" s="425" t="s">
        <v>282</v>
      </c>
      <c r="D50" s="447"/>
      <c r="E50" s="288">
        <f>COUNTIFS(Folha8_Table1[sexo],"F",Folha8_Table1[idade],"Menor que 1",Folha8_Table1[actividade],"COVs com mal nutricao identificados nas comunidades e referidos para as Unidades Sanitarias")</f>
        <v>0</v>
      </c>
      <c r="F50" s="289">
        <f>COUNTIFS(Folha8_Table1[sexo],"F",Folha8_Table1[idade],"1-4",Folha8_Table1[actividade],"COVs com mal nutricao identificados nas comunidades e referidos para as Unidades Sanitarias")</f>
        <v>0</v>
      </c>
      <c r="G50" s="188">
        <f>COUNTIFS(Folha8_Table1[sexo],"F",Folha8_Table1[idade],"5-9",Folha8_Table1[actividade],"COVs com mal nutricao identificados nas comunidades e referidos para as Unidades Sanitarias")</f>
        <v>0</v>
      </c>
      <c r="H50" s="189">
        <f>COUNTIFS(Folha8_Table1[sexo],"F",Folha8_Table1[idade],"10-14",Folha8_Table1[actividade],"COVs com mal nutricao identificados nas comunidades e referidos para as Unidades Sanitarias")</f>
        <v>0</v>
      </c>
      <c r="I50" s="186">
        <f>COUNTIFS(Folha8_Table1[sexo],"F",Folha8_Table1[idade],"15-17",Folha8_Table1[actividade],"COVs com mal nutricao identificados nas comunidades e referidos para as Unidades Sanitarias")</f>
        <v>0</v>
      </c>
      <c r="J50" s="290">
        <f>COUNTIFS(Folha8_Table1[sexo],"F",Folha8_Table1[idade],"18-24",Folha8_Table1[actividade],"COVs com mal nutricao identificados nas comunidades e referidos para as Unidades Sanitarias")</f>
        <v>0</v>
      </c>
      <c r="K50" s="186">
        <f>COUNTIFS(Folha8_Table1[sexo],"F",Folha8_Table1[idade],"Maior que 25",Folha8_Table1[actividade],"COVs com mal nutricao identificados nas comunidades e referidos para as Unidades Sanitarias")</f>
        <v>0</v>
      </c>
      <c r="L50" s="247">
        <f>COUNTIFS(Folha8_Table1[sexo],"M",Folha8_Table1[idade],"Menor que 1",Folha8_Table1[actividade],"COVs com mal nutricao identificados nas comunidades e referidos para as Unidades Sanitarias")</f>
        <v>0</v>
      </c>
      <c r="M50" s="291">
        <f>COUNTIFS(Folha8_Table1[sexo],"M",Folha8_Table1[idade],"1-4",Folha8_Table1[actividade],"COVs com mal nutricao identificados nas comunidades e referidos para as Unidades Sanitarias")</f>
        <v>0</v>
      </c>
      <c r="N50" s="190">
        <f>COUNTIFS(Folha8_Table1[sexo],"M",Folha8_Table1[idade],"5-9",Folha8_Table1[actividade],"COVs com mal nutricao identificados nas comunidades e referidos para as Unidades Sanitarias")</f>
        <v>0</v>
      </c>
      <c r="O50" s="193">
        <f>COUNTIFS(Folha8_Table1[sexo],"M",Folha8_Table1[idade],"10-14",Folha8_Table1[actividade],"COVs com mal nutricao identificados nas comunidades e referidos para as Unidades Sanitarias")</f>
        <v>0</v>
      </c>
      <c r="P50" s="197">
        <f>COUNTIFS(Folha8_Table1[sexo],"M",Folha8_Table1[idade],"15-17",Folha8_Table1[actividade],"COVs com mal nutricao identificados nas comunidades e referidos para as Unidades Sanitarias")</f>
        <v>0</v>
      </c>
      <c r="Q50" s="191">
        <f>COUNTIFS(Folha8_Table1[sexo],"M",Folha8_Table1[idade],"18-24",Folha8_Table1[actividade],"COVs com mal nutricao identificados nas comunidades e referidos para as Unidades Sanitarias")</f>
        <v>0</v>
      </c>
      <c r="R50" s="192">
        <f>COUNTIFS(Folha8_Table1[sexo],"M",Folha8_Table1[idade],"Maior que 25",Folha8_Table1[actividade],"COVs com mal nutricao identificados nas comunidades e referidos para as Unidades Sanitarias")</f>
        <v>1</v>
      </c>
      <c r="S50" s="139">
        <f t="shared" si="10"/>
        <v>1</v>
      </c>
      <c r="T50" s="185">
        <f t="shared" si="11"/>
        <v>0</v>
      </c>
      <c r="U50" s="87">
        <f t="shared" si="12"/>
        <v>1</v>
      </c>
    </row>
    <row r="51" spans="2:21" s="44" customFormat="1" ht="85.9" customHeight="1" x14ac:dyDescent="0.45">
      <c r="B51" s="437"/>
      <c r="C51" s="452" t="s">
        <v>283</v>
      </c>
      <c r="D51" s="453"/>
      <c r="E51" s="138">
        <f>COUNTIFS(Folha8_Table1[sexo],"F",Folha8_Table1[idade],"Menor que 1",Folha8_Table1[actividade],"Cuidadores que participaram nas sessoes de debates sobre HIV e revelacao do seroestado")</f>
        <v>0</v>
      </c>
      <c r="F51" s="80">
        <f>COUNTIFS(Folha8_Table1[sexo],"F",Folha8_Table1[idade],"1-4",Folha8_Table1[actividade],"Cuidadores que participaram nas sessoes de debates sobre HIV e revelacao do seroestado")</f>
        <v>0</v>
      </c>
      <c r="G51" s="81">
        <f>COUNTIFS(Folha8_Table1[sexo],"F",Folha8_Table1[idade],"5-9",Folha8_Table1[actividade],"Cuidadores que participaram nas sessoes de debates sobre HIV e revelacao do seroestado")</f>
        <v>0</v>
      </c>
      <c r="H51" s="82">
        <f>COUNTIFS(Folha8_Table1[sexo],"F",Folha8_Table1[idade],"10-14",Folha8_Table1[actividade],"Cuidadores que participaram nas sessoes de debates sobre HIV e revelacao do seroestado")</f>
        <v>0</v>
      </c>
      <c r="I51" s="83">
        <f>COUNTIFS(Folha8_Table1[sexo],"F",Folha8_Table1[idade],"15-17",Folha8_Table1[actividade],"Cuidadores que participaram nas sessoes de debates sobre HIV e revelacao do seroestado")</f>
        <v>0</v>
      </c>
      <c r="J51" s="138">
        <f>COUNTIFS(Folha8_Table1[sexo],"F",Folha8_Table1[idade],"18-24",Folha8_Table1[actividade],"Cuidadores que participaram nas sessoes de debates sobre HIV e revelacao do seroestado")</f>
        <v>0</v>
      </c>
      <c r="K51" s="84">
        <f>COUNTIFS(Folha8_Table1[sexo],"F",Folha8_Table1[idade],"Maior que 25",Folha8_Table1[actividade],"Cuidadores que participaram nas sessoes de debates sobre HIV e revelacao do seroestado")</f>
        <v>0</v>
      </c>
      <c r="L51" s="85">
        <f>COUNTIFS(Folha8_Table1[sexo],"M",Folha8_Table1[idade],"Menor que 1",Folha8_Table1[actividade],"Cuidadores que participaram nas sessoes de debates sobre HIV e revelacao do seroestado")</f>
        <v>0</v>
      </c>
      <c r="M51" s="81">
        <f>COUNTIFS(Folha8_Table1[sexo],"M",Folha8_Table1[idade],"1-4",Folha8_Table1[actividade],"Cuidadores que participaram nas sessoes de debates sobre HIV e revelacao do seroestado")</f>
        <v>0</v>
      </c>
      <c r="N51" s="80">
        <f>COUNTIFS(Folha8_Table1[sexo],"M",Folha8_Table1[idade],"5-9",Folha8_Table1[actividade],"Cuidadores que participaram nas sessoes de debates sobre HIV e revelacao do seroestado")</f>
        <v>0</v>
      </c>
      <c r="O51" s="81">
        <f>COUNTIFS(Folha8_Table1[sexo],"M",Folha8_Table1[idade],"10-14",Folha8_Table1[actividade],"Cuidadores que participaram nas sessoes de debates sobre HIV e revelacao do seroestado")</f>
        <v>0</v>
      </c>
      <c r="P51" s="82">
        <f>COUNTIFS(Folha8_Table1[sexo],"M",Folha8_Table1[idade],"15-17",Folha8_Table1[actividade],"Cuidadores que participaram nas sessoes de debates sobre HIV e revelacao do seroestado")</f>
        <v>0</v>
      </c>
      <c r="Q51" s="83">
        <f>COUNTIFS(Folha8_Table1[sexo],"M",Folha8_Table1[idade],"18-24",Folha8_Table1[actividade],"Cuidadores que participaram nas sessoes de debates sobre HIV e revelacao do seroestado")</f>
        <v>0</v>
      </c>
      <c r="R51" s="138">
        <f>COUNTIFS(Folha8_Table1[sexo],"M",Folha8_Table1[idade],"Maior que 25",Folha8_Table1[actividade],"Cuidadores que participaram nas sessoes de debates sobre HIV e revelacao do seroestado")</f>
        <v>0</v>
      </c>
      <c r="S51" s="139">
        <f t="shared" si="10"/>
        <v>0</v>
      </c>
      <c r="T51" s="185">
        <f t="shared" si="11"/>
        <v>0</v>
      </c>
      <c r="U51" s="87">
        <f t="shared" si="12"/>
        <v>0</v>
      </c>
    </row>
    <row r="52" spans="2:21" s="44" customFormat="1" ht="85.9" customHeight="1" x14ac:dyDescent="0.45">
      <c r="B52" s="437"/>
      <c r="C52" s="425" t="s">
        <v>284</v>
      </c>
      <c r="D52" s="447"/>
      <c r="E52" s="138">
        <f>COUNTIFS(Folha8_Table1[sexo],"F",Folha8_Table1[idade],"Menor que 1",Folha8_Table1[actividade],"COVs e cuidadores eligiveis que se beneficiaram em servicos de saude")</f>
        <v>0</v>
      </c>
      <c r="F52" s="80">
        <f>COUNTIFS(Folha8_Table1[sexo],"F",Folha8_Table1[idade],"1-4",Folha8_Table1[actividade],"COVs e cuidadores eligiveis que se beneficiaram em servicos de saude")</f>
        <v>0</v>
      </c>
      <c r="G52" s="81">
        <f>COUNTIFS(Folha8_Table1[sexo],"F",Folha8_Table1[idade],"5-9",Folha8_Table1[actividade],"COVs e cuidadores eligiveis que se beneficiaram em servicos de saude")</f>
        <v>0</v>
      </c>
      <c r="H52" s="82">
        <f>COUNTIFS(Folha8_Table1[sexo],"F",Folha8_Table1[idade],"10-14",Folha8_Table1[actividade],"COVs e cuidadores eligiveis que se beneficiaram em servicos de saude")</f>
        <v>0</v>
      </c>
      <c r="I52" s="83">
        <f>COUNTIFS(Folha8_Table1[sexo],"F",Folha8_Table1[idade],"15-17",Folha8_Table1[actividade],"COVs e cuidadores eligiveis que se beneficiaram em servicos de saude")</f>
        <v>0</v>
      </c>
      <c r="J52" s="138">
        <f>COUNTIFS(Folha8_Table1[sexo],"F",Folha8_Table1[idade],"18-24",Folha8_Table1[actividade],"COVs e cuidadores eligiveis que se beneficiaram em servicos de saude")</f>
        <v>0</v>
      </c>
      <c r="K52" s="84">
        <f>COUNTIFS(Folha8_Table1[sexo],"F",Folha8_Table1[idade],"Maior que 25",Folha8_Table1[actividade],"COVs e cuidadores eligiveis que se beneficiaram em servicos de saude")</f>
        <v>0</v>
      </c>
      <c r="L52" s="85">
        <f>COUNTIFS(Folha8_Table1[sexo],"M",Folha8_Table1[idade],"Menor que 1",Folha8_Table1[actividade],"COVs e cuidadores eligiveis que se beneficiaram em servicos de saude")</f>
        <v>0</v>
      </c>
      <c r="M52" s="81">
        <f>COUNTIFS(Folha8_Table1[sexo],"M",Folha8_Table1[idade],"1-4",Folha8_Table1[actividade],"COVs e cuidadores eligiveis que se beneficiaram em servicos de saude")</f>
        <v>0</v>
      </c>
      <c r="N52" s="80">
        <f>COUNTIFS(Folha8_Table1[sexo],"M",Folha8_Table1[idade],"5-9",Folha8_Table1[actividade],"COVs e cuidadores eligiveis que se beneficiaram em servicos de saude")</f>
        <v>0</v>
      </c>
      <c r="O52" s="81">
        <f>COUNTIFS(Folha8_Table1[sexo],"M",Folha8_Table1[idade],"10-14",Folha8_Table1[actividade],"COVs e cuidadores eligiveis que se beneficiaram em servicos de saude")</f>
        <v>0</v>
      </c>
      <c r="P52" s="82">
        <f>COUNTIFS(Folha8_Table1[sexo],"M",Folha8_Table1[idade],"15-17",Folha8_Table1[actividade],"COVs e cuidadores eligiveis que se beneficiaram em servicos de saude")</f>
        <v>0</v>
      </c>
      <c r="Q52" s="83">
        <f>COUNTIFS(Folha8_Table1[sexo],"M",Folha8_Table1[idade],"18-24",Folha8_Table1[actividade],"COVs e cuidadores eligiveis que se beneficiaram em servicos de saude")</f>
        <v>0</v>
      </c>
      <c r="R52" s="138">
        <f>COUNTIFS(Folha8_Table1[sexo],"M",Folha8_Table1[idade],"Maior que 25",Folha8_Table1[actividade],"COVs e cuidadores eligiveis que se beneficiaram em servicos de saude")</f>
        <v>0</v>
      </c>
      <c r="S52" s="139">
        <f t="shared" si="10"/>
        <v>0</v>
      </c>
      <c r="T52" s="185">
        <f t="shared" si="11"/>
        <v>0</v>
      </c>
      <c r="U52" s="87">
        <f t="shared" si="12"/>
        <v>0</v>
      </c>
    </row>
    <row r="53" spans="2:21" s="44" customFormat="1" ht="85.9" customHeight="1" x14ac:dyDescent="0.45">
      <c r="B53" s="437"/>
      <c r="C53" s="452" t="s">
        <v>256</v>
      </c>
      <c r="D53" s="453"/>
      <c r="E53" s="138">
        <f>COUNTIFS(Folha8_Table1[sexo],"F",Folha8_Table1[idade],"Menor que 1",Folha8_Table1[actividade],"COVs e cuidadores que abandonaram o TARV e que foram referidos para reiniciar o TARV na US")</f>
        <v>0</v>
      </c>
      <c r="F53" s="80">
        <f>COUNTIFS(Folha8_Table1[sexo],"F",Folha8_Table1[idade],"1-4",Folha8_Table1[actividade],"COVs e cuidadores que abandonaram o TARV e que foram referidos para reiniciar o TARV na US")</f>
        <v>0</v>
      </c>
      <c r="G53" s="81">
        <f>COUNTIFS(Folha8_Table1[sexo],"F",Folha8_Table1[idade],"5-9",Folha8_Table1[actividade],"COVs e cuidadores que abandonaram o TARV e que foram referidos para reiniciar o TARV na US")</f>
        <v>0</v>
      </c>
      <c r="H53" s="82">
        <f>COUNTIFS(Folha8_Table1[sexo],"F",Folha8_Table1[idade],"10-14",Folha8_Table1[actividade],"COVs e cuidadores que abandonaram o TARV e que foram referidos para reiniciar o TARV na US")</f>
        <v>0</v>
      </c>
      <c r="I53" s="83">
        <f>COUNTIFS(Folha8_Table1[sexo],"F",Folha8_Table1[idade],"15-17",Folha8_Table1[actividade],"COVs e cuidadores que abandonaram o TARV e que foram referidos para reiniciar o TARV na US")</f>
        <v>0</v>
      </c>
      <c r="J53" s="138">
        <f>COUNTIFS(Folha8_Table1[sexo],"F",Folha8_Table1[idade],"18-24",Folha8_Table1[actividade],"COVs e cuidadores que abandonaram o TARV e que foram referidos para reiniciar o TARV na US")</f>
        <v>0</v>
      </c>
      <c r="K53" s="292">
        <f>COUNTIFS(Folha8_Table1[sexo],"F",Folha8_Table1[idade],"Maior que 25",Folha8_Table1[actividade],"COVs e cuidadores que abandonaram o TARV e que foram referidos para reiniciar o TARV na US")</f>
        <v>0</v>
      </c>
      <c r="L53" s="85">
        <f>COUNTIFS(Folha8_Table1[sexo],"M",Folha8_Table1[idade],"Menor que 1",Folha8_Table1[actividade],"COVs e cuidadores que abandonaram o TARV e que foram referidos para reiniciar o TARV na US")</f>
        <v>0</v>
      </c>
      <c r="M53" s="81">
        <f>COUNTIFS(Folha8_Table1[sexo],"M",Folha8_Table1[idade],"1-4",Folha8_Table1[actividade],"COVs e cuidadores que abandonaram o TARV e que foram referidos para reiniciar o TARV na US")</f>
        <v>0</v>
      </c>
      <c r="N53" s="196">
        <f>COUNTIFS(Folha8_Table1[sexo],"M",Folha8_Table1[idade],"5-9",Folha8_Table1[actividade],"COVs e cuidadores que abandonaram o TARV e que foram referidos para reiniciar o TARV na US")</f>
        <v>0</v>
      </c>
      <c r="O53" s="193">
        <f>COUNTIFS(Folha8_Table1[sexo],"M",Folha8_Table1[idade],"10-14",Folha8_Table1[actividade],"COVs e cuidadores que abandonaram o TARV e que foram referidos para reiniciar o TARV na US")</f>
        <v>0</v>
      </c>
      <c r="P53" s="293">
        <f>COUNTIFS(Folha8_Table1[sexo],"M",Folha8_Table1[idade],"15-17",Folha8_Table1[actividade],"COVs e cuidadores que abandonaram o TARV e que foram referidos para reiniciar o TARV na US")</f>
        <v>0</v>
      </c>
      <c r="Q53" s="194">
        <f>COUNTIFS(Folha8_Table1[sexo],"M",Folha8_Table1[idade],"18-24",Folha8_Table1[actividade],"COVs e cuidadores que abandonaram o TARV e que foram referidos para reiniciar o TARV na US")</f>
        <v>0</v>
      </c>
      <c r="R53" s="195">
        <f>COUNTIFS(Folha8_Table1[sexo],"M",Folha8_Table1[idade],"Maior que 25",Folha8_Table1[actividade],"COVs e cuidadores que abandonaram o TARV e que foram referidos para reiniciar o TARV na US")</f>
        <v>0</v>
      </c>
      <c r="S53" s="139">
        <f t="shared" si="10"/>
        <v>0</v>
      </c>
      <c r="T53" s="185">
        <f t="shared" si="11"/>
        <v>0</v>
      </c>
      <c r="U53" s="87">
        <f t="shared" si="12"/>
        <v>0</v>
      </c>
    </row>
    <row r="54" spans="2:21" s="44" customFormat="1" ht="85.9" customHeight="1" x14ac:dyDescent="0.45">
      <c r="B54" s="437"/>
      <c r="C54" s="445" t="s">
        <v>285</v>
      </c>
      <c r="D54" s="446"/>
      <c r="E54" s="288">
        <f>COUNTIFS(Folha8_Table1[sexo],"F",Folha8_Table1[idade],"Menor que 1",Folha8_Table1[actividade],"COVs com mal nutricao referidos para realizar o teste de HIV")</f>
        <v>0</v>
      </c>
      <c r="F54" s="289">
        <f>COUNTIFS(Folha8_Table1[sexo],"F",Folha8_Table1[idade],"1-4",Folha8_Table1[actividade],"COVs com mal nutricao referidos para realizar o teste de HIV")</f>
        <v>0</v>
      </c>
      <c r="G54" s="61">
        <f>COUNTIFS(Folha8_Table1[sexo],"F",Folha8_Table1[idade],"5-9",Folha8_Table1[actividade],"COVs com mal nutricao referidos para realizar o teste de HIV")</f>
        <v>0</v>
      </c>
      <c r="H54" s="63">
        <f>COUNTIFS(Folha8_Table1[sexo],"F",Folha8_Table1[idade],"10-14",Folha8_Table1[actividade],"COVs com mal nutricao referidos para realizar o teste de HIV")</f>
        <v>0</v>
      </c>
      <c r="I54" s="64">
        <f>COUNTIFS(Folha8_Table1[sexo],"F",Folha8_Table1[idade],"15-17",Folha8_Table1[actividade],"COVs com mal nutricao referidos para realizar o teste de HIV")</f>
        <v>0</v>
      </c>
      <c r="J54" s="62">
        <f>COUNTIFS(Folha8_Table1[sexo],"F",Folha8_Table1[idade],"18-24",Folha8_Table1[actividade],"COVs com mal nutricao referidos para realizar o teste de HIV")</f>
        <v>0</v>
      </c>
      <c r="K54" s="294">
        <f>COUNTIFS(Folha8_Table1[sexo],"F",Folha8_Table1[idade],"Maior que 25",Folha8_Table1[actividade],"COVs e cuidadores que abandonaram o TARV e que foram referidos para reiniciar o TARV na US")</f>
        <v>0</v>
      </c>
      <c r="L54" s="247">
        <f>COUNTIFS(Folha8_Table1[sexo],"M",Folha8_Table1[idade],"Menor que 1",Folha8_Table1[actividade],"COVs com mal nutricao referidos para realizar o teste de HIV")</f>
        <v>0</v>
      </c>
      <c r="M54" s="242">
        <f>COUNTIFS(Folha8_Table1[sexo],"M",Folha8_Table1[idade],"1-4",Folha8_Table1[actividade],"COVs com mal nutricao referidos para realizar o teste de HIV")</f>
        <v>0</v>
      </c>
      <c r="N54" s="295">
        <f>COUNTIFS(Folha8_Table1[sexo],"M",Folha8_Table1[idade],"5-9",Folha8_Table1[actividade],"COVs com mal nutricao referidos para realizar o teste de HIV")</f>
        <v>0</v>
      </c>
      <c r="O54" s="291">
        <f>COUNTIFS(Folha8_Table1[sexo],"M",Folha8_Table1[idade],"10-14",Folha8_Table1[actividade],"COVs com mal nutricao referidos para realizar o teste de HIV")</f>
        <v>0</v>
      </c>
      <c r="P54" s="296">
        <f>COUNTIFS(Folha8_Table1[sexo],"M",Folha8_Table1[idade],"15-17",Folha8_Table1[actividade],"COVs com mal nutricao referidos para realizar o teste de HIV")</f>
        <v>0</v>
      </c>
      <c r="Q54" s="297">
        <f>COUNTIFS(Folha8_Table1[sexo],"M",Folha8_Table1[idade],"18-24",Folha8_Table1[actividade],"COVs com mal nutricao referidos para realizar o teste de HIV")</f>
        <v>0</v>
      </c>
      <c r="R54" s="298">
        <f>COUNTIFS(Folha8_Table1[sexo],"M",Folha8_Table1[idade],"Maior que 25",Folha8_Table1[actividade],"COVs com mal nutricao referidos para realizar o teste de HIV")</f>
        <v>0</v>
      </c>
      <c r="S54" s="139">
        <f t="shared" si="10"/>
        <v>0</v>
      </c>
      <c r="T54" s="185">
        <f t="shared" si="11"/>
        <v>0</v>
      </c>
      <c r="U54" s="87">
        <f t="shared" si="12"/>
        <v>0</v>
      </c>
    </row>
    <row r="55" spans="2:21" s="44" customFormat="1" ht="85.9" customHeight="1" x14ac:dyDescent="0.45">
      <c r="B55" s="437"/>
      <c r="C55" s="445" t="s">
        <v>286</v>
      </c>
      <c r="D55" s="446"/>
      <c r="E55" s="288">
        <f>COUNTIFS(Folha8_Table1[sexo],"F",Folha8_Table1[idade],"Menor que 1",Folha8_Table1[actividade],"COVs apoiadas com o Pacote de nutricao")</f>
        <v>0</v>
      </c>
      <c r="F55" s="289">
        <f>COUNTIFS(Folha8_Table1[sexo],"F",Folha8_Table1[idade],"1-4",Folha8_Table1[actividade],"COVs apoiadas com o Pacote de nutricao")</f>
        <v>0</v>
      </c>
      <c r="G55" s="61">
        <f>COUNTIFS(Folha8_Table1[sexo],"F",Folha8_Table1[idade],"5-9",Folha8_Table1[actividade],"COVs apoiadas com o Pacote de nutricao")</f>
        <v>0</v>
      </c>
      <c r="H55" s="63">
        <f>COUNTIFS(Folha8_Table1[sexo],"F",Folha8_Table1[idade],"10-14",Folha8_Table1[actividade],"COVs apoiadas com o Pacote de nutricao")</f>
        <v>0</v>
      </c>
      <c r="I55" s="64">
        <f>COUNTIFS(Folha8_Table1[sexo],"F",Folha8_Table1[idade],"15-17",Folha8_Table1[actividade],"COVs apoiadas com o Pacote de nutricao")</f>
        <v>0</v>
      </c>
      <c r="J55" s="62">
        <f>COUNTIFS(Folha8_Table1[sexo],"F",Folha8_Table1[idade],"18-24",Folha8_Table1[actividade],"COVs apoiadas com o Pacote de nutricao")</f>
        <v>0</v>
      </c>
      <c r="K55" s="294">
        <f>COUNTIFS(Folha8_Table1[sexo],"F",Folha8_Table1[idade],"Maior que 25",Folha8_Table1[actividade],"COVs apoiadas com o Pacote de nutricao")</f>
        <v>0</v>
      </c>
      <c r="L55" s="247">
        <f>COUNTIFS(Folha8_Table1[sexo],"M",Folha8_Table1[idade],"Menor que 1",Folha8_Table1[actividade],"COVs apoiadas com o Pacote de nutricao")</f>
        <v>0</v>
      </c>
      <c r="M55" s="242">
        <f>COUNTIFS(Folha8_Table1[sexo],"M",Folha8_Table1[idade],"1-4",Folha8_Table1[actividade],"COVs apoiadas com o Pacote de nutricao")</f>
        <v>0</v>
      </c>
      <c r="N55" s="295">
        <f>COUNTIFS(Folha8_Table1[sexo],"M",Folha8_Table1[idade],"5-9",Folha8_Table1[actividade],"COVs apoiadas com o Pacote de nutricao")</f>
        <v>0</v>
      </c>
      <c r="O55" s="291">
        <f>COUNTIFS(Folha8_Table1[sexo],"M",Folha8_Table1[idade],"10-14",Folha8_Table1[actividade],"COVs apoiadas com o Pacote de nutricao")</f>
        <v>0</v>
      </c>
      <c r="P55" s="296">
        <f>COUNTIFS(Folha8_Table1[sexo],"M",Folha8_Table1[idade],"15-17",Folha8_Table1[actividade],"COVs apoiadas com o Pacote de nutricao")</f>
        <v>0</v>
      </c>
      <c r="Q55" s="297">
        <f>COUNTIFS(Folha8_Table1[sexo],"M",Folha8_Table1[idade],"18-24",Folha8_Table1[actividade],"COVs apoiadas com o Pacote de nutricao")</f>
        <v>0</v>
      </c>
      <c r="R55" s="298">
        <f>COUNTIFS(Folha8_Table1[sexo],"M",Folha8_Table1[idade],"Maior que 25",Folha8_Table1[actividade],"COVs apoiadas com o Pacote de nutricao")</f>
        <v>0</v>
      </c>
      <c r="S55" s="139">
        <f t="shared" si="10"/>
        <v>0</v>
      </c>
      <c r="T55" s="185">
        <f t="shared" si="11"/>
        <v>0</v>
      </c>
      <c r="U55" s="87">
        <f t="shared" si="12"/>
        <v>0</v>
      </c>
    </row>
    <row r="56" spans="2:21" s="44" customFormat="1" ht="85.9" customHeight="1" thickBot="1" x14ac:dyDescent="0.5">
      <c r="B56" s="438"/>
      <c r="C56" s="454" t="s">
        <v>287</v>
      </c>
      <c r="D56" s="455"/>
      <c r="E56" s="288">
        <f>COUNTIFS(Folha8_Table1[sexo],"F",Folha8_Table1[idade],"Menor que 1",Folha8_Table1[actividade],"Cuidadores que estao a receber sessoes sobre reabilitacao nutricional")</f>
        <v>0</v>
      </c>
      <c r="F56" s="299">
        <f>COUNTIFS(Folha8_Table1[sexo],"F",Folha8_Table1[idade],"1-4",Folha8_Table1[actividade],"Cuidadores que estao a receber sessoes sobre reabilitacao nutricional")</f>
        <v>0</v>
      </c>
      <c r="G56" s="188">
        <f>COUNTIFS(Folha8_Table1[sexo],"F",Folha8_Table1[idade],"5-9",Folha8_Table1[actividade],"Cuidadores que estao a receber sessoes sobre reabilitacao nutricional")</f>
        <v>0</v>
      </c>
      <c r="H56" s="189">
        <f>COUNTIFS(Folha8_Table1[sexo],"F",Folha8_Table1[idade],"10-14",Folha8_Table1[actividade],"Cuidadores que estao a receber sessoes sobre reabilitacao nutricional")</f>
        <v>0</v>
      </c>
      <c r="I56" s="186">
        <f>COUNTIFS(Folha8_Table1[sexo],"F",Folha8_Table1[idade],"15-17",Folha8_Table1[actividade],"Cuidadores que estao a receber sessoes sobre reabilitacao nutricional")</f>
        <v>0</v>
      </c>
      <c r="J56" s="290">
        <f>COUNTIFS(Folha8_Table1[sexo],"F",Folha8_Table1[idade],"18-24",Folha8_Table1[actividade],"Cuidadores que estao a receber sessoes sobre reabilitacao nutricional")</f>
        <v>0</v>
      </c>
      <c r="K56" s="186">
        <f>COUNTIFS(Folha8_Table1[sexo],"F",Folha8_Table1[idade],"Maior que 25",Folha8_Table1[actividade],"Cuidadores que estao a receber sessoes sobre reabilitacao nutricional")</f>
        <v>0</v>
      </c>
      <c r="L56" s="247">
        <f>COUNTIFS(Folha8_Table1[sexo],"M",Folha8_Table1[idade],"Menor que 1",Folha8_Table1[actividade],"Cuidadores que estao a receber sessoes sobre reabilitacao nutricional")</f>
        <v>0</v>
      </c>
      <c r="M56" s="242">
        <f>COUNTIFS(Folha8_Table1[sexo],"M",Folha8_Table1[idade],"1-4",Folha8_Table1[actividade],"Cuidadores que estao a receber sessoes sobre reabilitacao nutricional")</f>
        <v>0</v>
      </c>
      <c r="N56" s="300">
        <f>COUNTIFS(Folha8_Table1[sexo],"M",Folha8_Table1[idade],"5-9",Folha8_Table1[actividade],"Cuidadores que estao a receber sessoes sobre reabilitacao nutricional")</f>
        <v>0</v>
      </c>
      <c r="O56" s="301">
        <f>COUNTIFS(Folha8_Table1[sexo],"M",Folha8_Table1[idade],"10-14",Folha8_Table1[actividade],"Cuidadores que estao a receber sessoes sobre reabilitacao nutricional")</f>
        <v>0</v>
      </c>
      <c r="P56" s="302">
        <f>COUNTIFS(Folha8_Table1[sexo],"M",Folha8_Table1[idade],"15-17",Folha8_Table1[actividade],"Cuidadores que estao a receber sessoes sobre reabilitacao nutricional")</f>
        <v>0</v>
      </c>
      <c r="Q56" s="303">
        <f>COUNTIFS(Folha8_Table1[sexo],"M",Folha8_Table1[idade],"18-24",Folha8_Table1[actividade],"Cuidadores que estao a receber sessoes sobre reabilitacao nutricional")</f>
        <v>0</v>
      </c>
      <c r="R56" s="304">
        <f>COUNTIFS(Folha8_Table1[sexo],"M",Folha8_Table1[idade],"Maior que 25",Folha8_Table1[actividade],"Cuidadores que estao a receber sessoes sobre reabilitacao nutricional")</f>
        <v>0</v>
      </c>
      <c r="S56" s="139">
        <f t="shared" si="10"/>
        <v>0</v>
      </c>
      <c r="T56" s="185">
        <f t="shared" si="11"/>
        <v>0</v>
      </c>
      <c r="U56" s="87">
        <f t="shared" si="12"/>
        <v>0</v>
      </c>
    </row>
    <row r="57" spans="2:21" s="17" customFormat="1" ht="61.15" customHeight="1" thickTop="1" x14ac:dyDescent="0.65">
      <c r="B57" s="413" t="s">
        <v>201</v>
      </c>
      <c r="C57" s="432" t="s">
        <v>202</v>
      </c>
      <c r="D57" s="433"/>
      <c r="E57" s="159"/>
      <c r="F57" s="160"/>
      <c r="G57" s="160"/>
      <c r="H57" s="160" t="s">
        <v>203</v>
      </c>
      <c r="I57" s="160"/>
      <c r="J57" s="160"/>
      <c r="K57" s="160"/>
      <c r="L57" s="161"/>
      <c r="M57" s="162"/>
      <c r="N57" s="162"/>
      <c r="O57" s="163" t="s">
        <v>204</v>
      </c>
      <c r="P57" s="162"/>
      <c r="Q57" s="162"/>
      <c r="R57" s="164"/>
      <c r="S57" s="418" t="s">
        <v>205</v>
      </c>
      <c r="T57" s="419"/>
      <c r="U57" s="435" t="s">
        <v>206</v>
      </c>
    </row>
    <row r="58" spans="2:21" s="17" customFormat="1" ht="61.15" customHeight="1" thickBot="1" x14ac:dyDescent="0.7">
      <c r="B58" s="416"/>
      <c r="C58" s="434"/>
      <c r="D58" s="417"/>
      <c r="E58" s="165" t="s">
        <v>207</v>
      </c>
      <c r="F58" s="166" t="s">
        <v>0</v>
      </c>
      <c r="G58" s="167" t="s">
        <v>208</v>
      </c>
      <c r="H58" s="168" t="s">
        <v>209</v>
      </c>
      <c r="I58" s="169" t="s">
        <v>210</v>
      </c>
      <c r="J58" s="166" t="s">
        <v>211</v>
      </c>
      <c r="K58" s="170" t="s">
        <v>212</v>
      </c>
      <c r="L58" s="171" t="s">
        <v>207</v>
      </c>
      <c r="M58" s="172" t="s">
        <v>0</v>
      </c>
      <c r="N58" s="173" t="s">
        <v>208</v>
      </c>
      <c r="O58" s="172" t="s">
        <v>209</v>
      </c>
      <c r="P58" s="173" t="s">
        <v>210</v>
      </c>
      <c r="Q58" s="172" t="s">
        <v>211</v>
      </c>
      <c r="R58" s="174" t="s">
        <v>212</v>
      </c>
      <c r="S58" s="175" t="s">
        <v>213</v>
      </c>
      <c r="T58" s="223" t="s">
        <v>214</v>
      </c>
      <c r="U58" s="421"/>
    </row>
    <row r="59" spans="2:21" s="17" customFormat="1" ht="61.15" customHeight="1" thickTop="1" thickBot="1" x14ac:dyDescent="0.7">
      <c r="B59" s="436" t="s">
        <v>257</v>
      </c>
      <c r="C59" s="305"/>
      <c r="D59" s="275"/>
      <c r="E59" s="306"/>
      <c r="F59" s="306"/>
      <c r="G59" s="306"/>
      <c r="H59" s="306"/>
      <c r="I59" s="306"/>
      <c r="J59" s="306"/>
      <c r="K59" s="306"/>
      <c r="L59" s="307" t="s">
        <v>258</v>
      </c>
      <c r="M59" s="308"/>
      <c r="N59" s="306"/>
      <c r="O59" s="306"/>
      <c r="P59" s="306"/>
      <c r="Q59" s="306"/>
      <c r="R59" s="306"/>
      <c r="S59" s="275"/>
      <c r="T59" s="275"/>
      <c r="U59" s="276"/>
    </row>
    <row r="60" spans="2:21" s="44" customFormat="1" ht="64.150000000000006" customHeight="1" thickTop="1" thickBot="1" x14ac:dyDescent="0.5">
      <c r="B60" s="437"/>
      <c r="C60" s="401" t="s">
        <v>259</v>
      </c>
      <c r="D60" s="309">
        <f>SUMIF(Folha8_Table1[actividade],"Grupos de Educacao Parental",Folha8_Table1[numero])</f>
        <v>0</v>
      </c>
      <c r="E60" s="368"/>
      <c r="F60" s="369"/>
      <c r="G60" s="370"/>
      <c r="H60" s="371"/>
      <c r="I60" s="372"/>
      <c r="J60" s="373"/>
      <c r="K60" s="372"/>
      <c r="L60" s="367"/>
      <c r="M60" s="366"/>
      <c r="N60" s="374"/>
      <c r="O60" s="375"/>
      <c r="P60" s="376"/>
      <c r="Q60" s="377"/>
      <c r="R60" s="378"/>
      <c r="S60" s="379"/>
      <c r="T60" s="380"/>
      <c r="U60" s="362"/>
    </row>
    <row r="61" spans="2:21" s="44" customFormat="1" ht="64.150000000000006" customHeight="1" thickTop="1" x14ac:dyDescent="0.45">
      <c r="B61" s="437"/>
      <c r="C61" s="439" t="s">
        <v>288</v>
      </c>
      <c r="D61" s="440"/>
      <c r="E61" s="310">
        <f>COUNTIFS(Folha8_Table1[sexo],"F",Folha8_Table1[idade],"Menor que 1",Folha8_Table1[actividade],"Cuidadores que participam nas sessoes de educacao parental")</f>
        <v>0</v>
      </c>
      <c r="F61" s="289">
        <f>COUNTIFS(Folha8_Table1[sexo],"F",Folha8_Table1[idade],"1-4",Folha8_Table1[actividade],"Cuidadores que participam nas sessoes de educacao parental")</f>
        <v>0</v>
      </c>
      <c r="G61" s="61">
        <f>COUNTIFS(Folha8_Table1[sexo],"F",Folha8_Table1[idade],"5-9",Folha8_Table1[actividade],"Cuidadores que participam nas sessoes de educacao parental")</f>
        <v>0</v>
      </c>
      <c r="H61" s="63">
        <f>COUNTIFS(Folha8_Table1[sexo],"F",Folha8_Table1[idade],"10-14",Folha8_Table1[actividade],"Cuidadores que participam nas sessoes de educacao parental")</f>
        <v>0</v>
      </c>
      <c r="I61" s="64">
        <f>COUNTIFS(Folha8_Table1[sexo],"F",Folha8_Table1[idade],"15-17",Folha8_Table1[actividade],"Cuidadores que participam nas sessoes de educacao parental")</f>
        <v>0</v>
      </c>
      <c r="J61" s="62">
        <f>COUNTIFS(Folha8_Table1[sexo],"F",Folha8_Table1[idade],"18-24",Folha8_Table1[actividade],"Cuidadores que participam nas sessoes de educacao parental")</f>
        <v>0</v>
      </c>
      <c r="K61" s="294">
        <f>COUNTIFS(Folha8_Table1[sexo],"F",Folha8_Table1[idade],"Maior que 25",Folha8_Table1[actividade],"Cuidadores que participam nas sessoes de educacao parental")</f>
        <v>0</v>
      </c>
      <c r="L61" s="247">
        <f>COUNTIFS(Folha8_Table1[sexo],"M",Folha8_Table1[idade],"Menor que 1",Folha8_Table1[actividade],"Cuidadores que participam nas sessoes de educacao parental")</f>
        <v>0</v>
      </c>
      <c r="M61" s="242">
        <f>COUNTIFS(Folha8_Table1[sexo],"M",Folha8_Table1[idade],"1-4",Folha8_Table1[actividade],"Cuidadores que participam nas sessoes de educacao parental")</f>
        <v>0</v>
      </c>
      <c r="N61" s="138">
        <f>COUNTIFS(Folha8_Table1[sexo],"M",Folha8_Table1[idade],"5-9",Folha8_Table1[actividade],"Cuidadores que participam nas sessoes de educacao parental")</f>
        <v>0</v>
      </c>
      <c r="O61" s="81">
        <f>COUNTIFS(Folha8_Table1[sexo],"M",Folha8_Table1[idade],"10-14",Folha8_Table1[actividade],"Cuidadores que participam nas sessoes de educacao parental")</f>
        <v>0</v>
      </c>
      <c r="P61" s="83">
        <f>COUNTIFS(Folha8_Table1[sexo],"M",Folha8_Table1[idade],"15-17",Folha8_Table1[actividade],"Cuidadores que participam nas sessoes de educacao parental")</f>
        <v>0</v>
      </c>
      <c r="Q61" s="84">
        <f>COUNTIFS(Folha8_Table1[sexo],"M",Folha8_Table1[idade],"18-24",Folha8_Table1[actividade],"Cuidadores que participam nas sessoes de educacao parental")</f>
        <v>0</v>
      </c>
      <c r="R61" s="86">
        <f>COUNTIFS(Folha8_Table1[sexo],"M",Folha8_Table1[idade],"Maior que 25",Folha8_Table1[actividade],"Cuidadores que participam nas sessoes de educacao parental")</f>
        <v>0</v>
      </c>
      <c r="S61" s="311">
        <f>SUM(L61:R61)</f>
        <v>0</v>
      </c>
      <c r="T61" s="312">
        <f>SUM(E61:K61)</f>
        <v>0</v>
      </c>
      <c r="U61" s="313">
        <f>SUM(S61:T61)</f>
        <v>0</v>
      </c>
    </row>
    <row r="62" spans="2:21" s="44" customFormat="1" ht="83.45" customHeight="1" thickBot="1" x14ac:dyDescent="0.5">
      <c r="B62" s="437"/>
      <c r="C62" s="441" t="s">
        <v>260</v>
      </c>
      <c r="D62" s="442"/>
      <c r="E62" s="314">
        <f>COUNTIFS(Folha8_Table1[sexo],"F",Folha8_Table1[idade],"Menor que 1",Folha8_Table1[actividade],"Parceiros (homens) alcancados atraves de mentores homens")</f>
        <v>0</v>
      </c>
      <c r="F62" s="315">
        <f>COUNTIFS(Folha8_Table1[sexo],"F",Folha8_Table1[idade],"1-4",Folha8_Table1[actividade],"Parceiros (homens) alcancados atraves de mentores homens")</f>
        <v>0</v>
      </c>
      <c r="G62" s="187">
        <f>COUNTIFS(Folha8_Table1[sexo],"F",Folha8_Table1[idade],"5-9",Folha8_Table1[actividade],"Parceiros (homens) alcancados atraves de mentores homens")</f>
        <v>0</v>
      </c>
      <c r="H62" s="188">
        <f>COUNTIFS(Folha8_Table1[sexo],"F",Folha8_Table1[idade],"10-14",Folha8_Table1[actividade],"Parceiros (homens) alcancados atraves de mentores homens")</f>
        <v>0</v>
      </c>
      <c r="I62" s="189">
        <f>COUNTIFS(Folha8_Table1[sexo],"F",Folha8_Table1[idade],"15-17",Folha8_Table1[actividade],"Parceiros (homens) alcancados atraves de mentores homens")</f>
        <v>0</v>
      </c>
      <c r="J62" s="186">
        <f>COUNTIFS(Folha8_Table1[sexo],"F",Folha8_Table1[idade],"18-24",Folha8_Table1[actividade],"Parceiros (homens) alcancados atraves de mentores homens")</f>
        <v>0</v>
      </c>
      <c r="K62" s="192">
        <f>COUNTIFS(Folha8_Table1[sexo],"F",Folha8_Table1[idade],"Maior que 25",Folha8_Table1[actividade],"Parceiros (homens) alcancados atraves de mentores homens")</f>
        <v>0</v>
      </c>
      <c r="L62" s="314">
        <f>COUNTIFS(Folha8_Table1[sexo],"M",Folha8_Table1[idade],"Menor que 1",Folha8_Table1[actividade],"Parceiros (homens) alcancados atraves de mentores homens")</f>
        <v>0</v>
      </c>
      <c r="M62" s="315">
        <f>COUNTIFS(Folha8_Table1[sexo],"M",Folha8_Table1[idade],"1-4",Folha8_Table1[actividade],"Parceiros (homens) alcancados atraves de mentores homens")</f>
        <v>0</v>
      </c>
      <c r="N62" s="187">
        <f>COUNTIFS(Folha8_Table1[sexo],"M",Folha8_Table1[idade],"5-9",Folha8_Table1[actividade],"Parceiros (homens) alcancados atraves de mentores homens")</f>
        <v>0</v>
      </c>
      <c r="O62" s="188">
        <f>COUNTIFS(Folha8_Table1[sexo],"M",Folha8_Table1[idade],"10-14",Folha8_Table1[actividade],"Parceiros (homens) alcancados atraves de mentores homens")</f>
        <v>0</v>
      </c>
      <c r="P62" s="189">
        <f>COUNTIFS(Folha8_Table1[sexo],"M",Folha8_Table1[idade],"15-17",Folha8_Table1[actividade],"Parceiros (homens) alcancados atraves de mentores homens")</f>
        <v>0</v>
      </c>
      <c r="Q62" s="186">
        <f>COUNTIFS(Folha8_Table1[sexo],"M",Folha8_Table1[idade],"18-24",Folha8_Table1[actividade],"Parceiros (homens) alcancados atraves de mentores homens")</f>
        <v>0</v>
      </c>
      <c r="R62" s="192">
        <f>COUNTIFS(Folha8_Table1[sexo],"M",Folha8_Table1[idade],"Maior que 25",Folha8_Table1[actividade],"Parceiros (homens) alcancados atraves de mentores homens")</f>
        <v>0</v>
      </c>
      <c r="S62" s="316">
        <f>SUM(L62:R62)</f>
        <v>0</v>
      </c>
      <c r="T62" s="317">
        <f>SUM(E62:K62)</f>
        <v>0</v>
      </c>
      <c r="U62" s="318">
        <f>SUM(S62:T62)</f>
        <v>0</v>
      </c>
    </row>
    <row r="63" spans="2:21" s="44" customFormat="1" ht="58.5" customHeight="1" thickTop="1" thickBot="1" x14ac:dyDescent="0.5">
      <c r="B63" s="437"/>
      <c r="C63" s="319"/>
      <c r="D63" s="229"/>
      <c r="E63" s="320"/>
      <c r="F63" s="320"/>
      <c r="G63" s="320"/>
      <c r="H63" s="320"/>
      <c r="I63" s="320" t="s">
        <v>261</v>
      </c>
      <c r="J63" s="320"/>
      <c r="K63" s="320"/>
      <c r="L63" s="321"/>
      <c r="M63" s="228"/>
      <c r="N63" s="320"/>
      <c r="O63" s="320"/>
      <c r="P63" s="320"/>
      <c r="Q63" s="320"/>
      <c r="R63" s="320"/>
      <c r="S63" s="229"/>
      <c r="T63" s="229"/>
      <c r="U63" s="230"/>
    </row>
    <row r="64" spans="2:21" s="44" customFormat="1" ht="97.15" customHeight="1" thickTop="1" thickBot="1" x14ac:dyDescent="0.5">
      <c r="B64" s="437"/>
      <c r="C64" s="443" t="s">
        <v>262</v>
      </c>
      <c r="D64" s="444"/>
      <c r="E64" s="138">
        <f>COUNTIFS(Folha8_Table1[sexo],"F",Folha8_Table1[idade],"Menor que 1",Folha8_Table1[actividade],"COVs que participam nos Clubes dos direito da Crianca (CRC)")</f>
        <v>0</v>
      </c>
      <c r="F64" s="80">
        <f>COUNTIFS(Folha8_Table1[sexo],"F",Folha8_Table1[idade],"1-4",Folha8_Table1[actividade],"COVs que participam nos Clubes dos direito da Crianca (CRC)")</f>
        <v>0</v>
      </c>
      <c r="G64" s="279">
        <f>COUNTIFS(Folha8_Table1[sexo],"F",Folha8_Table1[idade],"5-9",Folha8_Table1[actividade],"COVs que participam nos Clubes dos direito da Crianca (CRC)")</f>
        <v>0</v>
      </c>
      <c r="H64" s="184">
        <f>COUNTIFS(Folha8_Table1[sexo],"F",Folha8_Table1[idade],"10-14",Folha8_Table1[actividade],"COVs que participam nos Clubes dos direito da Crianca (CRC)")</f>
        <v>0</v>
      </c>
      <c r="I64" s="83">
        <f>COUNTIFS(Folha8_Table1[sexo],"F",Folha8_Table1[idade],"15-17",Folha8_Table1[actividade],"COVs que participam nos Clubes dos direito da Crianca (CRC)")</f>
        <v>0</v>
      </c>
      <c r="J64" s="138">
        <f>COUNTIFS(Folha8_Table1[sexo],"F",Folha8_Table1[idade],"18-24",Folha8_Table1[actividade],"COVs que participam nos Clubes dos direito da Crianca (CRC)")</f>
        <v>0</v>
      </c>
      <c r="K64" s="84">
        <f>COUNTIFS(Folha8_Table1[sexo],"F",Folha8_Table1[idade],"Maior que 25",Folha8_Table1[actividade],"COVs que participam nos Clubes dos direito da Crianca (CRC)")</f>
        <v>0</v>
      </c>
      <c r="L64" s="85">
        <f>COUNTIFS(Folha8_Table1[sexo],"M",Folha8_Table1[idade],"Menor que 1",Folha8_Table1[actividade],"COVs que participam nos Clubes dos direito da Crianca (CRC)")</f>
        <v>0</v>
      </c>
      <c r="M64" s="81">
        <f>COUNTIFS(Folha8_Table1[sexo],"M",Folha8_Table1[idade],"1-4",Folha8_Table1[actividade],"COVs que participam nos Clubes dos direito da Crianca (CRC)")</f>
        <v>0</v>
      </c>
      <c r="N64" s="80">
        <f>COUNTIFS(Folha8_Table1[sexo],"M",Folha8_Table1[idade],"5-9",Folha8_Table1[actividade],"COVs que participam nos Clubes dos direito da Crianca (CRC)")</f>
        <v>0</v>
      </c>
      <c r="O64" s="279">
        <f>COUNTIFS(Folha8_Table1[sexo],"M",Folha8_Table1[idade],"10-14",Folha8_Table1[actividade],"COVs que participam nos Clubes dos direito da Crianca (CRC)")</f>
        <v>0</v>
      </c>
      <c r="P64" s="184">
        <f>COUNTIFS(Folha8_Table1[sexo],"M",Folha8_Table1[idade],"15-17",Folha8_Table1[actividade],"COVs que participam nos Clubes dos direito da Crianca (CRC)")</f>
        <v>0</v>
      </c>
      <c r="Q64" s="83">
        <f>COUNTIFS(Folha8_Table1[sexo],"M",Folha8_Table1[idade],"18-24",Folha8_Table1[actividade],"COVs que participam nos Clubes dos direito da Crianca (CRC)")</f>
        <v>0</v>
      </c>
      <c r="R64" s="138">
        <f>COUNTIFS(Folha8_Table1[sexo],"M",Folha8_Table1[idade],"Maior que 25",Folha8_Table1[actividade],"COVs que participam nos Clubes dos direito da Crianca (CRC)")</f>
        <v>0</v>
      </c>
      <c r="S64" s="150">
        <f>SUM(L64:R64)</f>
        <v>0</v>
      </c>
      <c r="T64" s="287">
        <f>SUM(E64:K64)</f>
        <v>0</v>
      </c>
      <c r="U64" s="68">
        <f>SUM(S64:T64)</f>
        <v>0</v>
      </c>
    </row>
    <row r="65" spans="2:21" s="44" customFormat="1" ht="71.45" customHeight="1" thickTop="1" x14ac:dyDescent="0.45">
      <c r="B65" s="437"/>
      <c r="C65" s="400" t="s">
        <v>263</v>
      </c>
      <c r="D65" s="402">
        <f>SUMIF(Folha8_Table1[actividade],"Clubes dos direitos da crianca (CRC) existente",Folha8_Table1[numero])</f>
        <v>0</v>
      </c>
      <c r="E65" s="381"/>
      <c r="F65" s="359"/>
      <c r="G65" s="382"/>
      <c r="H65" s="383"/>
      <c r="I65" s="355"/>
      <c r="J65" s="363"/>
      <c r="K65" s="366"/>
      <c r="L65" s="367"/>
      <c r="M65" s="353"/>
      <c r="N65" s="359"/>
      <c r="O65" s="382"/>
      <c r="P65" s="383"/>
      <c r="Q65" s="355"/>
      <c r="R65" s="363"/>
      <c r="S65" s="384"/>
      <c r="T65" s="385"/>
      <c r="U65" s="386"/>
    </row>
    <row r="66" spans="2:21" s="44" customFormat="1" ht="74.25" customHeight="1" x14ac:dyDescent="0.45">
      <c r="B66" s="437"/>
      <c r="C66" s="445" t="s">
        <v>264</v>
      </c>
      <c r="D66" s="446"/>
      <c r="E66" s="138">
        <f>COUNTIFS(Folha8_Table1[sexo],"F",Folha8_Table1[idade],"Menor que 1",Folha8_Table1[actividade],"COVs recebendo o apoio psicosocial (APS)")</f>
        <v>0</v>
      </c>
      <c r="F66" s="80">
        <f>COUNTIFS(Folha8_Table1[sexo],"F",Folha8_Table1[idade],"1-4",Folha8_Table1[actividade],"COVs recebendo o apoio psicosocial (APS)")</f>
        <v>0</v>
      </c>
      <c r="G66" s="81">
        <f>COUNTIFS(Folha8_Table1[sexo],"F",Folha8_Table1[idade],"5-9",Folha8_Table1[actividade],"COVs recebendo o apoio psicosocial (APS)")</f>
        <v>0</v>
      </c>
      <c r="H66" s="82">
        <f>COUNTIFS(Folha8_Table1[sexo],"F",Folha8_Table1[idade],"10-14",Folha8_Table1[actividade],"COVs recebendo o apoio psicosocial (APS)")</f>
        <v>0</v>
      </c>
      <c r="I66" s="83">
        <f>COUNTIFS(Folha8_Table1[sexo],"F",Folha8_Table1[idade],"15-17",Folha8_Table1[actividade],"COVs recebendo o apoio psicosocial (APS)")</f>
        <v>0</v>
      </c>
      <c r="J66" s="138">
        <f>COUNTIFS(Folha8_Table1[sexo],"F",Folha8_Table1[idade],"18-24",Folha8_Table1[actividade],"COVs recebendo o apoio psicosocial (APS)")</f>
        <v>0</v>
      </c>
      <c r="K66" s="84">
        <f>COUNTIFS(Folha8_Table1[sexo],"F",Folha8_Table1[idade],"Maior que 25",Folha8_Table1[actividade],"COVs recebendo o apoio psicosocial (APS)")</f>
        <v>0</v>
      </c>
      <c r="L66" s="85">
        <f>COUNTIFS(Folha8_Table1[sexo],"M",Folha8_Table1[idade],"Menor que 1",Folha8_Table1[actividade],"COVs recebendo o apoio psicosocial (APS)")</f>
        <v>0</v>
      </c>
      <c r="M66" s="81">
        <f>COUNTIFS(Folha8_Table1[sexo],"M",Folha8_Table1[idade],"1-4",Folha8_Table1[actividade],"COVs recebendo o apoio psicosocial (APS)")</f>
        <v>0</v>
      </c>
      <c r="N66" s="80">
        <f>COUNTIFS(Folha8_Table1[sexo],"M",Folha8_Table1[idade],"5-9",Folha8_Table1[actividade],"COVs recebendo o apoio psicosocial (APS)")</f>
        <v>0</v>
      </c>
      <c r="O66" s="81">
        <f>COUNTIFS(Folha8_Table1[sexo],"M",Folha8_Table1[idade],"10-14",Folha8_Table1[actividade],"COVs recebendo o apoio psicosocial (APS)")</f>
        <v>0</v>
      </c>
      <c r="P66" s="82">
        <f>COUNTIFS(Folha8_Table1[sexo],"M",Folha8_Table1[idade],"15-17",Folha8_Table1[actividade],"COVs recebendo o apoio psicosocial (APS)")</f>
        <v>0</v>
      </c>
      <c r="Q66" s="83">
        <f>COUNTIFS(Folha8_Table1[sexo],"M",Folha8_Table1[idade],"18-24",Folha8_Table1[actividade],"COVs recebendo o apoio psicosocial (APS)")</f>
        <v>0</v>
      </c>
      <c r="R66" s="138">
        <f>COUNTIFS(Folha8_Table1[sexo],"M",Folha8_Table1[idade],"Maior que 25",Folha8_Table1[actividade],"COVs recebendo o apoio psicosocial (APS)")</f>
        <v>0</v>
      </c>
      <c r="S66" s="139">
        <f>SUM(L66:R66)</f>
        <v>0</v>
      </c>
      <c r="T66" s="185">
        <f>SUM(E66:K66)</f>
        <v>0</v>
      </c>
      <c r="U66" s="87">
        <f>SUM(S66:T66)</f>
        <v>0</v>
      </c>
    </row>
    <row r="67" spans="2:21" s="44" customFormat="1" ht="79.5" customHeight="1" x14ac:dyDescent="0.45">
      <c r="B67" s="437"/>
      <c r="C67" s="445" t="s">
        <v>265</v>
      </c>
      <c r="D67" s="446"/>
      <c r="E67" s="138">
        <f>COUNTIFS(Folha8_Table1[sexo],"F",Folha8_Table1[idade],"Menor que 1",Folha8_Table1[actividade],"COVs recebendo apoio em Habilidades para Vida")</f>
        <v>0</v>
      </c>
      <c r="F67" s="80">
        <f>COUNTIFS(Folha8_Table1[sexo],"F",Folha8_Table1[idade],"1-4",Folha8_Table1[actividade],"COVs recebendo apoio em Habilidades para Vida")</f>
        <v>0</v>
      </c>
      <c r="G67" s="81">
        <f>COUNTIFS(Folha8_Table1[sexo],"F",Folha8_Table1[idade],"5-9",Folha8_Table1[actividade],"COVs recebendo apoio em Habilidades para Vida")</f>
        <v>0</v>
      </c>
      <c r="H67" s="82">
        <f>COUNTIFS(Folha8_Table1[sexo],"F",Folha8_Table1[idade],"10-14",Folha8_Table1[actividade],"COVs recebendo apoio em Habilidades para Vida")</f>
        <v>0</v>
      </c>
      <c r="I67" s="83">
        <f>COUNTIFS(Folha8_Table1[sexo],"F",Folha8_Table1[idade],"15-17",Folha8_Table1[actividade],"COVs recebendo apoio em Habilidades para Vida")</f>
        <v>0</v>
      </c>
      <c r="J67" s="138">
        <f>COUNTIFS(Folha8_Table1[sexo],"F",Folha8_Table1[idade],"18-24",Folha8_Table1[actividade],"COVs recebendo apoio em Habilidades para Vida")</f>
        <v>0</v>
      </c>
      <c r="K67" s="84">
        <f>COUNTIFS(Folha8_Table1[sexo],"F",Folha8_Table1[idade],"Maior que 25",Folha8_Table1[actividade],"COVs recebendo apoio em Habilidades para Vida")</f>
        <v>0</v>
      </c>
      <c r="L67" s="85">
        <f>COUNTIFS(Folha8_Table1[sexo],"M",Folha8_Table1[idade],"Menor que 1",Folha8_Table1[actividade],"COVs recebendo apoio em Habilidades para Vida")</f>
        <v>0</v>
      </c>
      <c r="M67" s="81">
        <f>COUNTIFS(Folha8_Table1[sexo],"M",Folha8_Table1[idade],"1-4",Folha8_Table1[actividade],"COVs recebendo apoio em Habilidades para Vida")</f>
        <v>0</v>
      </c>
      <c r="N67" s="80">
        <f>COUNTIFS(Folha8_Table1[sexo],"M",Folha8_Table1[idade],"5-9",Folha8_Table1[actividade],"COVs recebendo apoio em Habilidades para Vida")</f>
        <v>0</v>
      </c>
      <c r="O67" s="81">
        <f>COUNTIFS(Folha8_Table1[sexo],"M",Folha8_Table1[idade],"10-14",Folha8_Table1[actividade],"COVs recebendo apoio em Habilidades para Vida")</f>
        <v>0</v>
      </c>
      <c r="P67" s="82">
        <f>COUNTIFS(Folha8_Table1[sexo],"M",Folha8_Table1[idade],"15-17",Folha8_Table1[actividade],"COVs recebendo apoio em Habilidades para Vida")</f>
        <v>0</v>
      </c>
      <c r="Q67" s="83">
        <f>COUNTIFS(Folha8_Table1[sexo],"M",Folha8_Table1[idade],"18-24",Folha8_Table1[actividade],"COVs recebendo apoio em Habilidades para Vida")</f>
        <v>0</v>
      </c>
      <c r="R67" s="138">
        <f>COUNTIFS(Folha8_Table1[sexo],"M",Folha8_Table1[idade],"Maior que 25",Folha8_Table1[actividade],"COVs recebendo apoio em Habilidades para Vida")</f>
        <v>0</v>
      </c>
      <c r="S67" s="139">
        <f>SUM(L67:R67)</f>
        <v>0</v>
      </c>
      <c r="T67" s="185">
        <f>SUM(E67:K67)</f>
        <v>0</v>
      </c>
      <c r="U67" s="87">
        <f>SUM(S67:T67)</f>
        <v>0</v>
      </c>
    </row>
    <row r="68" spans="2:21" s="44" customFormat="1" ht="79.5" customHeight="1" x14ac:dyDescent="0.45">
      <c r="B68" s="437"/>
      <c r="C68" s="425" t="s">
        <v>289</v>
      </c>
      <c r="D68" s="447"/>
      <c r="E68" s="138">
        <f>COUNTIFS(Folha8_Table1[sexo],"F",Folha8_Table1[idade],"Menor que 1",Folha8_Table1[actividade],"COVs recebendo educacao sobre saude sexual reprodutiva (ASRH) / palestras sobre o HIV")</f>
        <v>0</v>
      </c>
      <c r="F68" s="80">
        <f>COUNTIFS(Folha8_Table1[sexo],"F",Folha8_Table1[idade],"1-4",Folha8_Table1[actividade],"COVs recebendo educacao sobre saude sexual reprodutiva (ASRH) / palestras sobre o HIV")</f>
        <v>0</v>
      </c>
      <c r="G68" s="81">
        <f>COUNTIFS(Folha8_Table1[sexo],"F",Folha8_Table1[idade],"5-9",Folha8_Table1[actividade],"COVs recebendo educacao sobre saude sexual reprodutiva (ASRH) / palestras sobre o HIV")</f>
        <v>0</v>
      </c>
      <c r="H68" s="82">
        <f>COUNTIFS(Folha8_Table1[sexo],"F",Folha8_Table1[idade],"10-14",Folha8_Table1[actividade],"COVs recebendo educacao sobre saude sexual reprodutiva (ASRH) / palestras sobre o HIV")</f>
        <v>0</v>
      </c>
      <c r="I68" s="83">
        <f>COUNTIFS(Folha8_Table1[sexo],"F",Folha8_Table1[idade],"15-17",Folha8_Table1[actividade],"COVs recebendo educacao sobre saude sexual reprodutiva (ASRH) / palestras sobre o HIV")</f>
        <v>0</v>
      </c>
      <c r="J68" s="138">
        <f>COUNTIFS(Folha8_Table1[sexo],"F",Folha8_Table1[idade],"18-24",Folha8_Table1[actividade],"COVs recebendo educacao sobre saude sexual reprodutiva (ASRH) / palestras sobre o HIV")</f>
        <v>0</v>
      </c>
      <c r="K68" s="84">
        <f>COUNTIFS(Folha8_Table1[sexo],"F",Folha8_Table1[idade],"Maior que 25",Folha8_Table1[actividade],"COVs recebendo educacao sobre saude sexual reprodutiva (ASRH) / palestras sobre o HIV")</f>
        <v>0</v>
      </c>
      <c r="L68" s="85">
        <f>COUNTIFS(Folha8_Table1[sexo],"M",Folha8_Table1[idade],"Menor que 1",Folha8_Table1[actividade],"COVs recebendo educacao sobre saude sexual reprodutiva (ASRH) / palestras sobre o HIV")</f>
        <v>0</v>
      </c>
      <c r="M68" s="81">
        <f>COUNTIFS(Folha8_Table1[sexo],"M",Folha8_Table1[idade],"1-4",Folha8_Table1[actividade],"COVs recebendo educacao sobre saude sexual reprodutiva (ASRH) / palestras sobre o HIV")</f>
        <v>0</v>
      </c>
      <c r="N68" s="80">
        <f>COUNTIFS(Folha8_Table1[sexo],"M",Folha8_Table1[idade],"5-9",Folha8_Table1[actividade],"COVs recebendo educacao sobre saude sexual reprodutiva (ASRH) / palestras sobre o HIV")</f>
        <v>0</v>
      </c>
      <c r="O68" s="81">
        <f>COUNTIFS(Folha8_Table1[sexo],"M",Folha8_Table1[idade],"10-14",Folha8_Table1[actividade],"COVs recebendo educacao sobre saude sexual reprodutiva (ASRH) / palestras sobre o HIV")</f>
        <v>0</v>
      </c>
      <c r="P68" s="82">
        <f>COUNTIFS(Folha8_Table1[sexo],"M",Folha8_Table1[idade],"15-17",Folha8_Table1[actividade],"COVs recebendo educacao sobre saude sexual reprodutiva (ASRH) / palestras sobre o HIV")</f>
        <v>0</v>
      </c>
      <c r="Q68" s="83">
        <f>COUNTIFS(Folha8_Table1[sexo],"M",Folha8_Table1[idade],"18-24",Folha8_Table1[actividade],"COVs recebendo educacao sobre saude sexual reprodutiva (ASRH) / palestras sobre o HIV")</f>
        <v>0</v>
      </c>
      <c r="R68" s="138">
        <f>COUNTIFS(Folha8_Table1[sexo],"M",Folha8_Table1[idade],"Maior que 25",Folha8_Table1[actividade],"COVs recebendo educacao sobre saude sexual reprodutiva (ASRH) / palestras sobre o HIV")</f>
        <v>0</v>
      </c>
      <c r="S68" s="139">
        <f t="shared" ref="S68" si="13">SUM(E68:K68)</f>
        <v>0</v>
      </c>
      <c r="T68" s="185">
        <f t="shared" ref="T68" si="14">SUM(L68:R68)</f>
        <v>0</v>
      </c>
      <c r="U68" s="87">
        <f>SUM(S68:T68)</f>
        <v>0</v>
      </c>
    </row>
    <row r="69" spans="2:21" s="44" customFormat="1" ht="79.5" customHeight="1" x14ac:dyDescent="0.45">
      <c r="B69" s="437"/>
      <c r="C69" s="350" t="s">
        <v>266</v>
      </c>
      <c r="D69" s="402">
        <f>SUMIF(Folha8_Table1[actividade],"Centros infantis existentes",Folha8_Table1[numero])</f>
        <v>0</v>
      </c>
      <c r="E69" s="381"/>
      <c r="F69" s="387"/>
      <c r="G69" s="353"/>
      <c r="H69" s="354"/>
      <c r="I69" s="355"/>
      <c r="J69" s="363"/>
      <c r="K69" s="366"/>
      <c r="L69" s="367"/>
      <c r="M69" s="353"/>
      <c r="N69" s="359"/>
      <c r="O69" s="353"/>
      <c r="P69" s="354"/>
      <c r="Q69" s="355"/>
      <c r="R69" s="363"/>
      <c r="S69" s="379"/>
      <c r="T69" s="380"/>
      <c r="U69" s="362"/>
    </row>
    <row r="70" spans="2:21" s="120" customFormat="1" ht="79.5" customHeight="1" x14ac:dyDescent="0.45">
      <c r="B70" s="437"/>
      <c r="C70" s="445" t="s">
        <v>267</v>
      </c>
      <c r="D70" s="446"/>
      <c r="E70" s="138">
        <f>COUNTIFS(Folha8_Table1[sexo],"F",Folha8_Table1[idade],"Menor que 1",Folha8_Table1[actividade],"Educadores formados em DPI")</f>
        <v>0</v>
      </c>
      <c r="F70" s="80">
        <f>COUNTIFS(Folha8_Table1[sexo],"F",Folha8_Table1[idade],"1-4",Folha8_Table1[actividade],"Educadores formados em DPI")</f>
        <v>0</v>
      </c>
      <c r="G70" s="81">
        <f>COUNTIFS(Folha8_Table1[sexo],"F",Folha8_Table1[idade],"5-9",Folha8_Table1[actividade],"Educadores formados em DPI")</f>
        <v>0</v>
      </c>
      <c r="H70" s="82">
        <f>COUNTIFS(Folha8_Table1[sexo],"F",Folha8_Table1[idade],"10-14",Folha8_Table1[actividade],"Educadores formados em DPI")</f>
        <v>0</v>
      </c>
      <c r="I70" s="83">
        <f>COUNTIFS(Folha8_Table1[sexo],"F",Folha8_Table1[idade],"15-17",Folha8_Table1[actividade],"Educadores formados em DPI")</f>
        <v>0</v>
      </c>
      <c r="J70" s="82">
        <f>COUNTIFS(Folha8_Table1[sexo],"F",Folha8_Table1[idade],"18-24",Folha8_Table1[actividade],"Educadores formados em DPI")</f>
        <v>0</v>
      </c>
      <c r="K70" s="262">
        <f>COUNTIFS(Folha8_Table1[sexo],"F",Folha8_Table1[idade],"Maior que 25",Folha8_Table1[actividade],"Educadores formados em DPI")</f>
        <v>0</v>
      </c>
      <c r="L70" s="322">
        <f>COUNTIFS(Folha8_Table1[sexo],"M",Folha8_Table1[idade],"Menor que 1",Folha8_Table1[actividade],"Educadores formados em DPI")</f>
        <v>0</v>
      </c>
      <c r="M70" s="81">
        <f>COUNTIFS(Folha8_Table1[sexo],"M",Folha8_Table1[idade],"1-4",Folha8_Table1[actividade],"Educadores formados em DPI")</f>
        <v>0</v>
      </c>
      <c r="N70" s="80">
        <f>COUNTIFS(Folha8_Table1[sexo],"M",Folha8_Table1[idade],"5-9",Folha8_Table1[actividade],"Educadores formados em DPI")</f>
        <v>0</v>
      </c>
      <c r="O70" s="81">
        <f>COUNTIFS(Folha8_Table1[sexo],"M",Folha8_Table1[idade],"10-14",Folha8_Table1[actividade],"Educadores formados em DPI")</f>
        <v>0</v>
      </c>
      <c r="P70" s="82">
        <f>COUNTIFS(Folha8_Table1[sexo],"M",Folha8_Table1[idade],"15-17",Folha8_Table1[actividade],"Educadores formados em DPI")</f>
        <v>0</v>
      </c>
      <c r="Q70" s="83">
        <f>COUNTIFS(Folha8_Table1[sexo],"M",Folha8_Table1[idade],"18-24",Folha8_Table1[actividade],"Educadores formados em DPI")</f>
        <v>0</v>
      </c>
      <c r="R70" s="138">
        <f>COUNTIFS(Folha8_Table1[sexo],"M",Folha8_Table1[idade],"Maior que 25",Folha8_Table1[actividade],"Educadores formados em DPI")</f>
        <v>0</v>
      </c>
      <c r="S70" s="311">
        <f>SUM(L70:R70)</f>
        <v>0</v>
      </c>
      <c r="T70" s="312">
        <f>SUM(E70:K70)</f>
        <v>0</v>
      </c>
      <c r="U70" s="313">
        <f>SUM(S70:T70)</f>
        <v>0</v>
      </c>
    </row>
    <row r="71" spans="2:21" s="44" customFormat="1" ht="79.5" customHeight="1" x14ac:dyDescent="0.45">
      <c r="B71" s="437"/>
      <c r="C71" s="445" t="s">
        <v>290</v>
      </c>
      <c r="D71" s="446"/>
      <c r="E71" s="79">
        <f>COUNTIFS(Folha8_Table1[sexo],"F",Folha8_Table1[idade],"Menor que 1",Folha8_Table1[actividade],"Criancas em centros infantis (orfanatos, escolinhas e centros infantis)")</f>
        <v>0</v>
      </c>
      <c r="F71" s="80">
        <f>COUNTIFS(Folha8_Table1[sexo],"F",Folha8_Table1[idade],"1-4",Folha8_Table1[actividade],"Criancas em centros infantis (orfanatos, escolinhas e centros infantis)")</f>
        <v>0</v>
      </c>
      <c r="G71" s="81">
        <f>COUNTIFS(Folha8_Table1[sexo],"F",Folha8_Table1[idade],"5-9",Folha8_Table1[actividade],"Criancas em centros infantis (orfanatos, escolinhas e centros infantis)")</f>
        <v>0</v>
      </c>
      <c r="H71" s="82">
        <f>COUNTIFS(Folha8_Table1[sexo],"F",Folha8_Table1[idade],"10-14",Folha8_Table1[actividade],"Criancas em centros infantis (orfanatos, escolinhas e centros infantis)")</f>
        <v>0</v>
      </c>
      <c r="I71" s="83">
        <f>COUNTIFS(Folha8_Table1[sexo],"F",Folha8_Table1[idade],"15-17",Folha8_Table1[actividade],"Criancas em centros infantis (orfanatos, escolinhas e centros infantis)")</f>
        <v>0</v>
      </c>
      <c r="J71" s="82">
        <f>COUNTIFS(Folha8_Table1[sexo],"F",Folha8_Table1[idade],"18-24",Folha8_Table1[actividade],"Criancas em centros infantis (orfanatos, escolinhas e centros infantis)")</f>
        <v>0</v>
      </c>
      <c r="K71" s="262">
        <f>COUNTIFS(Folha8_Table1[sexo],"F",Folha8_Table1[idade],"Maior que 25",Folha8_Table1[actividade],"Criancas em centros infantis (orfanatos, escolinhas e centros infantis)")</f>
        <v>0</v>
      </c>
      <c r="L71" s="322">
        <f>COUNTIFS(Folha8_Table1[sexo],"M",Folha8_Table1[idade],"Menor que 1",Folha8_Table1[actividade],"Criancas em centros infantis (orfanatos, escolinhas e centros infantis)")</f>
        <v>0</v>
      </c>
      <c r="M71" s="81">
        <f>COUNTIFS(Folha8_Table1[sexo],"M",Folha8_Table1[idade],"1-4",Folha8_Table1[actividade],"Criancas em centros infantis (orfanatos, escolinhas e centros infantis)")</f>
        <v>0</v>
      </c>
      <c r="N71" s="80">
        <f>COUNTIFS(Folha8_Table1[sexo],"M",Folha8_Table1[idade],"5-9",Folha8_Table1[actividade],"Criancas em centros infantis (orfanatos, escolinhas e centros infantis)")</f>
        <v>0</v>
      </c>
      <c r="O71" s="81">
        <f>COUNTIFS(Folha8_Table1[sexo],"M",Folha8_Table1[idade],"10-14",Folha8_Table1[actividade],"Criancas em centros infantis (orfanatos, escolinhas e centros infantis)")</f>
        <v>0</v>
      </c>
      <c r="P71" s="82">
        <f>COUNTIFS(Folha8_Table1[sexo],"M",Folha8_Table1[idade],"15-17",Folha8_Table1[actividade],"Criancas em centros infantis (orfanatos, escolinhas e centros infantis)")</f>
        <v>0</v>
      </c>
      <c r="Q71" s="83">
        <f>COUNTIFS(Folha8_Table1[sexo],"M",Folha8_Table1[idade],"18-24",Folha8_Table1[actividade],"Criancas em centros infantis (orfanatos, escolinhas e centros infantis)")</f>
        <v>0</v>
      </c>
      <c r="R71" s="86">
        <f>COUNTIFS(Folha8_Table1[sexo],"M",Folha8_Table1[idade],"Maior que 25",Folha8_Table1[actividade],"Criancas em centros infantis (orfanatos, escolinhas e centros infantis)")</f>
        <v>0</v>
      </c>
      <c r="S71" s="139">
        <f t="shared" ref="S71" si="15">SUM(E71:K71)</f>
        <v>0</v>
      </c>
      <c r="T71" s="185">
        <f t="shared" ref="T71" si="16">SUM(L71:R71)</f>
        <v>0</v>
      </c>
      <c r="U71" s="87">
        <f>SUM(S71:T71)</f>
        <v>0</v>
      </c>
    </row>
    <row r="72" spans="2:21" s="44" customFormat="1" ht="79.5" customHeight="1" thickBot="1" x14ac:dyDescent="0.5">
      <c r="B72" s="438"/>
      <c r="C72" s="441" t="s">
        <v>268</v>
      </c>
      <c r="D72" s="448"/>
      <c r="E72" s="59">
        <f>COUNTIFS(Folha8_Table1[sexo],"F",Folha8_Table1[idade],"Menor que 1",Folha8_Table1[actividade],"beneficiarios Apoiados atraves de Apoio Legal")</f>
        <v>0</v>
      </c>
      <c r="F72" s="64">
        <f>COUNTIFS(Folha8_Table1[sexo],"F",Folha8_Table1[idade],"1-4",Folha8_Table1[actividade],"beneficiarios Apoiados atraves de Apoio Legal")</f>
        <v>0</v>
      </c>
      <c r="G72" s="61">
        <f>COUNTIFS(Folha8_Table1[sexo],"F",Folha8_Table1[idade],"5-9",Folha8_Table1[actividade],"beneficiarios Apoiados atraves de Apoio Legal")</f>
        <v>0</v>
      </c>
      <c r="H72" s="323">
        <f>COUNTIFS(Folha8_Table1[sexo],"F",Folha8_Table1[idade],"10-14",Folha8_Table1[actividade],"beneficiarios Apoiados atraves de Apoio Legal")</f>
        <v>0</v>
      </c>
      <c r="I72" s="324">
        <f>COUNTIFS(Folha8_Table1[sexo],"F",Folha8_Table1[idade],"15-17",Folha8_Table1[actividade],"beneficiarios Apoiados atraves de Apoio Legal")</f>
        <v>0</v>
      </c>
      <c r="J72" s="62">
        <f>COUNTIFS(Folha8_Table1[sexo],"F",Folha8_Table1[idade],"18-24",Folha8_Table1[actividade],"beneficiarios Apoiados atraves de Apoio Legal")</f>
        <v>0</v>
      </c>
      <c r="K72" s="324">
        <f>COUNTIFS(Folha8_Table1[sexo],"F",Folha8_Table1[idade],"Maior que 25",Folha8_Table1[actividade],"beneficiarios Apoiados atraves de Apoio Legal")</f>
        <v>0</v>
      </c>
      <c r="L72" s="325">
        <f>COUNTIFS(Folha8_Table1[sexo],"M",Folha8_Table1[idade],"Menor que 1",Folha8_Table1[actividade],"beneficiarios Apoiados atraves de Apoio Legal")</f>
        <v>0</v>
      </c>
      <c r="M72" s="61">
        <f>COUNTIFS(Folha8_Table1[sexo],"M",Folha8_Table1[idade],"1-4",Folha8_Table1[actividade],"beneficiarios Apoiados atraves de Apoio Legal")</f>
        <v>0</v>
      </c>
      <c r="N72" s="60">
        <f>COUNTIFS(Folha8_Table1[sexo],"M",Folha8_Table1[idade],"5-9",Folha8_Table1[actividade],"beneficiarios Apoiados atraves de Apoio Legal")</f>
        <v>0</v>
      </c>
      <c r="O72" s="61">
        <f>COUNTIFS(Folha8_Table1[sexo],"M",Folha8_Table1[idade],"10-14",Folha8_Table1[actividade],"beneficiarios Apoiados atraves de Apoio Legal")</f>
        <v>0</v>
      </c>
      <c r="P72" s="323">
        <f>COUNTIFS(Folha8_Table1[sexo],"M",Folha8_Table1[idade],"15-17",Folha8_Table1[actividade],"beneficiarios Apoiados atraves de Apoio Legal")</f>
        <v>0</v>
      </c>
      <c r="Q72" s="324">
        <f>COUNTIFS(Folha8_Table1[sexo],"M",Folha8_Table1[idade],"18-24",Folha8_Table1[actividade],"beneficiarios Apoiados atraves de Apoio Legal")</f>
        <v>0</v>
      </c>
      <c r="R72" s="65">
        <f>COUNTIFS(Folha8_Table1[sexo],"M",Folha8_Table1[idade],"Maior que 25",Folha8_Table1[actividade],"beneficiarios Apoiados atraves de Apoio Legal")</f>
        <v>0</v>
      </c>
      <c r="S72" s="326">
        <f>SUM(L72:R72)</f>
        <v>0</v>
      </c>
      <c r="T72" s="327">
        <f>SUM(E72:K72)</f>
        <v>0</v>
      </c>
      <c r="U72" s="328">
        <f>SUM(S72:T72)</f>
        <v>0</v>
      </c>
    </row>
    <row r="73" spans="2:21" s="17" customFormat="1" ht="62.45" customHeight="1" thickTop="1" x14ac:dyDescent="0.65">
      <c r="B73" s="413" t="s">
        <v>201</v>
      </c>
      <c r="C73" s="413" t="s">
        <v>202</v>
      </c>
      <c r="D73" s="415"/>
      <c r="E73" s="217"/>
      <c r="F73" s="218"/>
      <c r="G73" s="218"/>
      <c r="H73" s="218" t="s">
        <v>203</v>
      </c>
      <c r="I73" s="218"/>
      <c r="J73" s="218"/>
      <c r="K73" s="218"/>
      <c r="L73" s="219"/>
      <c r="M73" s="220"/>
      <c r="N73" s="220"/>
      <c r="O73" s="221" t="s">
        <v>204</v>
      </c>
      <c r="P73" s="220"/>
      <c r="Q73" s="220"/>
      <c r="R73" s="222"/>
      <c r="S73" s="418" t="s">
        <v>205</v>
      </c>
      <c r="T73" s="419"/>
      <c r="U73" s="420" t="s">
        <v>206</v>
      </c>
    </row>
    <row r="74" spans="2:21" s="17" customFormat="1" ht="62.45" customHeight="1" thickBot="1" x14ac:dyDescent="0.7">
      <c r="B74" s="414"/>
      <c r="C74" s="416"/>
      <c r="D74" s="417"/>
      <c r="E74" s="165" t="s">
        <v>207</v>
      </c>
      <c r="F74" s="166" t="s">
        <v>0</v>
      </c>
      <c r="G74" s="167" t="s">
        <v>208</v>
      </c>
      <c r="H74" s="168" t="s">
        <v>209</v>
      </c>
      <c r="I74" s="169" t="s">
        <v>210</v>
      </c>
      <c r="J74" s="166" t="s">
        <v>211</v>
      </c>
      <c r="K74" s="170" t="s">
        <v>212</v>
      </c>
      <c r="L74" s="171" t="s">
        <v>207</v>
      </c>
      <c r="M74" s="172" t="s">
        <v>0</v>
      </c>
      <c r="N74" s="173" t="s">
        <v>208</v>
      </c>
      <c r="O74" s="172" t="s">
        <v>209</v>
      </c>
      <c r="P74" s="173" t="s">
        <v>210</v>
      </c>
      <c r="Q74" s="172" t="s">
        <v>211</v>
      </c>
      <c r="R74" s="174" t="s">
        <v>212</v>
      </c>
      <c r="S74" s="329" t="s">
        <v>269</v>
      </c>
      <c r="T74" s="223" t="s">
        <v>270</v>
      </c>
      <c r="U74" s="421"/>
    </row>
    <row r="75" spans="2:21" s="17" customFormat="1" ht="62.45" customHeight="1" thickTop="1" thickBot="1" x14ac:dyDescent="0.7">
      <c r="B75" s="422" t="s">
        <v>271</v>
      </c>
      <c r="C75" s="330"/>
      <c r="D75" s="331"/>
      <c r="E75" s="332"/>
      <c r="F75" s="332"/>
      <c r="G75" s="332"/>
      <c r="H75" s="332"/>
      <c r="I75" s="332"/>
      <c r="J75" s="333" t="s">
        <v>272</v>
      </c>
      <c r="K75" s="332"/>
      <c r="L75" s="334"/>
      <c r="M75" s="335"/>
      <c r="N75" s="332"/>
      <c r="O75" s="332"/>
      <c r="P75" s="332"/>
      <c r="Q75" s="332"/>
      <c r="R75" s="332"/>
      <c r="S75" s="336"/>
      <c r="T75" s="331"/>
      <c r="U75" s="337"/>
    </row>
    <row r="76" spans="2:21" s="44" customFormat="1" ht="71.25" customHeight="1" thickTop="1" x14ac:dyDescent="0.45">
      <c r="B76" s="423"/>
      <c r="C76" s="403" t="s">
        <v>273</v>
      </c>
      <c r="D76" s="405">
        <f>SUMIF(Folha8_Table1[actividade],"Grupos de poupanca (VSLAs) criadas",Folha8_Table1[numero])</f>
        <v>17</v>
      </c>
      <c r="E76" s="388"/>
      <c r="F76" s="389"/>
      <c r="G76" s="390"/>
      <c r="H76" s="391"/>
      <c r="I76" s="392"/>
      <c r="J76" s="393"/>
      <c r="K76" s="392"/>
      <c r="L76" s="394"/>
      <c r="M76" s="390"/>
      <c r="N76" s="395"/>
      <c r="O76" s="390"/>
      <c r="P76" s="391"/>
      <c r="Q76" s="392"/>
      <c r="R76" s="396"/>
      <c r="S76" s="397"/>
      <c r="T76" s="398"/>
      <c r="U76" s="399"/>
    </row>
    <row r="77" spans="2:21" s="44" customFormat="1" ht="66.75" customHeight="1" thickBot="1" x14ac:dyDescent="0.5">
      <c r="B77" s="423"/>
      <c r="C77" s="404" t="s">
        <v>274</v>
      </c>
      <c r="D77" s="406">
        <f>SUMIF(Folha8_Table1[actividade],"Grupos de emponderamento (YES CLUBs) criadas",Folha8_Table1[numero])</f>
        <v>23</v>
      </c>
      <c r="E77" s="388"/>
      <c r="F77" s="389"/>
      <c r="G77" s="390"/>
      <c r="H77" s="391"/>
      <c r="I77" s="392"/>
      <c r="J77" s="393"/>
      <c r="K77" s="392"/>
      <c r="L77" s="394"/>
      <c r="M77" s="390"/>
      <c r="N77" s="395"/>
      <c r="O77" s="390"/>
      <c r="P77" s="391"/>
      <c r="Q77" s="392"/>
      <c r="R77" s="396"/>
      <c r="S77" s="397"/>
      <c r="T77" s="398"/>
      <c r="U77" s="399"/>
    </row>
    <row r="78" spans="2:21" s="120" customFormat="1" ht="66.75" customHeight="1" x14ac:dyDescent="0.45">
      <c r="B78" s="423"/>
      <c r="C78" s="425" t="s">
        <v>275</v>
      </c>
      <c r="D78" s="426"/>
      <c r="E78" s="338">
        <f>COUNTIFS(Folha8_Table1[sexo],"F",Folha8_Table1[idade],"Menor que 1",Folha8_Table1[actividade],"Covs que participaram nas sessoes de educacao Vocacional (Culinaria, VSLA, actividade agricola etc)")</f>
        <v>0</v>
      </c>
      <c r="F78" s="149">
        <f>COUNTIFS(Folha8_Table1[sexo],"F",Folha8_Table1[idade],"1-4",Folha8_Table1[actividade],"Covs que participaram nas sessoes de educacao Vocacional (Culinaria, VSLA, actividade agricola etc)")</f>
        <v>0</v>
      </c>
      <c r="G78" s="148">
        <f>COUNTIFS(Folha8_Table1[sexo],"F",Folha8_Table1[idade],"5-9",Folha8_Table1[actividade],"Covs que participaram nas sessoes de educacao Vocacional (Culinaria, VSLA, actividade agricola etc)")</f>
        <v>0</v>
      </c>
      <c r="H78" s="339">
        <f>COUNTIFS(Folha8_Table1[sexo],"F",Folha8_Table1[idade],"10-14",Folha8_Table1[actividade],"Covs que participaram nas sessoes de educacao Vocacional (Culinaria, VSLA, actividade agricola etc)")</f>
        <v>0</v>
      </c>
      <c r="I78" s="338">
        <f>COUNTIFS(Folha8_Table1[sexo],"F",Folha8_Table1[idade],"15-17",Folha8_Table1[actividade],"Covs que participaram nas sessoes de educacao Vocacional (Culinaria, VSLA, actividade agricola etc)")</f>
        <v>0</v>
      </c>
      <c r="J78" s="149">
        <f>COUNTIFS(Folha8_Table1[sexo],"F",Folha8_Table1[idade],"18-24",Folha8_Table1[actividade],"Covs que participaram nas sessoes de educacao Vocacional (Culinaria, VSLA, actividade agricola etc)")</f>
        <v>0</v>
      </c>
      <c r="K78" s="338">
        <f>COUNTIFS(Folha8_Table1[sexo],"F",Folha8_Table1[idade],"Maior que 25",Folha8_Table1[actividade],"Covs que participaram nas sessoes de educacao Vocacional (Culinaria, VSLA, actividade agricola etc)")</f>
        <v>0</v>
      </c>
      <c r="L78" s="340">
        <f>COUNTIFS(Folha8_Table1[sexo],"M",Folha8_Table1[idade],"Menor que 1",Folha8_Table1[actividade],"Covs que participaram nas sessoes de educacao Vocacional (Culinaria, VSLA, actividade agricola etc)")</f>
        <v>0</v>
      </c>
      <c r="M78" s="148">
        <f>COUNTIFS(Folha8_Table1[sexo],"M",Folha8_Table1[idade],"1-4",Folha8_Table1[actividade],"Covs que participaram nas sessoes de educacao Vocacional (Culinaria, VSLA, actividade agricola etc)")</f>
        <v>0</v>
      </c>
      <c r="N78" s="149">
        <f>COUNTIFS(Folha8_Table1[sexo],"M",Folha8_Table1[idade],"5-9",Folha8_Table1[actividade],"Covs que participaram nas sessoes de educacao Vocacional (Culinaria, VSLA, actividade agricola etc)")</f>
        <v>0</v>
      </c>
      <c r="O78" s="339">
        <f>COUNTIFS(Folha8_Table1[sexo],"M",Folha8_Table1[idade],"10-14",Folha8_Table1[actividade],"Covs que participaram nas sessoes de educacao Vocacional (Culinaria, VSLA, actividade agricola etc)")</f>
        <v>0</v>
      </c>
      <c r="P78" s="339">
        <f>COUNTIFS(Folha8_Table1[sexo],"M",Folha8_Table1[idade],"15-17",Folha8_Table1[actividade],"Covs que participaram nas sessoes de educacao Vocacional (Culinaria, VSLA, actividade agricola etc)")</f>
        <v>0</v>
      </c>
      <c r="Q78" s="338">
        <f>COUNTIFS(Folha8_Table1[sexo],"M",Folha8_Table1[idade],"18-24",Folha8_Table1[actividade],"Covs que participaram nas sessoes de educacao Vocacional (Culinaria, VSLA, actividade agricola etc)")</f>
        <v>0</v>
      </c>
      <c r="R78" s="149">
        <f>COUNTIFS(Folha8_Table1[sexo],"M",Folha8_Table1[idade],"Maior que 25",Folha8_Table1[actividade],"Covs que participaram nas sessoes de educacao Vocacional (Culinaria, VSLA, actividade agricola etc)")</f>
        <v>0</v>
      </c>
      <c r="S78" s="77">
        <f>SUM(L78:R78)</f>
        <v>0</v>
      </c>
      <c r="T78" s="78">
        <f>SUM(E78:K78)</f>
        <v>0</v>
      </c>
      <c r="U78" s="341">
        <f>SUM(S78:T78)</f>
        <v>0</v>
      </c>
    </row>
    <row r="79" spans="2:21" s="120" customFormat="1" ht="66.75" customHeight="1" x14ac:dyDescent="0.45">
      <c r="B79" s="423"/>
      <c r="C79" s="427" t="s">
        <v>276</v>
      </c>
      <c r="D79" s="428"/>
      <c r="E79" s="186">
        <f>COUNTIFS(Folha8_Table1[sexo],"F",Folha8_Table1[idade],"Menor que 1",Folha8_Table1[actividade],"Membros de YES Clubes ligado a treinamento vocacional")</f>
        <v>0</v>
      </c>
      <c r="F79" s="62">
        <f>COUNTIFS(Folha8_Table1[sexo],"F",Folha8_Table1[idade],"1-4",Folha8_Table1[actividade],"Membros de YES Clubes ligado a treinamento vocacional")</f>
        <v>0</v>
      </c>
      <c r="G79" s="188">
        <f>COUNTIFS(Folha8_Table1[sexo],"F",Folha8_Table1[idade],"5-9",Folha8_Table1[actividade],"Membros de YES Clubes ligado a treinamento vocacional")</f>
        <v>0</v>
      </c>
      <c r="H79" s="189">
        <f>COUNTIFS(Folha8_Table1[sexo],"F",Folha8_Table1[idade],"10-14",Folha8_Table1[actividade],"Membros de YES Clubes ligado a treinamento vocacional")</f>
        <v>0</v>
      </c>
      <c r="I79" s="186">
        <f>COUNTIFS(Folha8_Table1[sexo],"F",Folha8_Table1[idade],"15-17",Folha8_Table1[actividade],"Membros de YES Clubes ligado a treinamento vocacional")</f>
        <v>0</v>
      </c>
      <c r="J79" s="290">
        <f>COUNTIFS(Folha8_Table1[sexo],"F",Folha8_Table1[idade],"18-24",Folha8_Table1[actividade],"Membros de YES Clubes ligado a treinamento vocacional")</f>
        <v>0</v>
      </c>
      <c r="K79" s="186">
        <f>COUNTIFS(Folha8_Table1[sexo],"F",Folha8_Table1[idade],"Maior que 25",Folha8_Table1[actividade],"Membros de YES Clubes ligado a treinamento vocacional")</f>
        <v>0</v>
      </c>
      <c r="L79" s="342">
        <f>COUNTIFS(Folha8_Table1[sexo],"M",Folha8_Table1[idade],"Menor que 1",Folha8_Table1[actividade],"Membros de YES Clubes ligado a treinamento vocacional")</f>
        <v>0</v>
      </c>
      <c r="M79" s="188">
        <f>COUNTIFS(Folha8_Table1[sexo],"M",Folha8_Table1[idade],"1-4",Folha8_Table1[actividade],"Membros de YES Clubes ligado a treinamento vocacional")</f>
        <v>0</v>
      </c>
      <c r="N79" s="290">
        <f>COUNTIFS(Folha8_Table1[sexo],"M",Folha8_Table1[idade],"5-9",Folha8_Table1[actividade],"Membros de YES Clubes ligado a treinamento vocacional")</f>
        <v>0</v>
      </c>
      <c r="O79" s="189">
        <f>COUNTIFS(Folha8_Table1[sexo],"M",Folha8_Table1[idade],"10-14",Folha8_Table1[actividade],"Membros de YES Clubes ligado a treinamento vocacional")</f>
        <v>0</v>
      </c>
      <c r="P79" s="189">
        <f>COUNTIFS(Folha8_Table1[sexo],"M",Folha8_Table1[idade],"15-17",Folha8_Table1[actividade],"Membros de YES Clubes ligado a treinamento vocacional")</f>
        <v>0</v>
      </c>
      <c r="Q79" s="186">
        <f>COUNTIFS(Folha8_Table1[sexo],"M",Folha8_Table1[idade],"18-24",Folha8_Table1[actividade],"Membros de YES Clubes ligado a treinamento vocacional")</f>
        <v>0</v>
      </c>
      <c r="R79" s="290">
        <f>COUNTIFS(Folha8_Table1[sexo],"M",Folha8_Table1[idade],"Maior que 25",Folha8_Table1[actividade],"Membros de YES Clubes ligado a treinamento vocacional")</f>
        <v>0</v>
      </c>
      <c r="S79" s="77">
        <f>SUM(L79:R79)</f>
        <v>0</v>
      </c>
      <c r="T79" s="78">
        <f>SUM(E79:K79)</f>
        <v>0</v>
      </c>
      <c r="U79" s="341">
        <f>SUM(S79:T79)</f>
        <v>0</v>
      </c>
    </row>
    <row r="80" spans="2:21" s="44" customFormat="1" ht="91.5" customHeight="1" x14ac:dyDescent="0.45">
      <c r="B80" s="423"/>
      <c r="C80" s="429" t="s">
        <v>277</v>
      </c>
      <c r="D80" s="426"/>
      <c r="E80" s="81">
        <f>COUNTIFS(Folha8_Table1[sexo],"F",Folha8_Table1[idade],"Menor que 1",Folha8_Table1[actividade],"Beneficiarios apoiados atraves de serviços de VSLA+")</f>
        <v>0</v>
      </c>
      <c r="F80" s="80">
        <f>COUNTIFS(Folha8_Table1[sexo],"F",Folha8_Table1[idade],"1-4",Folha8_Table1[actividade],"Beneficiarios apoiados atraves de serviços de VSLA+")</f>
        <v>0</v>
      </c>
      <c r="G80" s="81">
        <f>COUNTIFS(Folha8_Table1[sexo],"F",Folha8_Table1[idade],"5-9",Folha8_Table1[actividade],"Beneficiarios apoiados atraves de serviços de VSLA+")</f>
        <v>0</v>
      </c>
      <c r="H80" s="82">
        <f>COUNTIFS(Folha8_Table1[sexo],"F",Folha8_Table1[idade],"10-14",Folha8_Table1[actividade],"Beneficiarios apoiados atraves de serviços de VSLA+")</f>
        <v>0</v>
      </c>
      <c r="I80" s="83">
        <f>COUNTIFS(Folha8_Table1[sexo],"F",Folha8_Table1[idade],"15-17",Folha8_Table1[actividade],"Beneficiarios apoiados atraves de serviços de VSLA+")</f>
        <v>0</v>
      </c>
      <c r="J80" s="82">
        <f>COUNTIFS(Folha8_Table1[sexo],"F",Folha8_Table1[idade],"18-24",Folha8_Table1[actividade],"Beneficiarios apoiados atraves de serviços de VSLA+")</f>
        <v>0</v>
      </c>
      <c r="K80" s="262">
        <f>COUNTIFS(Folha8_Table1[sexo],"F",Folha8_Table1[idade],"Maior que 25",Folha8_Table1[actividade],"Beneficiarios apoiados atraves de serviços de VSLA+")</f>
        <v>0</v>
      </c>
      <c r="L80" s="322">
        <f>COUNTIFS(Folha8_Table1[sexo],"M",Folha8_Table1[idade],"Menor que 1",Folha8_Table1[actividade],"Beneficiarios apoiados atraves de serviços de VSLA+")</f>
        <v>0</v>
      </c>
      <c r="M80" s="81">
        <f>COUNTIFS(Folha8_Table1[sexo],"M",Folha8_Table1[idade],"1-4",Folha8_Table1[actividade],"Beneficiarios apoiados atraves de serviços de VSLA+")</f>
        <v>0</v>
      </c>
      <c r="N80" s="82">
        <f>COUNTIFS(Folha8_Table1[sexo],"M",Folha8_Table1[idade],"5-9",Folha8_Table1[actividade],"Beneficiarios apoiados atraves de serviços de VSLA+")</f>
        <v>0</v>
      </c>
      <c r="O80" s="83">
        <f>COUNTIFS(Folha8_Table1[sexo],"M",Folha8_Table1[idade],"10-14",Folha8_Table1[actividade],"Beneficiarios apoiados atraves de serviços de VSLA+")</f>
        <v>0</v>
      </c>
      <c r="P80" s="80">
        <f>COUNTIFS(Folha8_Table1[sexo],"M",Folha8_Table1[idade],"15-17",Folha8_Table1[actividade],"Beneficiarios apoiados atraves de serviços de VSLA+")</f>
        <v>0</v>
      </c>
      <c r="Q80" s="81">
        <f>COUNTIFS(Folha8_Table1[sexo],"M",Folha8_Table1[idade],"18-24",Folha8_Table1[actividade],"Beneficiarios apoiados atraves de serviços de VSLA+")</f>
        <v>0</v>
      </c>
      <c r="R80" s="82">
        <f>COUNTIFS(Folha8_Table1[sexo],"M",Folha8_Table1[idade],"Maior que 25",Folha8_Table1[actividade],"Beneficiarios apoiados atraves de serviços de VSLA+")</f>
        <v>0</v>
      </c>
      <c r="S80" s="77">
        <f>SUM(L80:R80)</f>
        <v>0</v>
      </c>
      <c r="T80" s="78">
        <f>SUM(E80:K80)</f>
        <v>0</v>
      </c>
      <c r="U80" s="341">
        <f>SUM(S80:T80)</f>
        <v>0</v>
      </c>
    </row>
    <row r="81" spans="2:21" s="120" customFormat="1" ht="105" customHeight="1" thickBot="1" x14ac:dyDescent="0.5">
      <c r="B81" s="424"/>
      <c r="C81" s="430" t="s">
        <v>278</v>
      </c>
      <c r="D81" s="431"/>
      <c r="E81" s="90">
        <f>COUNTIFS(Folha8_Table1[sexo],"F",Folha8_Table1[idade],"Menor que 1",Folha8_Table1[actividade],"Beneficiarios que participam nos YES Clubs (Clubes de Fortalecimento Economico para Jovens)")</f>
        <v>0</v>
      </c>
      <c r="F81" s="89">
        <f>COUNTIFS(Folha8_Table1[sexo],"F",Folha8_Table1[idade],"1-4",Folha8_Table1[actividade],"Beneficiarios que participam nos YES Clubs (Clubes de Fortalecimento Economico para Jovens)")</f>
        <v>0</v>
      </c>
      <c r="G81" s="90">
        <f>COUNTIFS(Folha8_Table1[sexo],"F",Folha8_Table1[idade],"5-9",Folha8_Table1[actividade],"Beneficiarios que participam nos YES Clubs (Clubes de Fortalecimento Economico para Jovens)")</f>
        <v>0</v>
      </c>
      <c r="H81" s="91">
        <f>COUNTIFS(Folha8_Table1[sexo],"F",Folha8_Table1[idade],"10-14",Folha8_Table1[actividade],"Beneficiarios que participam nos YES Clubs (Clubes de Fortalecimento Economico para Jovens)")</f>
        <v>0</v>
      </c>
      <c r="I81" s="92">
        <f>COUNTIFS(Folha8_Table1[sexo],"F",Folha8_Table1[idade],"15-17",Folha8_Table1[actividade],"Beneficiarios que participam nos YES Clubs (Clubes de Fortalecimento Economico para Jovens)")</f>
        <v>0</v>
      </c>
      <c r="J81" s="91">
        <f>COUNTIFS(Folha8_Table1[sexo],"F",Folha8_Table1[idade],"18-24",Folha8_Table1[actividade],"Beneficiarios que participam nos YES Clubs (Clubes de Fortalecimento Economico para Jovens)")</f>
        <v>0</v>
      </c>
      <c r="K81" s="343">
        <f>COUNTIFS(Folha8_Table1[sexo],"F",Folha8_Table1[idade],"Maior que 25",Folha8_Table1[actividade],"Beneficiarios que participam nos YES Clubs (Clubes de Fortalecimento Economico para Jovens)")</f>
        <v>0</v>
      </c>
      <c r="L81" s="344">
        <f>COUNTIFS(Folha8_Table1[sexo],"M",Folha8_Table1[idade],"Menor que 1",Folha8_Table1[actividade],"Beneficiarios que participam nos YES Clubs (Clubes de Fortalecimento Economico para Jovens)")</f>
        <v>0</v>
      </c>
      <c r="M81" s="90">
        <f>COUNTIFS(Folha8_Table1[sexo],"M",Folha8_Table1[idade],"1-4",Folha8_Table1[actividade],"Beneficiarios que participam nos YES Clubs (Clubes de Fortalecimento Economico para Jovens)")</f>
        <v>0</v>
      </c>
      <c r="N81" s="91">
        <f>COUNTIFS(Folha8_Table1[sexo],"M",Folha8_Table1[idade],"5-9",Folha8_Table1[actividade],"Beneficiarios que participam nos YES Clubs (Clubes de Fortalecimento Economico para Jovens)")</f>
        <v>0</v>
      </c>
      <c r="O81" s="92">
        <f>COUNTIFS(Folha8_Table1[sexo],"M",Folha8_Table1[idade],"10-14",Folha8_Table1[actividade],"Beneficiarios que participam nos YES Clubs (Clubes de Fortalecimento Economico para Jovens)")</f>
        <v>0</v>
      </c>
      <c r="P81" s="89">
        <f>COUNTIFS(Folha8_Table1[sexo],"M",Folha8_Table1[idade],"15-17",Folha8_Table1[actividade],"Beneficiarios que participam nos YES Clubs (Clubes de Fortalecimento Economico para Jovens)")</f>
        <v>0</v>
      </c>
      <c r="Q81" s="90">
        <f>COUNTIFS(Folha8_Table1[sexo],"M",Folha8_Table1[idade],"18-24",Folha8_Table1[actividade],"Beneficiarios que participam nos YES Clubs (Clubes de Fortalecimento Economico para Jovens)")</f>
        <v>0</v>
      </c>
      <c r="R81" s="91">
        <f>COUNTIFS(Folha8_Table1[sexo],"M",Folha8_Table1[idade],"Maior que 25",Folha8_Table1[actividade],"Beneficiarios que participam nos YES Clubs (Clubes de Fortalecimento Economico para Jovens)")</f>
        <v>0</v>
      </c>
      <c r="S81" s="345">
        <f>SUM(L81:R81)</f>
        <v>0</v>
      </c>
      <c r="T81" s="346">
        <f>SUM(E81:K81)</f>
        <v>0</v>
      </c>
      <c r="U81" s="347">
        <f>SUM(S81:T81)</f>
        <v>0</v>
      </c>
    </row>
    <row r="82" spans="2:21" x14ac:dyDescent="0.2">
      <c r="E82" s="348"/>
      <c r="F82" s="348"/>
      <c r="G82" s="349"/>
      <c r="H82" s="349"/>
      <c r="I82" s="349"/>
      <c r="J82" s="349"/>
      <c r="K82" s="349"/>
      <c r="L82" s="349"/>
      <c r="M82" s="349"/>
      <c r="N82" s="349"/>
      <c r="O82" s="349"/>
      <c r="P82" s="349"/>
      <c r="Q82" s="349"/>
      <c r="R82" s="349"/>
    </row>
    <row r="83" spans="2:21" x14ac:dyDescent="0.2">
      <c r="E83" s="348"/>
      <c r="F83" s="348"/>
      <c r="G83" s="349"/>
      <c r="H83" s="349"/>
      <c r="I83" s="349"/>
      <c r="J83" s="349"/>
      <c r="K83" s="349"/>
      <c r="L83" s="349"/>
      <c r="M83" s="349"/>
      <c r="N83" s="349"/>
      <c r="O83" s="349"/>
      <c r="P83" s="349"/>
      <c r="Q83" s="349"/>
      <c r="R83" s="349"/>
    </row>
  </sheetData>
  <mergeCells count="87">
    <mergeCell ref="U4:U5"/>
    <mergeCell ref="C12:D12"/>
    <mergeCell ref="C2:K2"/>
    <mergeCell ref="B4:B5"/>
    <mergeCell ref="C4:D5"/>
    <mergeCell ref="S4:T4"/>
    <mergeCell ref="C7:D7"/>
    <mergeCell ref="C8:D8"/>
    <mergeCell ref="C9:D9"/>
    <mergeCell ref="C10:D10"/>
    <mergeCell ref="C11:D11"/>
    <mergeCell ref="C6:D6"/>
    <mergeCell ref="B7:B12"/>
    <mergeCell ref="M2:P2"/>
    <mergeCell ref="U22:U23"/>
    <mergeCell ref="B13:B15"/>
    <mergeCell ref="C13:D13"/>
    <mergeCell ref="C14:D14"/>
    <mergeCell ref="C15:D15"/>
    <mergeCell ref="B16:B18"/>
    <mergeCell ref="C16:D16"/>
    <mergeCell ref="C17:D17"/>
    <mergeCell ref="C18:D18"/>
    <mergeCell ref="B19:B21"/>
    <mergeCell ref="C20:D20"/>
    <mergeCell ref="B22:B23"/>
    <mergeCell ref="C22:D23"/>
    <mergeCell ref="S22:T22"/>
    <mergeCell ref="C35:D35"/>
    <mergeCell ref="C36:D36"/>
    <mergeCell ref="C37:D37"/>
    <mergeCell ref="B38:B39"/>
    <mergeCell ref="C38:D39"/>
    <mergeCell ref="B24:B37"/>
    <mergeCell ref="C24:D24"/>
    <mergeCell ref="C25:D25"/>
    <mergeCell ref="C26:D26"/>
    <mergeCell ref="C28:D28"/>
    <mergeCell ref="C30:D30"/>
    <mergeCell ref="C31:D31"/>
    <mergeCell ref="C32:D32"/>
    <mergeCell ref="C33:D33"/>
    <mergeCell ref="C34:D34"/>
    <mergeCell ref="U38:U39"/>
    <mergeCell ref="B40:B45"/>
    <mergeCell ref="C41:D41"/>
    <mergeCell ref="C42:D42"/>
    <mergeCell ref="C43:D43"/>
    <mergeCell ref="C44:D44"/>
    <mergeCell ref="C45:D45"/>
    <mergeCell ref="S38:T38"/>
    <mergeCell ref="B46:B47"/>
    <mergeCell ref="C46:D47"/>
    <mergeCell ref="S46:T46"/>
    <mergeCell ref="U46:U47"/>
    <mergeCell ref="B48:B56"/>
    <mergeCell ref="C49:D49"/>
    <mergeCell ref="C50:D50"/>
    <mergeCell ref="C51:D51"/>
    <mergeCell ref="C52:D52"/>
    <mergeCell ref="C53:D53"/>
    <mergeCell ref="C54:D54"/>
    <mergeCell ref="C55:D55"/>
    <mergeCell ref="C56:D56"/>
    <mergeCell ref="B57:B58"/>
    <mergeCell ref="C57:D58"/>
    <mergeCell ref="U57:U58"/>
    <mergeCell ref="B59:B72"/>
    <mergeCell ref="C61:D61"/>
    <mergeCell ref="C62:D62"/>
    <mergeCell ref="C64:D64"/>
    <mergeCell ref="C66:D66"/>
    <mergeCell ref="C67:D67"/>
    <mergeCell ref="C68:D68"/>
    <mergeCell ref="C70:D70"/>
    <mergeCell ref="C71:D71"/>
    <mergeCell ref="S57:T57"/>
    <mergeCell ref="C72:D72"/>
    <mergeCell ref="B73:B74"/>
    <mergeCell ref="C73:D74"/>
    <mergeCell ref="S73:T73"/>
    <mergeCell ref="U73:U74"/>
    <mergeCell ref="B75:B81"/>
    <mergeCell ref="C78:D78"/>
    <mergeCell ref="C79:D79"/>
    <mergeCell ref="C80:D80"/>
    <mergeCell ref="C81:D81"/>
  </mergeCells>
  <dataValidations disablePrompts="1" count="1">
    <dataValidation allowBlank="1" showInputMessage="1" showErrorMessage="1" sqref="A1"/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0"/>
  <dimension ref="A1:W2376"/>
  <sheetViews>
    <sheetView workbookViewId="0">
      <pane ySplit="1" topLeftCell="A275" activePane="bottomLeft" state="frozenSplit"/>
      <selection pane="bottomLeft" activeCell="D19" sqref="D19"/>
    </sheetView>
  </sheetViews>
  <sheetFormatPr defaultRowHeight="15" x14ac:dyDescent="0.25"/>
  <cols>
    <col min="1" max="1" width="2.85546875" bestFit="1" customWidth="1"/>
    <col min="4" max="4" width="27.140625" customWidth="1"/>
  </cols>
  <sheetData>
    <row r="1" spans="1:23" x14ac:dyDescent="0.25">
      <c r="A1" s="411" t="s">
        <v>332</v>
      </c>
    </row>
    <row r="2" spans="1:23" x14ac:dyDescent="0.25">
      <c r="A2" t="s">
        <v>337</v>
      </c>
    </row>
    <row r="3" spans="1:23" x14ac:dyDescent="0.25">
      <c r="A3" t="s">
        <v>638</v>
      </c>
      <c r="B3" t="b">
        <v>0</v>
      </c>
      <c r="C3" t="s">
        <v>639</v>
      </c>
      <c r="D3" t="s">
        <v>632</v>
      </c>
      <c r="E3" t="s">
        <v>632</v>
      </c>
      <c r="F3" t="s">
        <v>339</v>
      </c>
    </row>
    <row r="4" spans="1:23" x14ac:dyDescent="0.25">
      <c r="A4" t="s">
        <v>340</v>
      </c>
    </row>
    <row r="5" spans="1:23" x14ac:dyDescent="0.25">
      <c r="A5" t="s">
        <v>343</v>
      </c>
    </row>
    <row r="6" spans="1:23" x14ac:dyDescent="0.25">
      <c r="A6" t="s">
        <v>344</v>
      </c>
      <c r="B6" t="s">
        <v>632</v>
      </c>
      <c r="C6" t="b">
        <v>1</v>
      </c>
      <c r="D6" t="s">
        <v>668</v>
      </c>
      <c r="E6" t="s">
        <v>346</v>
      </c>
      <c r="M6" t="s">
        <v>669</v>
      </c>
      <c r="W6" t="s">
        <v>345</v>
      </c>
    </row>
    <row r="7" spans="1:23" x14ac:dyDescent="0.25">
      <c r="A7" t="s">
        <v>349</v>
      </c>
      <c r="B7" t="s">
        <v>632</v>
      </c>
      <c r="C7" t="b">
        <v>1</v>
      </c>
      <c r="D7" t="s">
        <v>348</v>
      </c>
      <c r="E7" t="s">
        <v>346</v>
      </c>
      <c r="M7" t="s">
        <v>633</v>
      </c>
      <c r="W7" t="s">
        <v>348</v>
      </c>
    </row>
    <row r="8" spans="1:23" x14ac:dyDescent="0.25">
      <c r="A8" t="s">
        <v>352</v>
      </c>
      <c r="B8" t="s">
        <v>632</v>
      </c>
      <c r="C8" t="b">
        <v>1</v>
      </c>
      <c r="D8" t="s">
        <v>693</v>
      </c>
      <c r="E8" t="s">
        <v>346</v>
      </c>
      <c r="M8" t="s">
        <v>694</v>
      </c>
      <c r="W8" t="s">
        <v>351</v>
      </c>
    </row>
    <row r="9" spans="1:23" x14ac:dyDescent="0.25">
      <c r="A9" t="s">
        <v>353</v>
      </c>
      <c r="B9" t="s">
        <v>632</v>
      </c>
      <c r="C9" t="b">
        <v>1</v>
      </c>
      <c r="D9" t="s">
        <v>723</v>
      </c>
      <c r="E9" t="s">
        <v>346</v>
      </c>
      <c r="M9" t="s">
        <v>724</v>
      </c>
      <c r="W9" t="s">
        <v>354</v>
      </c>
    </row>
    <row r="10" spans="1:23" x14ac:dyDescent="0.25">
      <c r="A10" t="s">
        <v>355</v>
      </c>
      <c r="B10" t="s">
        <v>632</v>
      </c>
      <c r="C10" t="b">
        <v>1</v>
      </c>
      <c r="D10" t="s">
        <v>799</v>
      </c>
      <c r="E10" t="s">
        <v>346</v>
      </c>
      <c r="M10" t="s">
        <v>800</v>
      </c>
      <c r="W10" t="s">
        <v>356</v>
      </c>
    </row>
    <row r="11" spans="1:23" x14ac:dyDescent="0.25">
      <c r="A11" t="s">
        <v>357</v>
      </c>
      <c r="B11" t="s">
        <v>632</v>
      </c>
      <c r="C11" t="b">
        <v>1</v>
      </c>
      <c r="D11" t="s">
        <v>839</v>
      </c>
      <c r="E11" t="s">
        <v>346</v>
      </c>
      <c r="M11" t="s">
        <v>840</v>
      </c>
      <c r="W11" t="s">
        <v>358</v>
      </c>
    </row>
    <row r="12" spans="1:23" x14ac:dyDescent="0.25">
      <c r="A12" t="s">
        <v>427</v>
      </c>
      <c r="B12" t="s">
        <v>632</v>
      </c>
      <c r="C12" t="b">
        <v>0</v>
      </c>
      <c r="D12" t="s">
        <v>844</v>
      </c>
      <c r="E12" t="s">
        <v>381</v>
      </c>
      <c r="W12" t="s">
        <v>844</v>
      </c>
    </row>
    <row r="13" spans="1:23" x14ac:dyDescent="0.25">
      <c r="A13" t="s">
        <v>347</v>
      </c>
    </row>
    <row r="14" spans="1:23" x14ac:dyDescent="0.25">
      <c r="A14" t="s">
        <v>622</v>
      </c>
    </row>
    <row r="15" spans="1:23" x14ac:dyDescent="0.25">
      <c r="D15" t="s">
        <v>83</v>
      </c>
      <c r="E15">
        <v>1</v>
      </c>
      <c r="G15" t="b">
        <v>0</v>
      </c>
      <c r="H15" t="b">
        <v>0</v>
      </c>
      <c r="I15" t="b">
        <v>0</v>
      </c>
      <c r="J15" t="s">
        <v>333</v>
      </c>
      <c r="N15" t="b">
        <v>0</v>
      </c>
      <c r="O15" t="s">
        <v>83</v>
      </c>
    </row>
    <row r="16" spans="1:23" x14ac:dyDescent="0.25">
      <c r="D16" t="s">
        <v>105</v>
      </c>
      <c r="E16">
        <v>2</v>
      </c>
      <c r="G16" t="b">
        <v>0</v>
      </c>
      <c r="H16" t="b">
        <v>1</v>
      </c>
      <c r="I16" t="b">
        <v>0</v>
      </c>
      <c r="J16" t="s">
        <v>334</v>
      </c>
      <c r="L16">
        <v>10</v>
      </c>
      <c r="M16">
        <v>0</v>
      </c>
      <c r="N16" t="b">
        <v>1</v>
      </c>
      <c r="O16" t="s">
        <v>105</v>
      </c>
    </row>
    <row r="17" spans="1:15" x14ac:dyDescent="0.25">
      <c r="D17" t="s">
        <v>82</v>
      </c>
      <c r="E17">
        <v>3</v>
      </c>
      <c r="G17" t="b">
        <v>0</v>
      </c>
      <c r="H17" t="b">
        <v>0</v>
      </c>
      <c r="I17" t="b">
        <v>0</v>
      </c>
      <c r="J17" t="s">
        <v>334</v>
      </c>
      <c r="L17">
        <v>10</v>
      </c>
      <c r="M17">
        <v>0</v>
      </c>
      <c r="N17" t="b">
        <v>0</v>
      </c>
      <c r="O17" t="s">
        <v>82</v>
      </c>
    </row>
    <row r="18" spans="1:15" x14ac:dyDescent="0.25">
      <c r="D18" t="s">
        <v>78</v>
      </c>
      <c r="E18">
        <v>4</v>
      </c>
      <c r="G18" t="b">
        <v>0</v>
      </c>
      <c r="H18" t="b">
        <v>0</v>
      </c>
      <c r="I18" t="b">
        <v>0</v>
      </c>
      <c r="J18" t="s">
        <v>335</v>
      </c>
      <c r="K18">
        <v>45</v>
      </c>
      <c r="N18" t="b">
        <v>0</v>
      </c>
      <c r="O18" t="s">
        <v>78</v>
      </c>
    </row>
    <row r="19" spans="1:15" x14ac:dyDescent="0.25">
      <c r="D19" t="s">
        <v>75</v>
      </c>
      <c r="E19">
        <v>5</v>
      </c>
      <c r="G19" t="b">
        <v>0</v>
      </c>
      <c r="H19" t="b">
        <v>0</v>
      </c>
      <c r="I19" t="b">
        <v>0</v>
      </c>
      <c r="J19" t="s">
        <v>334</v>
      </c>
      <c r="L19">
        <v>10</v>
      </c>
      <c r="M19">
        <v>0</v>
      </c>
      <c r="N19" t="b">
        <v>0</v>
      </c>
      <c r="O19" t="s">
        <v>75</v>
      </c>
    </row>
    <row r="20" spans="1:15" x14ac:dyDescent="0.25">
      <c r="D20" t="s">
        <v>104</v>
      </c>
      <c r="E20">
        <v>6</v>
      </c>
      <c r="G20" t="b">
        <v>0</v>
      </c>
      <c r="H20" t="b">
        <v>0</v>
      </c>
      <c r="I20" t="b">
        <v>0</v>
      </c>
      <c r="J20" t="s">
        <v>335</v>
      </c>
      <c r="K20">
        <v>45</v>
      </c>
      <c r="N20" t="b">
        <v>0</v>
      </c>
      <c r="O20" t="s">
        <v>104</v>
      </c>
    </row>
    <row r="21" spans="1:15" x14ac:dyDescent="0.25">
      <c r="D21" t="s">
        <v>76</v>
      </c>
      <c r="E21">
        <v>7</v>
      </c>
      <c r="G21" t="b">
        <v>0</v>
      </c>
      <c r="H21" t="b">
        <v>0</v>
      </c>
      <c r="I21" t="b">
        <v>0</v>
      </c>
      <c r="J21" t="s">
        <v>350</v>
      </c>
      <c r="K21">
        <v>1</v>
      </c>
      <c r="N21" t="b">
        <v>0</v>
      </c>
      <c r="O21" t="s">
        <v>76</v>
      </c>
    </row>
    <row r="22" spans="1:15" x14ac:dyDescent="0.25">
      <c r="D22" t="s">
        <v>33</v>
      </c>
      <c r="E22">
        <v>8</v>
      </c>
      <c r="G22" t="b">
        <v>0</v>
      </c>
      <c r="H22" t="b">
        <v>0</v>
      </c>
      <c r="I22" t="b">
        <v>0</v>
      </c>
      <c r="J22" t="s">
        <v>335</v>
      </c>
      <c r="K22">
        <v>45</v>
      </c>
      <c r="N22" t="b">
        <v>0</v>
      </c>
      <c r="O22" t="s">
        <v>33</v>
      </c>
    </row>
    <row r="23" spans="1:15" x14ac:dyDescent="0.25">
      <c r="D23" t="s">
        <v>103</v>
      </c>
      <c r="E23">
        <v>9</v>
      </c>
      <c r="G23" t="b">
        <v>0</v>
      </c>
      <c r="H23" t="b">
        <v>0</v>
      </c>
      <c r="I23" t="b">
        <v>0</v>
      </c>
      <c r="J23" t="s">
        <v>335</v>
      </c>
      <c r="K23">
        <v>45</v>
      </c>
      <c r="N23" t="b">
        <v>0</v>
      </c>
      <c r="O23" t="s">
        <v>103</v>
      </c>
    </row>
    <row r="24" spans="1:15" x14ac:dyDescent="0.25">
      <c r="D24" t="s">
        <v>102</v>
      </c>
      <c r="E24">
        <v>10</v>
      </c>
      <c r="G24" t="b">
        <v>0</v>
      </c>
      <c r="H24" t="b">
        <v>0</v>
      </c>
      <c r="I24" t="b">
        <v>0</v>
      </c>
      <c r="J24" t="s">
        <v>335</v>
      </c>
      <c r="K24">
        <v>45</v>
      </c>
      <c r="N24" t="b">
        <v>0</v>
      </c>
      <c r="O24" t="s">
        <v>102</v>
      </c>
    </row>
    <row r="25" spans="1:15" x14ac:dyDescent="0.25">
      <c r="D25" t="s">
        <v>101</v>
      </c>
      <c r="E25">
        <v>11</v>
      </c>
      <c r="G25" t="b">
        <v>0</v>
      </c>
      <c r="H25" t="b">
        <v>0</v>
      </c>
      <c r="I25" t="b">
        <v>0</v>
      </c>
      <c r="J25" t="s">
        <v>333</v>
      </c>
      <c r="N25" t="b">
        <v>0</v>
      </c>
      <c r="O25" t="s">
        <v>101</v>
      </c>
    </row>
    <row r="26" spans="1:15" x14ac:dyDescent="0.25">
      <c r="D26" t="s">
        <v>100</v>
      </c>
      <c r="E26">
        <v>12</v>
      </c>
      <c r="G26" t="b">
        <v>0</v>
      </c>
      <c r="H26" t="b">
        <v>0</v>
      </c>
      <c r="I26" t="b">
        <v>0</v>
      </c>
      <c r="J26" t="s">
        <v>335</v>
      </c>
      <c r="K26">
        <v>45</v>
      </c>
      <c r="N26" t="b">
        <v>0</v>
      </c>
      <c r="O26" t="s">
        <v>100</v>
      </c>
    </row>
    <row r="27" spans="1:15" x14ac:dyDescent="0.25">
      <c r="D27" t="s">
        <v>99</v>
      </c>
      <c r="E27">
        <v>13</v>
      </c>
      <c r="G27" t="b">
        <v>0</v>
      </c>
      <c r="H27" t="b">
        <v>0</v>
      </c>
      <c r="I27" t="b">
        <v>0</v>
      </c>
      <c r="J27" t="s">
        <v>333</v>
      </c>
      <c r="N27" t="b">
        <v>0</v>
      </c>
      <c r="O27" t="s">
        <v>99</v>
      </c>
    </row>
    <row r="28" spans="1:15" x14ac:dyDescent="0.25">
      <c r="D28" t="s">
        <v>98</v>
      </c>
      <c r="E28">
        <v>14</v>
      </c>
      <c r="G28" t="b">
        <v>0</v>
      </c>
      <c r="H28" t="b">
        <v>0</v>
      </c>
      <c r="I28" t="b">
        <v>0</v>
      </c>
      <c r="J28" t="s">
        <v>335</v>
      </c>
      <c r="K28">
        <v>45</v>
      </c>
      <c r="N28" t="b">
        <v>0</v>
      </c>
      <c r="O28" t="s">
        <v>98</v>
      </c>
    </row>
    <row r="29" spans="1:15" x14ac:dyDescent="0.25">
      <c r="D29" t="s">
        <v>41</v>
      </c>
      <c r="E29">
        <v>15</v>
      </c>
      <c r="G29" t="b">
        <v>0</v>
      </c>
      <c r="H29" t="b">
        <v>0</v>
      </c>
      <c r="I29" t="b">
        <v>0</v>
      </c>
      <c r="J29" t="s">
        <v>335</v>
      </c>
      <c r="K29">
        <v>45</v>
      </c>
      <c r="N29" t="b">
        <v>0</v>
      </c>
      <c r="O29" t="s">
        <v>41</v>
      </c>
    </row>
    <row r="30" spans="1:15" x14ac:dyDescent="0.25">
      <c r="D30" t="s">
        <v>97</v>
      </c>
      <c r="E30">
        <v>16</v>
      </c>
      <c r="G30" t="b">
        <v>0</v>
      </c>
      <c r="H30" t="b">
        <v>0</v>
      </c>
      <c r="I30" t="b">
        <v>0</v>
      </c>
      <c r="J30" t="s">
        <v>335</v>
      </c>
      <c r="K30">
        <v>45</v>
      </c>
      <c r="N30" t="b">
        <v>0</v>
      </c>
      <c r="O30" t="s">
        <v>97</v>
      </c>
    </row>
    <row r="31" spans="1:15" x14ac:dyDescent="0.25">
      <c r="D31" t="s">
        <v>96</v>
      </c>
      <c r="E31">
        <v>17</v>
      </c>
      <c r="G31" t="b">
        <v>0</v>
      </c>
      <c r="H31" t="b">
        <v>0</v>
      </c>
      <c r="I31" t="b">
        <v>0</v>
      </c>
      <c r="J31" t="s">
        <v>335</v>
      </c>
      <c r="K31">
        <v>45</v>
      </c>
      <c r="N31" t="b">
        <v>0</v>
      </c>
      <c r="O31" t="s">
        <v>96</v>
      </c>
    </row>
    <row r="32" spans="1:15" x14ac:dyDescent="0.25">
      <c r="A32" t="s">
        <v>623</v>
      </c>
    </row>
    <row r="33" spans="1:15" x14ac:dyDescent="0.25">
      <c r="A33" t="s">
        <v>624</v>
      </c>
    </row>
    <row r="34" spans="1:15" x14ac:dyDescent="0.25">
      <c r="D34" t="s">
        <v>83</v>
      </c>
      <c r="E34">
        <v>1</v>
      </c>
      <c r="G34" t="b">
        <v>0</v>
      </c>
      <c r="H34" t="b">
        <v>0</v>
      </c>
      <c r="I34" t="b">
        <v>0</v>
      </c>
      <c r="J34" t="s">
        <v>333</v>
      </c>
      <c r="N34" t="b">
        <v>0</v>
      </c>
      <c r="O34" t="s">
        <v>83</v>
      </c>
    </row>
    <row r="35" spans="1:15" x14ac:dyDescent="0.25">
      <c r="D35" t="s">
        <v>123</v>
      </c>
      <c r="E35">
        <v>2</v>
      </c>
      <c r="G35" t="b">
        <v>1</v>
      </c>
      <c r="H35" t="b">
        <v>0</v>
      </c>
      <c r="I35" t="b">
        <v>0</v>
      </c>
      <c r="J35" t="s">
        <v>333</v>
      </c>
      <c r="N35" t="b">
        <v>0</v>
      </c>
      <c r="O35" t="s">
        <v>123</v>
      </c>
    </row>
    <row r="36" spans="1:15" x14ac:dyDescent="0.25">
      <c r="D36" t="s">
        <v>122</v>
      </c>
      <c r="E36">
        <v>3</v>
      </c>
      <c r="G36" t="b">
        <v>0</v>
      </c>
      <c r="H36" t="b">
        <v>1</v>
      </c>
      <c r="I36" t="b">
        <v>0</v>
      </c>
      <c r="J36" t="s">
        <v>334</v>
      </c>
      <c r="L36">
        <v>10</v>
      </c>
      <c r="M36">
        <v>0</v>
      </c>
      <c r="N36" t="b">
        <v>1</v>
      </c>
      <c r="O36" t="s">
        <v>122</v>
      </c>
    </row>
    <row r="37" spans="1:15" x14ac:dyDescent="0.25">
      <c r="D37" t="s">
        <v>82</v>
      </c>
      <c r="E37">
        <v>4</v>
      </c>
      <c r="G37" t="b">
        <v>0</v>
      </c>
      <c r="H37" t="b">
        <v>0</v>
      </c>
      <c r="I37" t="b">
        <v>0</v>
      </c>
      <c r="J37" t="s">
        <v>334</v>
      </c>
      <c r="L37">
        <v>10</v>
      </c>
      <c r="M37">
        <v>0</v>
      </c>
      <c r="N37" t="b">
        <v>0</v>
      </c>
      <c r="O37" t="s">
        <v>82</v>
      </c>
    </row>
    <row r="38" spans="1:15" x14ac:dyDescent="0.25">
      <c r="D38" t="s">
        <v>71</v>
      </c>
      <c r="E38">
        <v>5</v>
      </c>
      <c r="G38" t="b">
        <v>0</v>
      </c>
      <c r="H38" t="b">
        <v>0</v>
      </c>
      <c r="I38" t="b">
        <v>0</v>
      </c>
      <c r="J38" t="s">
        <v>335</v>
      </c>
      <c r="K38">
        <v>45</v>
      </c>
      <c r="N38" t="b">
        <v>0</v>
      </c>
      <c r="O38" t="s">
        <v>71</v>
      </c>
    </row>
    <row r="39" spans="1:15" x14ac:dyDescent="0.25">
      <c r="D39" t="s">
        <v>70</v>
      </c>
      <c r="E39">
        <v>6</v>
      </c>
      <c r="G39" t="b">
        <v>0</v>
      </c>
      <c r="H39" t="b">
        <v>0</v>
      </c>
      <c r="I39" t="b">
        <v>0</v>
      </c>
      <c r="J39" t="s">
        <v>335</v>
      </c>
      <c r="K39">
        <v>45</v>
      </c>
      <c r="N39" t="b">
        <v>0</v>
      </c>
      <c r="O39" t="s">
        <v>70</v>
      </c>
    </row>
    <row r="40" spans="1:15" x14ac:dyDescent="0.25">
      <c r="D40" t="s">
        <v>68</v>
      </c>
      <c r="E40">
        <v>7</v>
      </c>
      <c r="G40" t="b">
        <v>0</v>
      </c>
      <c r="H40" t="b">
        <v>0</v>
      </c>
      <c r="I40" t="b">
        <v>0</v>
      </c>
      <c r="J40" t="s">
        <v>335</v>
      </c>
      <c r="K40">
        <v>45</v>
      </c>
      <c r="N40" t="b">
        <v>0</v>
      </c>
      <c r="O40" t="s">
        <v>68</v>
      </c>
    </row>
    <row r="41" spans="1:15" x14ac:dyDescent="0.25">
      <c r="D41" t="s">
        <v>67</v>
      </c>
      <c r="E41">
        <v>8</v>
      </c>
      <c r="G41" t="b">
        <v>0</v>
      </c>
      <c r="H41" t="b">
        <v>0</v>
      </c>
      <c r="I41" t="b">
        <v>0</v>
      </c>
      <c r="J41" t="s">
        <v>335</v>
      </c>
      <c r="K41">
        <v>45</v>
      </c>
      <c r="N41" t="b">
        <v>0</v>
      </c>
      <c r="O41" t="s">
        <v>67</v>
      </c>
    </row>
    <row r="42" spans="1:15" x14ac:dyDescent="0.25">
      <c r="D42" t="s">
        <v>36</v>
      </c>
      <c r="E42">
        <v>9</v>
      </c>
      <c r="G42" t="b">
        <v>0</v>
      </c>
      <c r="H42" t="b">
        <v>0</v>
      </c>
      <c r="I42" t="b">
        <v>0</v>
      </c>
      <c r="J42" t="s">
        <v>333</v>
      </c>
      <c r="N42" t="b">
        <v>0</v>
      </c>
      <c r="O42" t="s">
        <v>36</v>
      </c>
    </row>
    <row r="43" spans="1:15" x14ac:dyDescent="0.25">
      <c r="D43" t="s">
        <v>121</v>
      </c>
      <c r="E43">
        <v>10</v>
      </c>
      <c r="G43" t="b">
        <v>0</v>
      </c>
      <c r="H43" t="b">
        <v>0</v>
      </c>
      <c r="I43" t="b">
        <v>0</v>
      </c>
      <c r="J43" t="s">
        <v>335</v>
      </c>
      <c r="K43">
        <v>45</v>
      </c>
      <c r="N43" t="b">
        <v>0</v>
      </c>
      <c r="O43" t="s">
        <v>121</v>
      </c>
    </row>
    <row r="44" spans="1:15" x14ac:dyDescent="0.25">
      <c r="D44" t="s">
        <v>120</v>
      </c>
      <c r="E44">
        <v>11</v>
      </c>
      <c r="G44" t="b">
        <v>0</v>
      </c>
      <c r="H44" t="b">
        <v>0</v>
      </c>
      <c r="I44" t="b">
        <v>0</v>
      </c>
      <c r="J44" t="s">
        <v>335</v>
      </c>
      <c r="K44">
        <v>45</v>
      </c>
      <c r="N44" t="b">
        <v>0</v>
      </c>
      <c r="O44" t="s">
        <v>120</v>
      </c>
    </row>
    <row r="45" spans="1:15" x14ac:dyDescent="0.25">
      <c r="D45" t="s">
        <v>78</v>
      </c>
      <c r="E45">
        <v>12</v>
      </c>
      <c r="G45" t="b">
        <v>0</v>
      </c>
      <c r="H45" t="b">
        <v>0</v>
      </c>
      <c r="I45" t="b">
        <v>0</v>
      </c>
      <c r="J45" t="s">
        <v>335</v>
      </c>
      <c r="K45">
        <v>45</v>
      </c>
      <c r="N45" t="b">
        <v>0</v>
      </c>
      <c r="O45" t="s">
        <v>78</v>
      </c>
    </row>
    <row r="46" spans="1:15" x14ac:dyDescent="0.25">
      <c r="D46" t="s">
        <v>119</v>
      </c>
      <c r="E46">
        <v>13</v>
      </c>
      <c r="G46" t="b">
        <v>0</v>
      </c>
      <c r="H46" t="b">
        <v>0</v>
      </c>
      <c r="I46" t="b">
        <v>0</v>
      </c>
      <c r="J46" t="s">
        <v>350</v>
      </c>
      <c r="K46">
        <v>13</v>
      </c>
      <c r="N46" t="b">
        <v>0</v>
      </c>
      <c r="O46" t="s">
        <v>119</v>
      </c>
    </row>
    <row r="47" spans="1:15" x14ac:dyDescent="0.25">
      <c r="D47" t="s">
        <v>118</v>
      </c>
      <c r="E47">
        <v>14</v>
      </c>
      <c r="G47" t="b">
        <v>0</v>
      </c>
      <c r="H47" t="b">
        <v>0</v>
      </c>
      <c r="I47" t="b">
        <v>0</v>
      </c>
      <c r="J47" t="s">
        <v>335</v>
      </c>
      <c r="K47">
        <v>45</v>
      </c>
      <c r="N47" t="b">
        <v>0</v>
      </c>
      <c r="O47" t="s">
        <v>118</v>
      </c>
    </row>
    <row r="48" spans="1:15" x14ac:dyDescent="0.25">
      <c r="D48" t="s">
        <v>75</v>
      </c>
      <c r="E48">
        <v>15</v>
      </c>
      <c r="G48" t="b">
        <v>0</v>
      </c>
      <c r="H48" t="b">
        <v>0</v>
      </c>
      <c r="I48" t="b">
        <v>0</v>
      </c>
      <c r="J48" t="s">
        <v>334</v>
      </c>
      <c r="L48">
        <v>10</v>
      </c>
      <c r="M48">
        <v>0</v>
      </c>
      <c r="N48" t="b">
        <v>0</v>
      </c>
      <c r="O48" t="s">
        <v>75</v>
      </c>
    </row>
    <row r="49" spans="1:15" x14ac:dyDescent="0.25">
      <c r="D49" t="s">
        <v>76</v>
      </c>
      <c r="E49">
        <v>16</v>
      </c>
      <c r="G49" t="b">
        <v>0</v>
      </c>
      <c r="H49" t="b">
        <v>0</v>
      </c>
      <c r="I49" t="b">
        <v>0</v>
      </c>
      <c r="J49" t="s">
        <v>350</v>
      </c>
      <c r="K49">
        <v>1</v>
      </c>
      <c r="N49" t="b">
        <v>0</v>
      </c>
      <c r="O49" t="s">
        <v>76</v>
      </c>
    </row>
    <row r="50" spans="1:15" x14ac:dyDescent="0.25">
      <c r="D50" t="s">
        <v>117</v>
      </c>
      <c r="E50">
        <v>17</v>
      </c>
      <c r="G50" t="b">
        <v>0</v>
      </c>
      <c r="H50" t="b">
        <v>0</v>
      </c>
      <c r="I50" t="b">
        <v>0</v>
      </c>
      <c r="J50" t="s">
        <v>350</v>
      </c>
      <c r="K50">
        <v>1</v>
      </c>
      <c r="N50" t="b">
        <v>0</v>
      </c>
      <c r="O50" t="s">
        <v>117</v>
      </c>
    </row>
    <row r="51" spans="1:15" x14ac:dyDescent="0.25">
      <c r="D51" t="s">
        <v>116</v>
      </c>
      <c r="E51">
        <v>18</v>
      </c>
      <c r="G51" t="b">
        <v>0</v>
      </c>
      <c r="H51" t="b">
        <v>0</v>
      </c>
      <c r="I51" t="b">
        <v>0</v>
      </c>
      <c r="J51" t="s">
        <v>350</v>
      </c>
      <c r="K51">
        <v>1</v>
      </c>
      <c r="N51" t="b">
        <v>0</v>
      </c>
      <c r="O51" t="s">
        <v>116</v>
      </c>
    </row>
    <row r="52" spans="1:15" x14ac:dyDescent="0.25">
      <c r="D52" t="s">
        <v>115</v>
      </c>
      <c r="E52">
        <v>19</v>
      </c>
      <c r="G52" t="b">
        <v>0</v>
      </c>
      <c r="H52" t="b">
        <v>0</v>
      </c>
      <c r="I52" t="b">
        <v>0</v>
      </c>
      <c r="J52" t="s">
        <v>350</v>
      </c>
      <c r="K52">
        <v>1</v>
      </c>
      <c r="N52" t="b">
        <v>0</v>
      </c>
      <c r="O52" t="s">
        <v>115</v>
      </c>
    </row>
    <row r="53" spans="1:15" x14ac:dyDescent="0.25">
      <c r="D53" t="s">
        <v>114</v>
      </c>
      <c r="E53">
        <v>20</v>
      </c>
      <c r="G53" t="b">
        <v>0</v>
      </c>
      <c r="H53" t="b">
        <v>0</v>
      </c>
      <c r="I53" t="b">
        <v>0</v>
      </c>
      <c r="J53" t="s">
        <v>350</v>
      </c>
      <c r="K53">
        <v>1</v>
      </c>
      <c r="N53" t="b">
        <v>0</v>
      </c>
      <c r="O53" t="s">
        <v>114</v>
      </c>
    </row>
    <row r="54" spans="1:15" x14ac:dyDescent="0.25">
      <c r="D54" t="s">
        <v>113</v>
      </c>
      <c r="E54">
        <v>21</v>
      </c>
      <c r="G54" t="b">
        <v>0</v>
      </c>
      <c r="H54" t="b">
        <v>0</v>
      </c>
      <c r="I54" t="b">
        <v>0</v>
      </c>
      <c r="J54" t="s">
        <v>350</v>
      </c>
      <c r="K54">
        <v>1</v>
      </c>
      <c r="N54" t="b">
        <v>0</v>
      </c>
      <c r="O54" t="s">
        <v>113</v>
      </c>
    </row>
    <row r="55" spans="1:15" x14ac:dyDescent="0.25">
      <c r="D55" t="s">
        <v>112</v>
      </c>
      <c r="E55">
        <v>22</v>
      </c>
      <c r="G55" t="b">
        <v>0</v>
      </c>
      <c r="H55" t="b">
        <v>0</v>
      </c>
      <c r="I55" t="b">
        <v>0</v>
      </c>
      <c r="J55" t="s">
        <v>350</v>
      </c>
      <c r="K55">
        <v>1</v>
      </c>
      <c r="N55" t="b">
        <v>0</v>
      </c>
      <c r="O55" t="s">
        <v>112</v>
      </c>
    </row>
    <row r="56" spans="1:15" x14ac:dyDescent="0.25">
      <c r="D56" t="s">
        <v>111</v>
      </c>
      <c r="E56">
        <v>23</v>
      </c>
      <c r="G56" t="b">
        <v>0</v>
      </c>
      <c r="H56" t="b">
        <v>0</v>
      </c>
      <c r="I56" t="b">
        <v>0</v>
      </c>
      <c r="J56" t="s">
        <v>350</v>
      </c>
      <c r="K56">
        <v>1</v>
      </c>
      <c r="N56" t="b">
        <v>0</v>
      </c>
      <c r="O56" t="s">
        <v>111</v>
      </c>
    </row>
    <row r="57" spans="1:15" x14ac:dyDescent="0.25">
      <c r="D57" t="s">
        <v>101</v>
      </c>
      <c r="E57">
        <v>24</v>
      </c>
      <c r="G57" t="b">
        <v>0</v>
      </c>
      <c r="H57" t="b">
        <v>0</v>
      </c>
      <c r="I57" t="b">
        <v>0</v>
      </c>
      <c r="J57" t="s">
        <v>333</v>
      </c>
      <c r="N57" t="b">
        <v>0</v>
      </c>
      <c r="O57" t="s">
        <v>101</v>
      </c>
    </row>
    <row r="58" spans="1:15" x14ac:dyDescent="0.25">
      <c r="D58" t="s">
        <v>96</v>
      </c>
      <c r="E58">
        <v>25</v>
      </c>
      <c r="G58" t="b">
        <v>1</v>
      </c>
      <c r="H58" t="b">
        <v>0</v>
      </c>
      <c r="I58" t="b">
        <v>0</v>
      </c>
      <c r="J58" t="s">
        <v>335</v>
      </c>
      <c r="K58">
        <v>255</v>
      </c>
      <c r="N58" t="b">
        <v>0</v>
      </c>
      <c r="O58" t="s">
        <v>96</v>
      </c>
    </row>
    <row r="59" spans="1:15" x14ac:dyDescent="0.25">
      <c r="A59" t="s">
        <v>625</v>
      </c>
    </row>
    <row r="60" spans="1:15" x14ac:dyDescent="0.25">
      <c r="A60" t="s">
        <v>626</v>
      </c>
    </row>
    <row r="61" spans="1:15" x14ac:dyDescent="0.25">
      <c r="D61" t="s">
        <v>83</v>
      </c>
      <c r="E61">
        <v>1</v>
      </c>
      <c r="G61" t="b">
        <v>0</v>
      </c>
      <c r="H61" t="b">
        <v>0</v>
      </c>
      <c r="I61" t="b">
        <v>0</v>
      </c>
      <c r="J61" t="s">
        <v>333</v>
      </c>
      <c r="N61" t="b">
        <v>0</v>
      </c>
      <c r="O61" t="s">
        <v>83</v>
      </c>
    </row>
    <row r="62" spans="1:15" x14ac:dyDescent="0.25">
      <c r="D62" t="s">
        <v>200</v>
      </c>
      <c r="E62">
        <v>2</v>
      </c>
      <c r="G62" t="b">
        <v>0</v>
      </c>
      <c r="H62" t="b">
        <v>1</v>
      </c>
      <c r="I62" t="b">
        <v>0</v>
      </c>
      <c r="J62" t="s">
        <v>334</v>
      </c>
      <c r="L62">
        <v>10</v>
      </c>
      <c r="M62">
        <v>0</v>
      </c>
      <c r="N62" t="b">
        <v>1</v>
      </c>
      <c r="O62" t="s">
        <v>200</v>
      </c>
    </row>
    <row r="63" spans="1:15" x14ac:dyDescent="0.25">
      <c r="D63" t="s">
        <v>82</v>
      </c>
      <c r="E63">
        <v>3</v>
      </c>
      <c r="G63" t="b">
        <v>0</v>
      </c>
      <c r="H63" t="b">
        <v>0</v>
      </c>
      <c r="I63" t="b">
        <v>0</v>
      </c>
      <c r="J63" t="s">
        <v>334</v>
      </c>
      <c r="L63">
        <v>10</v>
      </c>
      <c r="M63">
        <v>0</v>
      </c>
      <c r="N63" t="b">
        <v>0</v>
      </c>
      <c r="O63" t="s">
        <v>82</v>
      </c>
    </row>
    <row r="64" spans="1:15" x14ac:dyDescent="0.25">
      <c r="D64" t="s">
        <v>78</v>
      </c>
      <c r="E64">
        <v>4</v>
      </c>
      <c r="G64" t="b">
        <v>0</v>
      </c>
      <c r="H64" t="b">
        <v>0</v>
      </c>
      <c r="I64" t="b">
        <v>0</v>
      </c>
      <c r="J64" t="s">
        <v>335</v>
      </c>
      <c r="K64">
        <v>45</v>
      </c>
      <c r="N64" t="b">
        <v>0</v>
      </c>
      <c r="O64" t="s">
        <v>78</v>
      </c>
    </row>
    <row r="65" spans="4:15" x14ac:dyDescent="0.25">
      <c r="D65" t="s">
        <v>75</v>
      </c>
      <c r="E65">
        <v>5</v>
      </c>
      <c r="G65" t="b">
        <v>0</v>
      </c>
      <c r="H65" t="b">
        <v>0</v>
      </c>
      <c r="I65" t="b">
        <v>0</v>
      </c>
      <c r="J65" t="s">
        <v>334</v>
      </c>
      <c r="L65">
        <v>10</v>
      </c>
      <c r="M65">
        <v>0</v>
      </c>
      <c r="N65" t="b">
        <v>0</v>
      </c>
      <c r="O65" t="s">
        <v>75</v>
      </c>
    </row>
    <row r="66" spans="4:15" x14ac:dyDescent="0.25">
      <c r="D66" t="s">
        <v>199</v>
      </c>
      <c r="E66">
        <v>6</v>
      </c>
      <c r="G66" t="b">
        <v>0</v>
      </c>
      <c r="H66" t="b">
        <v>0</v>
      </c>
      <c r="I66" t="b">
        <v>0</v>
      </c>
      <c r="J66" t="s">
        <v>335</v>
      </c>
      <c r="K66">
        <v>45</v>
      </c>
      <c r="N66" t="b">
        <v>0</v>
      </c>
      <c r="O66" t="s">
        <v>199</v>
      </c>
    </row>
    <row r="67" spans="4:15" x14ac:dyDescent="0.25">
      <c r="D67" t="s">
        <v>198</v>
      </c>
      <c r="E67">
        <v>7</v>
      </c>
      <c r="G67" t="b">
        <v>0</v>
      </c>
      <c r="H67" t="b">
        <v>0</v>
      </c>
      <c r="I67" t="b">
        <v>0</v>
      </c>
      <c r="J67" t="s">
        <v>335</v>
      </c>
      <c r="K67">
        <v>45</v>
      </c>
      <c r="N67" t="b">
        <v>0</v>
      </c>
      <c r="O67" t="s">
        <v>198</v>
      </c>
    </row>
    <row r="68" spans="4:15" x14ac:dyDescent="0.25">
      <c r="D68" t="s">
        <v>76</v>
      </c>
      <c r="E68">
        <v>8</v>
      </c>
      <c r="G68" t="b">
        <v>0</v>
      </c>
      <c r="H68" t="b">
        <v>0</v>
      </c>
      <c r="I68" t="b">
        <v>0</v>
      </c>
      <c r="J68" t="s">
        <v>350</v>
      </c>
      <c r="K68">
        <v>1</v>
      </c>
      <c r="N68" t="b">
        <v>0</v>
      </c>
      <c r="O68" t="s">
        <v>76</v>
      </c>
    </row>
    <row r="69" spans="4:15" x14ac:dyDescent="0.25">
      <c r="D69" t="s">
        <v>71</v>
      </c>
      <c r="E69">
        <v>9</v>
      </c>
      <c r="G69" t="b">
        <v>0</v>
      </c>
      <c r="H69" t="b">
        <v>0</v>
      </c>
      <c r="I69" t="b">
        <v>0</v>
      </c>
      <c r="J69" t="s">
        <v>335</v>
      </c>
      <c r="K69">
        <v>45</v>
      </c>
      <c r="N69" t="b">
        <v>0</v>
      </c>
      <c r="O69" t="s">
        <v>71</v>
      </c>
    </row>
    <row r="70" spans="4:15" x14ac:dyDescent="0.25">
      <c r="D70" t="s">
        <v>197</v>
      </c>
      <c r="E70">
        <v>10</v>
      </c>
      <c r="G70" t="b">
        <v>0</v>
      </c>
      <c r="H70" t="b">
        <v>0</v>
      </c>
      <c r="I70" t="b">
        <v>0</v>
      </c>
      <c r="J70" t="s">
        <v>335</v>
      </c>
      <c r="K70">
        <v>45</v>
      </c>
      <c r="N70" t="b">
        <v>0</v>
      </c>
      <c r="O70" t="s">
        <v>197</v>
      </c>
    </row>
    <row r="71" spans="4:15" x14ac:dyDescent="0.25">
      <c r="D71" t="s">
        <v>196</v>
      </c>
      <c r="E71">
        <v>11</v>
      </c>
      <c r="G71" t="b">
        <v>0</v>
      </c>
      <c r="H71" t="b">
        <v>0</v>
      </c>
      <c r="I71" t="b">
        <v>0</v>
      </c>
      <c r="J71" t="s">
        <v>335</v>
      </c>
      <c r="K71">
        <v>45</v>
      </c>
      <c r="N71" t="b">
        <v>0</v>
      </c>
      <c r="O71" t="s">
        <v>196</v>
      </c>
    </row>
    <row r="72" spans="4:15" x14ac:dyDescent="0.25">
      <c r="D72" t="s">
        <v>195</v>
      </c>
      <c r="E72">
        <v>12</v>
      </c>
      <c r="G72" t="b">
        <v>0</v>
      </c>
      <c r="H72" t="b">
        <v>0</v>
      </c>
      <c r="I72" t="b">
        <v>0</v>
      </c>
      <c r="J72" t="s">
        <v>335</v>
      </c>
      <c r="K72">
        <v>45</v>
      </c>
      <c r="N72" t="b">
        <v>0</v>
      </c>
      <c r="O72" t="s">
        <v>195</v>
      </c>
    </row>
    <row r="73" spans="4:15" x14ac:dyDescent="0.25">
      <c r="D73" t="s">
        <v>70</v>
      </c>
      <c r="E73">
        <v>13</v>
      </c>
      <c r="G73" t="b">
        <v>0</v>
      </c>
      <c r="H73" t="b">
        <v>0</v>
      </c>
      <c r="I73" t="b">
        <v>0</v>
      </c>
      <c r="J73" t="s">
        <v>335</v>
      </c>
      <c r="K73">
        <v>45</v>
      </c>
      <c r="N73" t="b">
        <v>0</v>
      </c>
      <c r="O73" t="s">
        <v>70</v>
      </c>
    </row>
    <row r="74" spans="4:15" x14ac:dyDescent="0.25">
      <c r="D74" t="s">
        <v>194</v>
      </c>
      <c r="E74">
        <v>14</v>
      </c>
      <c r="G74" t="b">
        <v>0</v>
      </c>
      <c r="H74" t="b">
        <v>0</v>
      </c>
      <c r="I74" t="b">
        <v>0</v>
      </c>
      <c r="J74" t="s">
        <v>350</v>
      </c>
      <c r="K74">
        <v>12</v>
      </c>
      <c r="N74" t="b">
        <v>0</v>
      </c>
      <c r="O74" t="s">
        <v>194</v>
      </c>
    </row>
    <row r="75" spans="4:15" x14ac:dyDescent="0.25">
      <c r="D75" t="s">
        <v>193</v>
      </c>
      <c r="E75">
        <v>15</v>
      </c>
      <c r="G75" t="b">
        <v>0</v>
      </c>
      <c r="H75" t="b">
        <v>0</v>
      </c>
      <c r="I75" t="b">
        <v>0</v>
      </c>
      <c r="J75" t="s">
        <v>350</v>
      </c>
      <c r="K75">
        <v>3</v>
      </c>
      <c r="N75" t="b">
        <v>0</v>
      </c>
      <c r="O75" t="s">
        <v>193</v>
      </c>
    </row>
    <row r="76" spans="4:15" x14ac:dyDescent="0.25">
      <c r="D76" t="s">
        <v>192</v>
      </c>
      <c r="E76">
        <v>16</v>
      </c>
      <c r="G76" t="b">
        <v>0</v>
      </c>
      <c r="H76" t="b">
        <v>0</v>
      </c>
      <c r="I76" t="b">
        <v>0</v>
      </c>
      <c r="J76" t="s">
        <v>350</v>
      </c>
      <c r="K76">
        <v>5</v>
      </c>
      <c r="N76" t="b">
        <v>0</v>
      </c>
      <c r="O76" t="s">
        <v>192</v>
      </c>
    </row>
    <row r="77" spans="4:15" x14ac:dyDescent="0.25">
      <c r="D77" t="s">
        <v>191</v>
      </c>
      <c r="E77">
        <v>17</v>
      </c>
      <c r="G77" t="b">
        <v>0</v>
      </c>
      <c r="H77" t="b">
        <v>0</v>
      </c>
      <c r="I77" t="b">
        <v>0</v>
      </c>
      <c r="J77" t="s">
        <v>350</v>
      </c>
      <c r="K77">
        <v>13</v>
      </c>
      <c r="N77" t="b">
        <v>0</v>
      </c>
      <c r="O77" t="s">
        <v>191</v>
      </c>
    </row>
    <row r="78" spans="4:15" x14ac:dyDescent="0.25">
      <c r="D78" t="s">
        <v>190</v>
      </c>
      <c r="E78">
        <v>18</v>
      </c>
      <c r="G78" t="b">
        <v>0</v>
      </c>
      <c r="H78" t="b">
        <v>0</v>
      </c>
      <c r="I78" t="b">
        <v>0</v>
      </c>
      <c r="J78" t="s">
        <v>350</v>
      </c>
      <c r="K78">
        <v>13</v>
      </c>
      <c r="N78" t="b">
        <v>0</v>
      </c>
      <c r="O78" t="s">
        <v>190</v>
      </c>
    </row>
    <row r="79" spans="4:15" x14ac:dyDescent="0.25">
      <c r="D79" t="s">
        <v>189</v>
      </c>
      <c r="E79">
        <v>19</v>
      </c>
      <c r="G79" t="b">
        <v>0</v>
      </c>
      <c r="H79" t="b">
        <v>0</v>
      </c>
      <c r="I79" t="b">
        <v>0</v>
      </c>
      <c r="J79" t="s">
        <v>350</v>
      </c>
      <c r="K79">
        <v>13</v>
      </c>
      <c r="N79" t="b">
        <v>0</v>
      </c>
      <c r="O79" t="s">
        <v>189</v>
      </c>
    </row>
    <row r="80" spans="4:15" x14ac:dyDescent="0.25">
      <c r="D80" t="s">
        <v>188</v>
      </c>
      <c r="E80">
        <v>20</v>
      </c>
      <c r="G80" t="b">
        <v>0</v>
      </c>
      <c r="H80" t="b">
        <v>0</v>
      </c>
      <c r="I80" t="b">
        <v>0</v>
      </c>
      <c r="J80" t="s">
        <v>350</v>
      </c>
      <c r="K80">
        <v>13</v>
      </c>
      <c r="N80" t="b">
        <v>0</v>
      </c>
      <c r="O80" t="s">
        <v>188</v>
      </c>
    </row>
    <row r="81" spans="4:15" x14ac:dyDescent="0.25">
      <c r="D81" t="s">
        <v>187</v>
      </c>
      <c r="E81">
        <v>21</v>
      </c>
      <c r="G81" t="b">
        <v>0</v>
      </c>
      <c r="H81" t="b">
        <v>0</v>
      </c>
      <c r="I81" t="b">
        <v>0</v>
      </c>
      <c r="J81" t="s">
        <v>350</v>
      </c>
      <c r="K81">
        <v>13</v>
      </c>
      <c r="N81" t="b">
        <v>0</v>
      </c>
      <c r="O81" t="s">
        <v>187</v>
      </c>
    </row>
    <row r="82" spans="4:15" x14ac:dyDescent="0.25">
      <c r="D82" t="s">
        <v>186</v>
      </c>
      <c r="E82">
        <v>22</v>
      </c>
      <c r="G82" t="b">
        <v>0</v>
      </c>
      <c r="H82" t="b">
        <v>0</v>
      </c>
      <c r="I82" t="b">
        <v>0</v>
      </c>
      <c r="J82" t="s">
        <v>350</v>
      </c>
      <c r="K82">
        <v>13</v>
      </c>
      <c r="N82" t="b">
        <v>0</v>
      </c>
      <c r="O82" t="s">
        <v>186</v>
      </c>
    </row>
    <row r="83" spans="4:15" x14ac:dyDescent="0.25">
      <c r="D83" t="s">
        <v>185</v>
      </c>
      <c r="E83">
        <v>23</v>
      </c>
      <c r="G83" t="b">
        <v>0</v>
      </c>
      <c r="H83" t="b">
        <v>0</v>
      </c>
      <c r="I83" t="b">
        <v>0</v>
      </c>
      <c r="J83" t="s">
        <v>350</v>
      </c>
      <c r="K83">
        <v>13</v>
      </c>
      <c r="N83" t="b">
        <v>0</v>
      </c>
      <c r="O83" t="s">
        <v>185</v>
      </c>
    </row>
    <row r="84" spans="4:15" x14ac:dyDescent="0.25">
      <c r="D84" t="s">
        <v>184</v>
      </c>
      <c r="E84">
        <v>24</v>
      </c>
      <c r="G84" t="b">
        <v>0</v>
      </c>
      <c r="H84" t="b">
        <v>0</v>
      </c>
      <c r="I84" t="b">
        <v>0</v>
      </c>
      <c r="J84" t="s">
        <v>350</v>
      </c>
      <c r="K84">
        <v>13</v>
      </c>
      <c r="N84" t="b">
        <v>0</v>
      </c>
      <c r="O84" t="s">
        <v>184</v>
      </c>
    </row>
    <row r="85" spans="4:15" x14ac:dyDescent="0.25">
      <c r="D85" t="s">
        <v>183</v>
      </c>
      <c r="E85">
        <v>25</v>
      </c>
      <c r="G85" t="b">
        <v>0</v>
      </c>
      <c r="H85" t="b">
        <v>0</v>
      </c>
      <c r="I85" t="b">
        <v>0</v>
      </c>
      <c r="J85" t="s">
        <v>350</v>
      </c>
      <c r="K85">
        <v>13</v>
      </c>
      <c r="N85" t="b">
        <v>0</v>
      </c>
      <c r="O85" t="s">
        <v>183</v>
      </c>
    </row>
    <row r="86" spans="4:15" x14ac:dyDescent="0.25">
      <c r="D86" t="s">
        <v>182</v>
      </c>
      <c r="E86">
        <v>26</v>
      </c>
      <c r="G86" t="b">
        <v>0</v>
      </c>
      <c r="H86" t="b">
        <v>0</v>
      </c>
      <c r="I86" t="b">
        <v>0</v>
      </c>
      <c r="J86" t="s">
        <v>350</v>
      </c>
      <c r="K86">
        <v>13</v>
      </c>
      <c r="N86" t="b">
        <v>0</v>
      </c>
      <c r="O86" t="s">
        <v>182</v>
      </c>
    </row>
    <row r="87" spans="4:15" x14ac:dyDescent="0.25">
      <c r="D87" t="s">
        <v>181</v>
      </c>
      <c r="E87">
        <v>27</v>
      </c>
      <c r="G87" t="b">
        <v>0</v>
      </c>
      <c r="H87" t="b">
        <v>0</v>
      </c>
      <c r="I87" t="b">
        <v>0</v>
      </c>
      <c r="J87" t="s">
        <v>350</v>
      </c>
      <c r="K87">
        <v>13</v>
      </c>
      <c r="N87" t="b">
        <v>0</v>
      </c>
      <c r="O87" t="s">
        <v>181</v>
      </c>
    </row>
    <row r="88" spans="4:15" x14ac:dyDescent="0.25">
      <c r="D88" t="s">
        <v>180</v>
      </c>
      <c r="E88">
        <v>28</v>
      </c>
      <c r="G88" t="b">
        <v>0</v>
      </c>
      <c r="H88" t="b">
        <v>0</v>
      </c>
      <c r="I88" t="b">
        <v>0</v>
      </c>
      <c r="J88" t="s">
        <v>350</v>
      </c>
      <c r="K88">
        <v>13</v>
      </c>
      <c r="N88" t="b">
        <v>0</v>
      </c>
      <c r="O88" t="s">
        <v>180</v>
      </c>
    </row>
    <row r="89" spans="4:15" x14ac:dyDescent="0.25">
      <c r="D89" t="s">
        <v>179</v>
      </c>
      <c r="E89">
        <v>29</v>
      </c>
      <c r="G89" t="b">
        <v>0</v>
      </c>
      <c r="H89" t="b">
        <v>0</v>
      </c>
      <c r="I89" t="b">
        <v>0</v>
      </c>
      <c r="J89" t="s">
        <v>350</v>
      </c>
      <c r="K89">
        <v>13</v>
      </c>
      <c r="N89" t="b">
        <v>0</v>
      </c>
      <c r="O89" t="s">
        <v>179</v>
      </c>
    </row>
    <row r="90" spans="4:15" x14ac:dyDescent="0.25">
      <c r="D90" t="s">
        <v>178</v>
      </c>
      <c r="E90">
        <v>30</v>
      </c>
      <c r="G90" t="b">
        <v>0</v>
      </c>
      <c r="H90" t="b">
        <v>0</v>
      </c>
      <c r="I90" t="b">
        <v>0</v>
      </c>
      <c r="J90" t="s">
        <v>350</v>
      </c>
      <c r="K90">
        <v>13</v>
      </c>
      <c r="N90" t="b">
        <v>0</v>
      </c>
      <c r="O90" t="s">
        <v>178</v>
      </c>
    </row>
    <row r="91" spans="4:15" x14ac:dyDescent="0.25">
      <c r="D91" t="s">
        <v>177</v>
      </c>
      <c r="E91">
        <v>31</v>
      </c>
      <c r="G91" t="b">
        <v>0</v>
      </c>
      <c r="H91" t="b">
        <v>0</v>
      </c>
      <c r="I91" t="b">
        <v>0</v>
      </c>
      <c r="J91" t="s">
        <v>350</v>
      </c>
      <c r="K91">
        <v>13</v>
      </c>
      <c r="N91" t="b">
        <v>0</v>
      </c>
      <c r="O91" t="s">
        <v>177</v>
      </c>
    </row>
    <row r="92" spans="4:15" x14ac:dyDescent="0.25">
      <c r="D92" t="s">
        <v>176</v>
      </c>
      <c r="E92">
        <v>32</v>
      </c>
      <c r="G92" t="b">
        <v>0</v>
      </c>
      <c r="H92" t="b">
        <v>0</v>
      </c>
      <c r="I92" t="b">
        <v>0</v>
      </c>
      <c r="J92" t="s">
        <v>350</v>
      </c>
      <c r="K92">
        <v>13</v>
      </c>
      <c r="N92" t="b">
        <v>0</v>
      </c>
      <c r="O92" t="s">
        <v>176</v>
      </c>
    </row>
    <row r="93" spans="4:15" x14ac:dyDescent="0.25">
      <c r="D93" t="s">
        <v>175</v>
      </c>
      <c r="E93">
        <v>33</v>
      </c>
      <c r="G93" t="b">
        <v>0</v>
      </c>
      <c r="H93" t="b">
        <v>0</v>
      </c>
      <c r="I93" t="b">
        <v>0</v>
      </c>
      <c r="J93" t="s">
        <v>350</v>
      </c>
      <c r="K93">
        <v>13</v>
      </c>
      <c r="N93" t="b">
        <v>0</v>
      </c>
      <c r="O93" t="s">
        <v>175</v>
      </c>
    </row>
    <row r="94" spans="4:15" x14ac:dyDescent="0.25">
      <c r="D94" t="s">
        <v>174</v>
      </c>
      <c r="E94">
        <v>34</v>
      </c>
      <c r="G94" t="b">
        <v>0</v>
      </c>
      <c r="H94" t="b">
        <v>0</v>
      </c>
      <c r="I94" t="b">
        <v>0</v>
      </c>
      <c r="J94" t="s">
        <v>350</v>
      </c>
      <c r="K94">
        <v>13</v>
      </c>
      <c r="N94" t="b">
        <v>0</v>
      </c>
      <c r="O94" t="s">
        <v>174</v>
      </c>
    </row>
    <row r="95" spans="4:15" x14ac:dyDescent="0.25">
      <c r="D95" t="s">
        <v>173</v>
      </c>
      <c r="E95">
        <v>35</v>
      </c>
      <c r="G95" t="b">
        <v>0</v>
      </c>
      <c r="H95" t="b">
        <v>0</v>
      </c>
      <c r="I95" t="b">
        <v>0</v>
      </c>
      <c r="J95" t="s">
        <v>350</v>
      </c>
      <c r="K95">
        <v>13</v>
      </c>
      <c r="N95" t="b">
        <v>0</v>
      </c>
      <c r="O95" t="s">
        <v>173</v>
      </c>
    </row>
    <row r="96" spans="4:15" x14ac:dyDescent="0.25">
      <c r="D96" t="s">
        <v>172</v>
      </c>
      <c r="E96">
        <v>36</v>
      </c>
      <c r="G96" t="b">
        <v>0</v>
      </c>
      <c r="H96" t="b">
        <v>0</v>
      </c>
      <c r="I96" t="b">
        <v>0</v>
      </c>
      <c r="J96" t="s">
        <v>350</v>
      </c>
      <c r="K96">
        <v>13</v>
      </c>
      <c r="N96" t="b">
        <v>0</v>
      </c>
      <c r="O96" t="s">
        <v>172</v>
      </c>
    </row>
    <row r="97" spans="4:15" x14ac:dyDescent="0.25">
      <c r="D97" t="s">
        <v>171</v>
      </c>
      <c r="E97">
        <v>37</v>
      </c>
      <c r="G97" t="b">
        <v>0</v>
      </c>
      <c r="H97" t="b">
        <v>0</v>
      </c>
      <c r="I97" t="b">
        <v>0</v>
      </c>
      <c r="J97" t="s">
        <v>350</v>
      </c>
      <c r="K97">
        <v>13</v>
      </c>
      <c r="N97" t="b">
        <v>0</v>
      </c>
      <c r="O97" t="s">
        <v>171</v>
      </c>
    </row>
    <row r="98" spans="4:15" x14ac:dyDescent="0.25">
      <c r="D98" t="s">
        <v>170</v>
      </c>
      <c r="E98">
        <v>38</v>
      </c>
      <c r="G98" t="b">
        <v>0</v>
      </c>
      <c r="H98" t="b">
        <v>0</v>
      </c>
      <c r="I98" t="b">
        <v>0</v>
      </c>
      <c r="J98" t="s">
        <v>350</v>
      </c>
      <c r="K98">
        <v>13</v>
      </c>
      <c r="N98" t="b">
        <v>0</v>
      </c>
      <c r="O98" t="s">
        <v>170</v>
      </c>
    </row>
    <row r="99" spans="4:15" x14ac:dyDescent="0.25">
      <c r="D99" t="s">
        <v>169</v>
      </c>
      <c r="E99">
        <v>39</v>
      </c>
      <c r="G99" t="b">
        <v>0</v>
      </c>
      <c r="H99" t="b">
        <v>0</v>
      </c>
      <c r="I99" t="b">
        <v>0</v>
      </c>
      <c r="J99" t="s">
        <v>350</v>
      </c>
      <c r="K99">
        <v>13</v>
      </c>
      <c r="N99" t="b">
        <v>0</v>
      </c>
      <c r="O99" t="s">
        <v>169</v>
      </c>
    </row>
    <row r="100" spans="4:15" x14ac:dyDescent="0.25">
      <c r="D100" t="s">
        <v>168</v>
      </c>
      <c r="E100">
        <v>40</v>
      </c>
      <c r="G100" t="b">
        <v>0</v>
      </c>
      <c r="H100" t="b">
        <v>0</v>
      </c>
      <c r="I100" t="b">
        <v>0</v>
      </c>
      <c r="J100" t="s">
        <v>350</v>
      </c>
      <c r="K100">
        <v>13</v>
      </c>
      <c r="N100" t="b">
        <v>0</v>
      </c>
      <c r="O100" t="s">
        <v>168</v>
      </c>
    </row>
    <row r="101" spans="4:15" x14ac:dyDescent="0.25">
      <c r="D101" t="s">
        <v>167</v>
      </c>
      <c r="E101">
        <v>41</v>
      </c>
      <c r="G101" t="b">
        <v>0</v>
      </c>
      <c r="H101" t="b">
        <v>0</v>
      </c>
      <c r="I101" t="b">
        <v>0</v>
      </c>
      <c r="J101" t="s">
        <v>350</v>
      </c>
      <c r="K101">
        <v>13</v>
      </c>
      <c r="N101" t="b">
        <v>0</v>
      </c>
      <c r="O101" t="s">
        <v>167</v>
      </c>
    </row>
    <row r="102" spans="4:15" x14ac:dyDescent="0.25">
      <c r="D102" t="s">
        <v>166</v>
      </c>
      <c r="E102">
        <v>42</v>
      </c>
      <c r="G102" t="b">
        <v>0</v>
      </c>
      <c r="H102" t="b">
        <v>0</v>
      </c>
      <c r="I102" t="b">
        <v>0</v>
      </c>
      <c r="J102" t="s">
        <v>350</v>
      </c>
      <c r="K102">
        <v>13</v>
      </c>
      <c r="N102" t="b">
        <v>0</v>
      </c>
      <c r="O102" t="s">
        <v>166</v>
      </c>
    </row>
    <row r="103" spans="4:15" x14ac:dyDescent="0.25">
      <c r="D103" t="s">
        <v>165</v>
      </c>
      <c r="E103">
        <v>43</v>
      </c>
      <c r="G103" t="b">
        <v>0</v>
      </c>
      <c r="H103" t="b">
        <v>0</v>
      </c>
      <c r="I103" t="b">
        <v>0</v>
      </c>
      <c r="J103" t="s">
        <v>350</v>
      </c>
      <c r="K103">
        <v>13</v>
      </c>
      <c r="N103" t="b">
        <v>0</v>
      </c>
      <c r="O103" t="s">
        <v>165</v>
      </c>
    </row>
    <row r="104" spans="4:15" x14ac:dyDescent="0.25">
      <c r="D104" t="s">
        <v>164</v>
      </c>
      <c r="E104">
        <v>44</v>
      </c>
      <c r="G104" t="b">
        <v>0</v>
      </c>
      <c r="H104" t="b">
        <v>0</v>
      </c>
      <c r="I104" t="b">
        <v>0</v>
      </c>
      <c r="J104" t="s">
        <v>350</v>
      </c>
      <c r="K104">
        <v>13</v>
      </c>
      <c r="N104" t="b">
        <v>0</v>
      </c>
      <c r="O104" t="s">
        <v>164</v>
      </c>
    </row>
    <row r="105" spans="4:15" x14ac:dyDescent="0.25">
      <c r="D105" t="s">
        <v>163</v>
      </c>
      <c r="E105">
        <v>45</v>
      </c>
      <c r="G105" t="b">
        <v>0</v>
      </c>
      <c r="H105" t="b">
        <v>0</v>
      </c>
      <c r="I105" t="b">
        <v>0</v>
      </c>
      <c r="J105" t="s">
        <v>350</v>
      </c>
      <c r="K105">
        <v>13</v>
      </c>
      <c r="N105" t="b">
        <v>0</v>
      </c>
      <c r="O105" t="s">
        <v>163</v>
      </c>
    </row>
    <row r="106" spans="4:15" x14ac:dyDescent="0.25">
      <c r="D106" t="s">
        <v>162</v>
      </c>
      <c r="E106">
        <v>46</v>
      </c>
      <c r="G106" t="b">
        <v>0</v>
      </c>
      <c r="H106" t="b">
        <v>0</v>
      </c>
      <c r="I106" t="b">
        <v>0</v>
      </c>
      <c r="J106" t="s">
        <v>350</v>
      </c>
      <c r="K106">
        <v>13</v>
      </c>
      <c r="N106" t="b">
        <v>0</v>
      </c>
      <c r="O106" t="s">
        <v>162</v>
      </c>
    </row>
    <row r="107" spans="4:15" x14ac:dyDescent="0.25">
      <c r="D107" t="s">
        <v>161</v>
      </c>
      <c r="E107">
        <v>47</v>
      </c>
      <c r="G107" t="b">
        <v>0</v>
      </c>
      <c r="H107" t="b">
        <v>0</v>
      </c>
      <c r="I107" t="b">
        <v>0</v>
      </c>
      <c r="J107" t="s">
        <v>350</v>
      </c>
      <c r="K107">
        <v>13</v>
      </c>
      <c r="N107" t="b">
        <v>0</v>
      </c>
      <c r="O107" t="s">
        <v>161</v>
      </c>
    </row>
    <row r="108" spans="4:15" x14ac:dyDescent="0.25">
      <c r="D108" t="s">
        <v>160</v>
      </c>
      <c r="E108">
        <v>48</v>
      </c>
      <c r="G108" t="b">
        <v>0</v>
      </c>
      <c r="H108" t="b">
        <v>0</v>
      </c>
      <c r="I108" t="b">
        <v>0</v>
      </c>
      <c r="J108" t="s">
        <v>350</v>
      </c>
      <c r="K108">
        <v>13</v>
      </c>
      <c r="N108" t="b">
        <v>0</v>
      </c>
      <c r="O108" t="s">
        <v>160</v>
      </c>
    </row>
    <row r="109" spans="4:15" x14ac:dyDescent="0.25">
      <c r="D109" t="s">
        <v>159</v>
      </c>
      <c r="E109">
        <v>49</v>
      </c>
      <c r="G109" t="b">
        <v>0</v>
      </c>
      <c r="H109" t="b">
        <v>0</v>
      </c>
      <c r="I109" t="b">
        <v>0</v>
      </c>
      <c r="J109" t="s">
        <v>350</v>
      </c>
      <c r="K109">
        <v>13</v>
      </c>
      <c r="N109" t="b">
        <v>0</v>
      </c>
      <c r="O109" t="s">
        <v>159</v>
      </c>
    </row>
    <row r="110" spans="4:15" x14ac:dyDescent="0.25">
      <c r="D110" t="s">
        <v>114</v>
      </c>
      <c r="E110">
        <v>50</v>
      </c>
      <c r="G110" t="b">
        <v>0</v>
      </c>
      <c r="H110" t="b">
        <v>0</v>
      </c>
      <c r="I110" t="b">
        <v>0</v>
      </c>
      <c r="J110" t="s">
        <v>336</v>
      </c>
      <c r="K110">
        <v>65535</v>
      </c>
      <c r="N110" t="b">
        <v>0</v>
      </c>
      <c r="O110" t="s">
        <v>114</v>
      </c>
    </row>
    <row r="111" spans="4:15" x14ac:dyDescent="0.25">
      <c r="D111" t="s">
        <v>158</v>
      </c>
      <c r="E111">
        <v>51</v>
      </c>
      <c r="G111" t="b">
        <v>0</v>
      </c>
      <c r="H111" t="b">
        <v>0</v>
      </c>
      <c r="I111" t="b">
        <v>0</v>
      </c>
      <c r="J111" t="s">
        <v>336</v>
      </c>
      <c r="K111">
        <v>65535</v>
      </c>
      <c r="N111" t="b">
        <v>0</v>
      </c>
      <c r="O111" t="s">
        <v>158</v>
      </c>
    </row>
    <row r="112" spans="4:15" x14ac:dyDescent="0.25">
      <c r="D112" t="s">
        <v>116</v>
      </c>
      <c r="E112">
        <v>52</v>
      </c>
      <c r="G112" t="b">
        <v>0</v>
      </c>
      <c r="H112" t="b">
        <v>0</v>
      </c>
      <c r="I112" t="b">
        <v>0</v>
      </c>
      <c r="J112" t="s">
        <v>336</v>
      </c>
      <c r="K112">
        <v>65535</v>
      </c>
      <c r="N112" t="b">
        <v>0</v>
      </c>
      <c r="O112" t="s">
        <v>116</v>
      </c>
    </row>
    <row r="113" spans="1:15" x14ac:dyDescent="0.25">
      <c r="D113" t="s">
        <v>157</v>
      </c>
      <c r="E113">
        <v>53</v>
      </c>
      <c r="G113" t="b">
        <v>0</v>
      </c>
      <c r="H113" t="b">
        <v>0</v>
      </c>
      <c r="I113" t="b">
        <v>0</v>
      </c>
      <c r="J113" t="s">
        <v>336</v>
      </c>
      <c r="K113">
        <v>65535</v>
      </c>
      <c r="N113" t="b">
        <v>0</v>
      </c>
      <c r="O113" t="s">
        <v>157</v>
      </c>
    </row>
    <row r="114" spans="1:15" x14ac:dyDescent="0.25">
      <c r="D114" t="s">
        <v>156</v>
      </c>
      <c r="E114">
        <v>54</v>
      </c>
      <c r="G114" t="b">
        <v>0</v>
      </c>
      <c r="H114" t="b">
        <v>0</v>
      </c>
      <c r="I114" t="b">
        <v>0</v>
      </c>
      <c r="J114" t="s">
        <v>336</v>
      </c>
      <c r="K114">
        <v>65535</v>
      </c>
      <c r="N114" t="b">
        <v>0</v>
      </c>
      <c r="O114" t="s">
        <v>156</v>
      </c>
    </row>
    <row r="115" spans="1:15" x14ac:dyDescent="0.25">
      <c r="D115" t="s">
        <v>155</v>
      </c>
      <c r="E115">
        <v>55</v>
      </c>
      <c r="G115" t="b">
        <v>0</v>
      </c>
      <c r="H115" t="b">
        <v>0</v>
      </c>
      <c r="I115" t="b">
        <v>0</v>
      </c>
      <c r="J115" t="s">
        <v>336</v>
      </c>
      <c r="K115">
        <v>65535</v>
      </c>
      <c r="N115" t="b">
        <v>0</v>
      </c>
      <c r="O115" t="s">
        <v>155</v>
      </c>
    </row>
    <row r="116" spans="1:15" x14ac:dyDescent="0.25">
      <c r="D116" t="s">
        <v>154</v>
      </c>
      <c r="E116">
        <v>56</v>
      </c>
      <c r="G116" t="b">
        <v>0</v>
      </c>
      <c r="H116" t="b">
        <v>0</v>
      </c>
      <c r="I116" t="b">
        <v>0</v>
      </c>
      <c r="J116" t="s">
        <v>336</v>
      </c>
      <c r="K116">
        <v>65535</v>
      </c>
      <c r="N116" t="b">
        <v>0</v>
      </c>
      <c r="O116" t="s">
        <v>154</v>
      </c>
    </row>
    <row r="117" spans="1:15" x14ac:dyDescent="0.25">
      <c r="D117" t="s">
        <v>153</v>
      </c>
      <c r="E117">
        <v>57</v>
      </c>
      <c r="G117" t="b">
        <v>1</v>
      </c>
      <c r="H117" t="b">
        <v>0</v>
      </c>
      <c r="I117" t="b">
        <v>0</v>
      </c>
      <c r="J117" t="s">
        <v>335</v>
      </c>
      <c r="K117">
        <v>45</v>
      </c>
      <c r="N117" t="b">
        <v>0</v>
      </c>
      <c r="O117" t="s">
        <v>153</v>
      </c>
    </row>
    <row r="118" spans="1:15" x14ac:dyDescent="0.25">
      <c r="D118" t="s">
        <v>152</v>
      </c>
      <c r="E118">
        <v>58</v>
      </c>
      <c r="G118" t="b">
        <v>0</v>
      </c>
      <c r="H118" t="b">
        <v>0</v>
      </c>
      <c r="I118" t="b">
        <v>0</v>
      </c>
      <c r="J118" t="s">
        <v>333</v>
      </c>
      <c r="N118" t="b">
        <v>0</v>
      </c>
      <c r="O118" t="s">
        <v>152</v>
      </c>
    </row>
    <row r="119" spans="1:15" x14ac:dyDescent="0.25">
      <c r="A119" t="s">
        <v>627</v>
      </c>
    </row>
    <row r="120" spans="1:15" x14ac:dyDescent="0.25">
      <c r="A120" t="s">
        <v>628</v>
      </c>
    </row>
    <row r="121" spans="1:15" x14ac:dyDescent="0.25">
      <c r="D121" t="s">
        <v>83</v>
      </c>
      <c r="E121">
        <v>1</v>
      </c>
      <c r="G121" t="b">
        <v>0</v>
      </c>
      <c r="H121" t="b">
        <v>0</v>
      </c>
      <c r="I121" t="b">
        <v>0</v>
      </c>
      <c r="J121" t="s">
        <v>333</v>
      </c>
      <c r="N121" t="b">
        <v>0</v>
      </c>
      <c r="O121" t="s">
        <v>83</v>
      </c>
    </row>
    <row r="122" spans="1:15" x14ac:dyDescent="0.25">
      <c r="D122" t="s">
        <v>150</v>
      </c>
      <c r="E122">
        <v>2</v>
      </c>
      <c r="G122" t="b">
        <v>0</v>
      </c>
      <c r="H122" t="b">
        <v>1</v>
      </c>
      <c r="I122" t="b">
        <v>0</v>
      </c>
      <c r="J122" t="s">
        <v>334</v>
      </c>
      <c r="L122">
        <v>10</v>
      </c>
      <c r="M122">
        <v>0</v>
      </c>
      <c r="N122" t="b">
        <v>1</v>
      </c>
      <c r="O122" t="s">
        <v>150</v>
      </c>
    </row>
    <row r="123" spans="1:15" x14ac:dyDescent="0.25">
      <c r="D123" t="s">
        <v>149</v>
      </c>
      <c r="E123">
        <v>3</v>
      </c>
      <c r="G123" t="b">
        <v>0</v>
      </c>
      <c r="H123" t="b">
        <v>0</v>
      </c>
      <c r="I123" t="b">
        <v>0</v>
      </c>
      <c r="J123" t="s">
        <v>335</v>
      </c>
      <c r="K123">
        <v>50</v>
      </c>
      <c r="N123" t="b">
        <v>0</v>
      </c>
      <c r="O123" t="s">
        <v>149</v>
      </c>
    </row>
    <row r="124" spans="1:15" x14ac:dyDescent="0.25">
      <c r="D124" t="s">
        <v>148</v>
      </c>
      <c r="E124">
        <v>4</v>
      </c>
      <c r="G124" t="b">
        <v>0</v>
      </c>
      <c r="H124" t="b">
        <v>0</v>
      </c>
      <c r="I124" t="b">
        <v>0</v>
      </c>
      <c r="J124" t="s">
        <v>335</v>
      </c>
      <c r="K124">
        <v>50</v>
      </c>
      <c r="N124" t="b">
        <v>0</v>
      </c>
      <c r="O124" t="s">
        <v>148</v>
      </c>
    </row>
    <row r="125" spans="1:15" x14ac:dyDescent="0.25">
      <c r="D125" t="s">
        <v>90</v>
      </c>
      <c r="E125">
        <v>5</v>
      </c>
      <c r="G125" t="b">
        <v>0</v>
      </c>
      <c r="H125" t="b">
        <v>0</v>
      </c>
      <c r="I125" t="b">
        <v>0</v>
      </c>
      <c r="J125" t="s">
        <v>335</v>
      </c>
      <c r="K125">
        <v>50</v>
      </c>
      <c r="N125" t="b">
        <v>0</v>
      </c>
      <c r="O125" t="s">
        <v>90</v>
      </c>
    </row>
    <row r="126" spans="1:15" x14ac:dyDescent="0.25">
      <c r="D126" t="s">
        <v>147</v>
      </c>
      <c r="E126">
        <v>6</v>
      </c>
      <c r="G126" t="b">
        <v>0</v>
      </c>
      <c r="H126" t="b">
        <v>0</v>
      </c>
      <c r="I126" t="b">
        <v>0</v>
      </c>
      <c r="J126" t="s">
        <v>335</v>
      </c>
      <c r="K126">
        <v>50</v>
      </c>
      <c r="N126" t="b">
        <v>0</v>
      </c>
      <c r="O126" t="s">
        <v>147</v>
      </c>
    </row>
    <row r="127" spans="1:15" x14ac:dyDescent="0.25">
      <c r="D127" t="s">
        <v>146</v>
      </c>
      <c r="E127">
        <v>7</v>
      </c>
      <c r="G127" t="b">
        <v>0</v>
      </c>
      <c r="H127" t="b">
        <v>0</v>
      </c>
      <c r="I127" t="b">
        <v>0</v>
      </c>
      <c r="J127" t="s">
        <v>335</v>
      </c>
      <c r="K127">
        <v>50</v>
      </c>
      <c r="N127" t="b">
        <v>0</v>
      </c>
      <c r="O127" t="s">
        <v>146</v>
      </c>
    </row>
    <row r="128" spans="1:15" x14ac:dyDescent="0.25">
      <c r="D128" t="s">
        <v>36</v>
      </c>
      <c r="E128">
        <v>8</v>
      </c>
      <c r="G128" t="b">
        <v>0</v>
      </c>
      <c r="H128" t="b">
        <v>0</v>
      </c>
      <c r="I128" t="b">
        <v>0</v>
      </c>
      <c r="J128" t="s">
        <v>333</v>
      </c>
      <c r="N128" t="b">
        <v>0</v>
      </c>
      <c r="O128" t="s">
        <v>36</v>
      </c>
    </row>
    <row r="129" spans="4:15" x14ac:dyDescent="0.25">
      <c r="D129" t="s">
        <v>75</v>
      </c>
      <c r="E129">
        <v>9</v>
      </c>
      <c r="G129" t="b">
        <v>0</v>
      </c>
      <c r="H129" t="b">
        <v>0</v>
      </c>
      <c r="I129" t="b">
        <v>0</v>
      </c>
      <c r="J129" t="s">
        <v>334</v>
      </c>
      <c r="L129">
        <v>10</v>
      </c>
      <c r="M129">
        <v>0</v>
      </c>
      <c r="N129" t="b">
        <v>0</v>
      </c>
      <c r="O129" t="s">
        <v>75</v>
      </c>
    </row>
    <row r="130" spans="4:15" x14ac:dyDescent="0.25">
      <c r="D130" t="s">
        <v>76</v>
      </c>
      <c r="E130">
        <v>10</v>
      </c>
      <c r="G130" t="b">
        <v>0</v>
      </c>
      <c r="H130" t="b">
        <v>0</v>
      </c>
      <c r="I130" t="b">
        <v>0</v>
      </c>
      <c r="J130" t="s">
        <v>335</v>
      </c>
      <c r="K130">
        <v>45</v>
      </c>
      <c r="N130" t="b">
        <v>0</v>
      </c>
      <c r="O130" t="s">
        <v>76</v>
      </c>
    </row>
    <row r="131" spans="4:15" x14ac:dyDescent="0.25">
      <c r="D131" t="s">
        <v>145</v>
      </c>
      <c r="E131">
        <v>11</v>
      </c>
      <c r="G131" t="b">
        <v>0</v>
      </c>
      <c r="H131" t="b">
        <v>0</v>
      </c>
      <c r="I131" t="b">
        <v>0</v>
      </c>
      <c r="J131" t="s">
        <v>333</v>
      </c>
      <c r="N131" t="b">
        <v>0</v>
      </c>
      <c r="O131" t="s">
        <v>145</v>
      </c>
    </row>
    <row r="132" spans="4:15" x14ac:dyDescent="0.25">
      <c r="D132" t="s">
        <v>144</v>
      </c>
      <c r="E132">
        <v>12</v>
      </c>
      <c r="G132" t="b">
        <v>0</v>
      </c>
      <c r="H132" t="b">
        <v>0</v>
      </c>
      <c r="I132" t="b">
        <v>0</v>
      </c>
      <c r="J132" t="s">
        <v>333</v>
      </c>
      <c r="N132" t="b">
        <v>0</v>
      </c>
      <c r="O132" t="s">
        <v>144</v>
      </c>
    </row>
    <row r="133" spans="4:15" x14ac:dyDescent="0.25">
      <c r="D133" t="s">
        <v>143</v>
      </c>
      <c r="E133">
        <v>13</v>
      </c>
      <c r="G133" t="b">
        <v>0</v>
      </c>
      <c r="H133" t="b">
        <v>0</v>
      </c>
      <c r="I133" t="b">
        <v>0</v>
      </c>
      <c r="J133" t="s">
        <v>333</v>
      </c>
      <c r="N133" t="b">
        <v>0</v>
      </c>
      <c r="O133" t="s">
        <v>143</v>
      </c>
    </row>
    <row r="134" spans="4:15" x14ac:dyDescent="0.25">
      <c r="D134" t="s">
        <v>142</v>
      </c>
      <c r="E134">
        <v>14</v>
      </c>
      <c r="G134" t="b">
        <v>0</v>
      </c>
      <c r="H134" t="b">
        <v>0</v>
      </c>
      <c r="I134" t="b">
        <v>0</v>
      </c>
      <c r="J134" t="s">
        <v>335</v>
      </c>
      <c r="K134">
        <v>50</v>
      </c>
      <c r="N134" t="b">
        <v>0</v>
      </c>
      <c r="O134" t="s">
        <v>142</v>
      </c>
    </row>
    <row r="135" spans="4:15" x14ac:dyDescent="0.25">
      <c r="D135" t="s">
        <v>141</v>
      </c>
      <c r="E135">
        <v>15</v>
      </c>
      <c r="G135" t="b">
        <v>0</v>
      </c>
      <c r="H135" t="b">
        <v>0</v>
      </c>
      <c r="I135" t="b">
        <v>0</v>
      </c>
      <c r="J135" t="s">
        <v>336</v>
      </c>
      <c r="K135">
        <v>65535</v>
      </c>
      <c r="N135" t="b">
        <v>0</v>
      </c>
      <c r="O135" t="s">
        <v>141</v>
      </c>
    </row>
    <row r="136" spans="4:15" x14ac:dyDescent="0.25">
      <c r="D136" t="s">
        <v>140</v>
      </c>
      <c r="E136">
        <v>16</v>
      </c>
      <c r="G136" t="b">
        <v>0</v>
      </c>
      <c r="H136" t="b">
        <v>0</v>
      </c>
      <c r="I136" t="b">
        <v>0</v>
      </c>
      <c r="J136" t="s">
        <v>350</v>
      </c>
      <c r="K136">
        <v>1</v>
      </c>
      <c r="N136" t="b">
        <v>0</v>
      </c>
      <c r="O136" t="s">
        <v>140</v>
      </c>
    </row>
    <row r="137" spans="4:15" x14ac:dyDescent="0.25">
      <c r="D137" t="s">
        <v>139</v>
      </c>
      <c r="E137">
        <v>17</v>
      </c>
      <c r="G137" t="b">
        <v>0</v>
      </c>
      <c r="H137" t="b">
        <v>0</v>
      </c>
      <c r="I137" t="b">
        <v>0</v>
      </c>
      <c r="J137" t="s">
        <v>336</v>
      </c>
      <c r="K137">
        <v>65535</v>
      </c>
      <c r="N137" t="b">
        <v>0</v>
      </c>
      <c r="O137" t="s">
        <v>139</v>
      </c>
    </row>
    <row r="138" spans="4:15" x14ac:dyDescent="0.25">
      <c r="D138" t="s">
        <v>138</v>
      </c>
      <c r="E138">
        <v>18</v>
      </c>
      <c r="G138" t="b">
        <v>0</v>
      </c>
      <c r="H138" t="b">
        <v>0</v>
      </c>
      <c r="I138" t="b">
        <v>0</v>
      </c>
      <c r="J138" t="s">
        <v>333</v>
      </c>
      <c r="N138" t="b">
        <v>0</v>
      </c>
      <c r="O138" t="s">
        <v>138</v>
      </c>
    </row>
    <row r="139" spans="4:15" x14ac:dyDescent="0.25">
      <c r="D139" t="s">
        <v>137</v>
      </c>
      <c r="E139">
        <v>19</v>
      </c>
      <c r="G139" t="b">
        <v>0</v>
      </c>
      <c r="H139" t="b">
        <v>0</v>
      </c>
      <c r="I139" t="b">
        <v>0</v>
      </c>
      <c r="J139" t="s">
        <v>336</v>
      </c>
      <c r="K139">
        <v>65535</v>
      </c>
      <c r="N139" t="b">
        <v>0</v>
      </c>
      <c r="O139" t="s">
        <v>137</v>
      </c>
    </row>
    <row r="140" spans="4:15" x14ac:dyDescent="0.25">
      <c r="D140" t="s">
        <v>136</v>
      </c>
      <c r="E140">
        <v>20</v>
      </c>
      <c r="G140" t="b">
        <v>0</v>
      </c>
      <c r="H140" t="b">
        <v>0</v>
      </c>
      <c r="I140" t="b">
        <v>0</v>
      </c>
      <c r="J140" t="s">
        <v>335</v>
      </c>
      <c r="K140">
        <v>10</v>
      </c>
      <c r="N140" t="b">
        <v>0</v>
      </c>
      <c r="O140" t="s">
        <v>136</v>
      </c>
    </row>
    <row r="141" spans="4:15" x14ac:dyDescent="0.25">
      <c r="D141" t="s">
        <v>135</v>
      </c>
      <c r="E141">
        <v>21</v>
      </c>
      <c r="G141" t="b">
        <v>0</v>
      </c>
      <c r="H141" t="b">
        <v>0</v>
      </c>
      <c r="I141" t="b">
        <v>0</v>
      </c>
      <c r="J141" t="s">
        <v>333</v>
      </c>
      <c r="N141" t="b">
        <v>0</v>
      </c>
      <c r="O141" t="s">
        <v>135</v>
      </c>
    </row>
    <row r="142" spans="4:15" x14ac:dyDescent="0.25">
      <c r="D142" t="s">
        <v>134</v>
      </c>
      <c r="E142">
        <v>22</v>
      </c>
      <c r="G142" t="b">
        <v>0</v>
      </c>
      <c r="H142" t="b">
        <v>0</v>
      </c>
      <c r="I142" t="b">
        <v>0</v>
      </c>
      <c r="J142" t="s">
        <v>336</v>
      </c>
      <c r="K142">
        <v>65535</v>
      </c>
      <c r="N142" t="b">
        <v>0</v>
      </c>
      <c r="O142" t="s">
        <v>134</v>
      </c>
    </row>
    <row r="143" spans="4:15" x14ac:dyDescent="0.25">
      <c r="D143" t="s">
        <v>133</v>
      </c>
      <c r="E143">
        <v>23</v>
      </c>
      <c r="G143" t="b">
        <v>0</v>
      </c>
      <c r="H143" t="b">
        <v>0</v>
      </c>
      <c r="I143" t="b">
        <v>0</v>
      </c>
      <c r="J143" t="s">
        <v>335</v>
      </c>
      <c r="K143">
        <v>45</v>
      </c>
      <c r="N143" t="b">
        <v>0</v>
      </c>
      <c r="O143" t="s">
        <v>133</v>
      </c>
    </row>
    <row r="144" spans="4:15" x14ac:dyDescent="0.25">
      <c r="D144" t="s">
        <v>132</v>
      </c>
      <c r="E144">
        <v>24</v>
      </c>
      <c r="G144" t="b">
        <v>0</v>
      </c>
      <c r="H144" t="b">
        <v>0</v>
      </c>
      <c r="I144" t="b">
        <v>0</v>
      </c>
      <c r="J144" t="s">
        <v>333</v>
      </c>
      <c r="N144" t="b">
        <v>0</v>
      </c>
      <c r="O144" t="s">
        <v>132</v>
      </c>
    </row>
    <row r="145" spans="1:15" x14ac:dyDescent="0.25">
      <c r="D145" t="s">
        <v>131</v>
      </c>
      <c r="E145">
        <v>25</v>
      </c>
      <c r="G145" t="b">
        <v>0</v>
      </c>
      <c r="H145" t="b">
        <v>0</v>
      </c>
      <c r="I145" t="b">
        <v>0</v>
      </c>
      <c r="J145" t="s">
        <v>336</v>
      </c>
      <c r="K145">
        <v>65535</v>
      </c>
      <c r="N145" t="b">
        <v>0</v>
      </c>
      <c r="O145" t="s">
        <v>131</v>
      </c>
    </row>
    <row r="146" spans="1:15" x14ac:dyDescent="0.25">
      <c r="D146" t="s">
        <v>130</v>
      </c>
      <c r="E146">
        <v>26</v>
      </c>
      <c r="G146" t="b">
        <v>0</v>
      </c>
      <c r="H146" t="b">
        <v>0</v>
      </c>
      <c r="I146" t="b">
        <v>0</v>
      </c>
      <c r="J146" t="s">
        <v>335</v>
      </c>
      <c r="K146">
        <v>45</v>
      </c>
      <c r="N146" t="b">
        <v>0</v>
      </c>
      <c r="O146" t="s">
        <v>130</v>
      </c>
    </row>
    <row r="147" spans="1:15" x14ac:dyDescent="0.25">
      <c r="D147" t="s">
        <v>129</v>
      </c>
      <c r="E147">
        <v>27</v>
      </c>
      <c r="G147" t="b">
        <v>0</v>
      </c>
      <c r="H147" t="b">
        <v>0</v>
      </c>
      <c r="I147" t="b">
        <v>0</v>
      </c>
      <c r="J147" t="s">
        <v>333</v>
      </c>
      <c r="N147" t="b">
        <v>0</v>
      </c>
      <c r="O147" t="s">
        <v>129</v>
      </c>
    </row>
    <row r="148" spans="1:15" x14ac:dyDescent="0.25">
      <c r="D148" t="s">
        <v>128</v>
      </c>
      <c r="E148">
        <v>28</v>
      </c>
      <c r="G148" t="b">
        <v>0</v>
      </c>
      <c r="H148" t="b">
        <v>0</v>
      </c>
      <c r="I148" t="b">
        <v>0</v>
      </c>
      <c r="J148" t="s">
        <v>336</v>
      </c>
      <c r="K148">
        <v>65535</v>
      </c>
      <c r="N148" t="b">
        <v>0</v>
      </c>
      <c r="O148" t="s">
        <v>128</v>
      </c>
    </row>
    <row r="149" spans="1:15" x14ac:dyDescent="0.25">
      <c r="D149" t="s">
        <v>127</v>
      </c>
      <c r="E149">
        <v>29</v>
      </c>
      <c r="G149" t="b">
        <v>0</v>
      </c>
      <c r="H149" t="b">
        <v>0</v>
      </c>
      <c r="I149" t="b">
        <v>0</v>
      </c>
      <c r="J149" t="s">
        <v>335</v>
      </c>
      <c r="K149">
        <v>50</v>
      </c>
      <c r="N149" t="b">
        <v>0</v>
      </c>
      <c r="O149" t="s">
        <v>127</v>
      </c>
    </row>
    <row r="150" spans="1:15" x14ac:dyDescent="0.25">
      <c r="D150" t="s">
        <v>126</v>
      </c>
      <c r="E150">
        <v>30</v>
      </c>
      <c r="G150" t="b">
        <v>0</v>
      </c>
      <c r="H150" t="b">
        <v>0</v>
      </c>
      <c r="I150" t="b">
        <v>0</v>
      </c>
      <c r="J150" t="s">
        <v>333</v>
      </c>
      <c r="N150" t="b">
        <v>0</v>
      </c>
      <c r="O150" t="s">
        <v>126</v>
      </c>
    </row>
    <row r="151" spans="1:15" x14ac:dyDescent="0.25">
      <c r="D151" t="s">
        <v>125</v>
      </c>
      <c r="E151">
        <v>31</v>
      </c>
      <c r="G151" t="b">
        <v>0</v>
      </c>
      <c r="H151" t="b">
        <v>0</v>
      </c>
      <c r="I151" t="b">
        <v>0</v>
      </c>
      <c r="J151" t="s">
        <v>335</v>
      </c>
      <c r="K151">
        <v>50</v>
      </c>
      <c r="N151" t="b">
        <v>0</v>
      </c>
      <c r="O151" t="s">
        <v>125</v>
      </c>
    </row>
    <row r="152" spans="1:15" x14ac:dyDescent="0.25">
      <c r="D152" t="s">
        <v>124</v>
      </c>
      <c r="E152">
        <v>32</v>
      </c>
      <c r="G152" t="b">
        <v>0</v>
      </c>
      <c r="H152" t="b">
        <v>0</v>
      </c>
      <c r="I152" t="b">
        <v>0</v>
      </c>
      <c r="J152" t="s">
        <v>333</v>
      </c>
      <c r="N152" t="b">
        <v>0</v>
      </c>
      <c r="O152" t="s">
        <v>124</v>
      </c>
    </row>
    <row r="153" spans="1:15" x14ac:dyDescent="0.25">
      <c r="A153" t="s">
        <v>629</v>
      </c>
    </row>
    <row r="154" spans="1:15" x14ac:dyDescent="0.25">
      <c r="A154" t="s">
        <v>630</v>
      </c>
    </row>
    <row r="155" spans="1:15" x14ac:dyDescent="0.25">
      <c r="D155" t="s">
        <v>83</v>
      </c>
      <c r="E155">
        <v>1</v>
      </c>
      <c r="G155" t="b">
        <v>0</v>
      </c>
      <c r="H155" t="b">
        <v>0</v>
      </c>
      <c r="I155" t="b">
        <v>0</v>
      </c>
      <c r="J155" t="s">
        <v>333</v>
      </c>
      <c r="N155" t="b">
        <v>0</v>
      </c>
      <c r="O155" t="s">
        <v>83</v>
      </c>
    </row>
    <row r="156" spans="1:15" x14ac:dyDescent="0.25">
      <c r="D156" t="s">
        <v>359</v>
      </c>
      <c r="E156">
        <v>2</v>
      </c>
      <c r="G156" t="b">
        <v>0</v>
      </c>
      <c r="H156" t="b">
        <v>1</v>
      </c>
      <c r="I156" t="b">
        <v>0</v>
      </c>
      <c r="J156" t="s">
        <v>334</v>
      </c>
      <c r="L156">
        <v>10</v>
      </c>
      <c r="M156">
        <v>0</v>
      </c>
      <c r="N156" t="b">
        <v>1</v>
      </c>
      <c r="O156" t="s">
        <v>359</v>
      </c>
    </row>
    <row r="157" spans="1:15" x14ac:dyDescent="0.25">
      <c r="D157" t="s">
        <v>71</v>
      </c>
      <c r="E157">
        <v>3</v>
      </c>
      <c r="G157" t="b">
        <v>0</v>
      </c>
      <c r="H157" t="b">
        <v>0</v>
      </c>
      <c r="I157" t="b">
        <v>0</v>
      </c>
      <c r="J157" t="s">
        <v>335</v>
      </c>
      <c r="K157">
        <v>45</v>
      </c>
      <c r="N157" t="b">
        <v>0</v>
      </c>
      <c r="O157" t="s">
        <v>71</v>
      </c>
    </row>
    <row r="158" spans="1:15" x14ac:dyDescent="0.25">
      <c r="D158" t="s">
        <v>70</v>
      </c>
      <c r="E158">
        <v>4</v>
      </c>
      <c r="G158" t="b">
        <v>1</v>
      </c>
      <c r="H158" t="b">
        <v>0</v>
      </c>
      <c r="I158" t="b">
        <v>0</v>
      </c>
      <c r="J158" t="s">
        <v>335</v>
      </c>
      <c r="K158">
        <v>45</v>
      </c>
      <c r="N158" t="b">
        <v>0</v>
      </c>
      <c r="O158" t="s">
        <v>70</v>
      </c>
    </row>
    <row r="159" spans="1:15" x14ac:dyDescent="0.25">
      <c r="D159" t="s">
        <v>68</v>
      </c>
      <c r="E159">
        <v>5</v>
      </c>
      <c r="G159" t="b">
        <v>0</v>
      </c>
      <c r="H159" t="b">
        <v>0</v>
      </c>
      <c r="I159" t="b">
        <v>0</v>
      </c>
      <c r="J159" t="s">
        <v>335</v>
      </c>
      <c r="K159">
        <v>45</v>
      </c>
      <c r="N159" t="b">
        <v>0</v>
      </c>
      <c r="O159" t="s">
        <v>68</v>
      </c>
    </row>
    <row r="160" spans="1:15" x14ac:dyDescent="0.25">
      <c r="D160" t="s">
        <v>360</v>
      </c>
      <c r="E160">
        <v>6</v>
      </c>
      <c r="G160" t="b">
        <v>0</v>
      </c>
      <c r="H160" t="b">
        <v>0</v>
      </c>
      <c r="I160" t="b">
        <v>0</v>
      </c>
      <c r="J160" t="s">
        <v>335</v>
      </c>
      <c r="K160">
        <v>45</v>
      </c>
      <c r="N160" t="b">
        <v>0</v>
      </c>
      <c r="O160" t="s">
        <v>360</v>
      </c>
    </row>
    <row r="161" spans="4:15" x14ac:dyDescent="0.25">
      <c r="D161" t="s">
        <v>361</v>
      </c>
      <c r="E161">
        <v>7</v>
      </c>
      <c r="G161" t="b">
        <v>0</v>
      </c>
      <c r="H161" t="b">
        <v>0</v>
      </c>
      <c r="I161" t="b">
        <v>0</v>
      </c>
      <c r="J161" t="s">
        <v>335</v>
      </c>
      <c r="K161">
        <v>45</v>
      </c>
      <c r="N161" t="b">
        <v>0</v>
      </c>
      <c r="O161" t="s">
        <v>361</v>
      </c>
    </row>
    <row r="162" spans="4:15" x14ac:dyDescent="0.25">
      <c r="D162" t="s">
        <v>362</v>
      </c>
      <c r="E162">
        <v>8</v>
      </c>
      <c r="G162" t="b">
        <v>0</v>
      </c>
      <c r="H162" t="b">
        <v>0</v>
      </c>
      <c r="I162" t="b">
        <v>0</v>
      </c>
      <c r="J162" t="s">
        <v>335</v>
      </c>
      <c r="K162">
        <v>45</v>
      </c>
      <c r="N162" t="b">
        <v>0</v>
      </c>
      <c r="O162" t="s">
        <v>362</v>
      </c>
    </row>
    <row r="163" spans="4:15" x14ac:dyDescent="0.25">
      <c r="D163" t="s">
        <v>363</v>
      </c>
      <c r="E163">
        <v>9</v>
      </c>
      <c r="G163" t="b">
        <v>0</v>
      </c>
      <c r="H163" t="b">
        <v>0</v>
      </c>
      <c r="I163" t="b">
        <v>0</v>
      </c>
      <c r="J163" t="s">
        <v>335</v>
      </c>
      <c r="K163">
        <v>45</v>
      </c>
      <c r="N163" t="b">
        <v>0</v>
      </c>
      <c r="O163" t="s">
        <v>363</v>
      </c>
    </row>
    <row r="164" spans="4:15" x14ac:dyDescent="0.25">
      <c r="D164" t="s">
        <v>33</v>
      </c>
      <c r="E164">
        <v>10</v>
      </c>
      <c r="G164" t="b">
        <v>0</v>
      </c>
      <c r="H164" t="b">
        <v>0</v>
      </c>
      <c r="I164" t="b">
        <v>0</v>
      </c>
      <c r="J164" t="s">
        <v>335</v>
      </c>
      <c r="K164">
        <v>45</v>
      </c>
      <c r="N164" t="b">
        <v>0</v>
      </c>
      <c r="O164" t="s">
        <v>33</v>
      </c>
    </row>
    <row r="165" spans="4:15" x14ac:dyDescent="0.25">
      <c r="D165" t="s">
        <v>364</v>
      </c>
      <c r="E165">
        <v>11</v>
      </c>
      <c r="G165" t="b">
        <v>0</v>
      </c>
      <c r="H165" t="b">
        <v>0</v>
      </c>
      <c r="I165" t="b">
        <v>0</v>
      </c>
      <c r="J165" t="s">
        <v>335</v>
      </c>
      <c r="K165">
        <v>45</v>
      </c>
      <c r="N165" t="b">
        <v>0</v>
      </c>
      <c r="O165" t="s">
        <v>364</v>
      </c>
    </row>
    <row r="166" spans="4:15" x14ac:dyDescent="0.25">
      <c r="D166" t="s">
        <v>148</v>
      </c>
      <c r="E166">
        <v>12</v>
      </c>
      <c r="G166" t="b">
        <v>0</v>
      </c>
      <c r="H166" t="b">
        <v>0</v>
      </c>
      <c r="I166" t="b">
        <v>0</v>
      </c>
      <c r="J166" t="s">
        <v>335</v>
      </c>
      <c r="K166">
        <v>45</v>
      </c>
      <c r="N166" t="b">
        <v>0</v>
      </c>
      <c r="O166" t="s">
        <v>148</v>
      </c>
    </row>
    <row r="167" spans="4:15" x14ac:dyDescent="0.25">
      <c r="D167" t="s">
        <v>365</v>
      </c>
      <c r="E167">
        <v>13</v>
      </c>
      <c r="G167" t="b">
        <v>0</v>
      </c>
      <c r="H167" t="b">
        <v>0</v>
      </c>
      <c r="I167" t="b">
        <v>0</v>
      </c>
      <c r="J167" t="s">
        <v>335</v>
      </c>
      <c r="K167">
        <v>45</v>
      </c>
      <c r="N167" t="b">
        <v>0</v>
      </c>
      <c r="O167" t="s">
        <v>365</v>
      </c>
    </row>
    <row r="168" spans="4:15" x14ac:dyDescent="0.25">
      <c r="D168" t="s">
        <v>75</v>
      </c>
      <c r="E168">
        <v>14</v>
      </c>
      <c r="G168" t="b">
        <v>0</v>
      </c>
      <c r="H168" t="b">
        <v>0</v>
      </c>
      <c r="I168" t="b">
        <v>0</v>
      </c>
      <c r="J168" t="s">
        <v>334</v>
      </c>
      <c r="L168">
        <v>10</v>
      </c>
      <c r="M168">
        <v>0</v>
      </c>
      <c r="N168" t="b">
        <v>0</v>
      </c>
      <c r="O168" t="s">
        <v>75</v>
      </c>
    </row>
    <row r="169" spans="4:15" x14ac:dyDescent="0.25">
      <c r="D169" t="s">
        <v>366</v>
      </c>
      <c r="E169">
        <v>15</v>
      </c>
      <c r="G169" t="b">
        <v>0</v>
      </c>
      <c r="H169" t="b">
        <v>0</v>
      </c>
      <c r="I169" t="b">
        <v>0</v>
      </c>
      <c r="J169" t="s">
        <v>350</v>
      </c>
      <c r="K169">
        <v>13</v>
      </c>
      <c r="N169" t="b">
        <v>0</v>
      </c>
      <c r="O169" t="s">
        <v>366</v>
      </c>
    </row>
    <row r="170" spans="4:15" x14ac:dyDescent="0.25">
      <c r="D170" t="s">
        <v>367</v>
      </c>
      <c r="E170">
        <v>16</v>
      </c>
      <c r="G170" t="b">
        <v>0</v>
      </c>
      <c r="H170" t="b">
        <v>0</v>
      </c>
      <c r="I170" t="b">
        <v>0</v>
      </c>
      <c r="J170" t="s">
        <v>335</v>
      </c>
      <c r="K170">
        <v>45</v>
      </c>
      <c r="N170" t="b">
        <v>0</v>
      </c>
      <c r="O170" t="s">
        <v>367</v>
      </c>
    </row>
    <row r="171" spans="4:15" x14ac:dyDescent="0.25">
      <c r="D171" t="s">
        <v>368</v>
      </c>
      <c r="E171">
        <v>17</v>
      </c>
      <c r="G171" t="b">
        <v>0</v>
      </c>
      <c r="H171" t="b">
        <v>0</v>
      </c>
      <c r="I171" t="b">
        <v>0</v>
      </c>
      <c r="J171" t="s">
        <v>335</v>
      </c>
      <c r="K171">
        <v>45</v>
      </c>
      <c r="N171" t="b">
        <v>0</v>
      </c>
      <c r="O171" t="s">
        <v>368</v>
      </c>
    </row>
    <row r="172" spans="4:15" x14ac:dyDescent="0.25">
      <c r="D172" t="s">
        <v>369</v>
      </c>
      <c r="E172">
        <v>18</v>
      </c>
      <c r="G172" t="b">
        <v>0</v>
      </c>
      <c r="H172" t="b">
        <v>0</v>
      </c>
      <c r="I172" t="b">
        <v>0</v>
      </c>
      <c r="J172" t="s">
        <v>335</v>
      </c>
      <c r="K172">
        <v>45</v>
      </c>
      <c r="N172" t="b">
        <v>0</v>
      </c>
      <c r="O172" t="s">
        <v>369</v>
      </c>
    </row>
    <row r="173" spans="4:15" x14ac:dyDescent="0.25">
      <c r="D173" t="s">
        <v>370</v>
      </c>
      <c r="E173">
        <v>19</v>
      </c>
      <c r="G173" t="b">
        <v>0</v>
      </c>
      <c r="H173" t="b">
        <v>0</v>
      </c>
      <c r="I173" t="b">
        <v>0</v>
      </c>
      <c r="J173" t="s">
        <v>335</v>
      </c>
      <c r="K173">
        <v>45</v>
      </c>
      <c r="N173" t="b">
        <v>0</v>
      </c>
      <c r="O173" t="s">
        <v>370</v>
      </c>
    </row>
    <row r="174" spans="4:15" x14ac:dyDescent="0.25">
      <c r="D174" t="s">
        <v>371</v>
      </c>
      <c r="E174">
        <v>20</v>
      </c>
      <c r="G174" t="b">
        <v>0</v>
      </c>
      <c r="H174" t="b">
        <v>0</v>
      </c>
      <c r="I174" t="b">
        <v>0</v>
      </c>
      <c r="J174" t="s">
        <v>335</v>
      </c>
      <c r="K174">
        <v>45</v>
      </c>
      <c r="N174" t="b">
        <v>0</v>
      </c>
      <c r="O174" t="s">
        <v>371</v>
      </c>
    </row>
    <row r="175" spans="4:15" x14ac:dyDescent="0.25">
      <c r="D175" t="s">
        <v>372</v>
      </c>
      <c r="E175">
        <v>21</v>
      </c>
      <c r="G175" t="b">
        <v>0</v>
      </c>
      <c r="H175" t="b">
        <v>0</v>
      </c>
      <c r="I175" t="b">
        <v>0</v>
      </c>
      <c r="J175" t="s">
        <v>335</v>
      </c>
      <c r="K175">
        <v>45</v>
      </c>
      <c r="N175" t="b">
        <v>0</v>
      </c>
      <c r="O175" t="s">
        <v>372</v>
      </c>
    </row>
    <row r="176" spans="4:15" x14ac:dyDescent="0.25">
      <c r="D176" t="s">
        <v>373</v>
      </c>
      <c r="E176">
        <v>22</v>
      </c>
      <c r="G176" t="b">
        <v>0</v>
      </c>
      <c r="H176" t="b">
        <v>0</v>
      </c>
      <c r="I176" t="b">
        <v>0</v>
      </c>
      <c r="J176" t="s">
        <v>335</v>
      </c>
      <c r="K176">
        <v>45</v>
      </c>
      <c r="N176" t="b">
        <v>0</v>
      </c>
      <c r="O176" t="s">
        <v>373</v>
      </c>
    </row>
    <row r="177" spans="1:15" x14ac:dyDescent="0.25">
      <c r="D177" t="s">
        <v>374</v>
      </c>
      <c r="E177">
        <v>23</v>
      </c>
      <c r="G177" t="b">
        <v>0</v>
      </c>
      <c r="H177" t="b">
        <v>0</v>
      </c>
      <c r="I177" t="b">
        <v>0</v>
      </c>
      <c r="J177" t="s">
        <v>350</v>
      </c>
      <c r="K177">
        <v>13</v>
      </c>
      <c r="N177" t="b">
        <v>0</v>
      </c>
      <c r="O177" t="s">
        <v>374</v>
      </c>
    </row>
    <row r="178" spans="1:15" x14ac:dyDescent="0.25">
      <c r="D178" t="s">
        <v>375</v>
      </c>
      <c r="E178">
        <v>24</v>
      </c>
      <c r="G178" t="b">
        <v>0</v>
      </c>
      <c r="H178" t="b">
        <v>0</v>
      </c>
      <c r="I178" t="b">
        <v>0</v>
      </c>
      <c r="J178" t="s">
        <v>350</v>
      </c>
      <c r="K178">
        <v>13</v>
      </c>
      <c r="N178" t="b">
        <v>0</v>
      </c>
      <c r="O178" t="s">
        <v>375</v>
      </c>
    </row>
    <row r="179" spans="1:15" x14ac:dyDescent="0.25">
      <c r="D179" t="s">
        <v>376</v>
      </c>
      <c r="E179">
        <v>25</v>
      </c>
      <c r="G179" t="b">
        <v>0</v>
      </c>
      <c r="H179" t="b">
        <v>0</v>
      </c>
      <c r="I179" t="b">
        <v>0</v>
      </c>
      <c r="J179" t="s">
        <v>350</v>
      </c>
      <c r="K179">
        <v>13</v>
      </c>
      <c r="N179" t="b">
        <v>0</v>
      </c>
      <c r="O179" t="s">
        <v>376</v>
      </c>
    </row>
    <row r="180" spans="1:15" x14ac:dyDescent="0.25">
      <c r="D180" t="s">
        <v>377</v>
      </c>
      <c r="E180">
        <v>26</v>
      </c>
      <c r="G180" t="b">
        <v>0</v>
      </c>
      <c r="H180" t="b">
        <v>0</v>
      </c>
      <c r="I180" t="b">
        <v>0</v>
      </c>
      <c r="J180" t="s">
        <v>350</v>
      </c>
      <c r="K180">
        <v>13</v>
      </c>
      <c r="N180" t="b">
        <v>0</v>
      </c>
      <c r="O180" t="s">
        <v>377</v>
      </c>
    </row>
    <row r="181" spans="1:15" x14ac:dyDescent="0.25">
      <c r="D181" t="s">
        <v>378</v>
      </c>
      <c r="E181">
        <v>27</v>
      </c>
      <c r="G181" t="b">
        <v>0</v>
      </c>
      <c r="H181" t="b">
        <v>0</v>
      </c>
      <c r="I181" t="b">
        <v>0</v>
      </c>
      <c r="J181" t="s">
        <v>350</v>
      </c>
      <c r="K181">
        <v>13</v>
      </c>
      <c r="N181" t="b">
        <v>0</v>
      </c>
      <c r="O181" t="s">
        <v>378</v>
      </c>
    </row>
    <row r="182" spans="1:15" x14ac:dyDescent="0.25">
      <c r="D182" t="s">
        <v>379</v>
      </c>
      <c r="E182">
        <v>28</v>
      </c>
      <c r="G182" t="b">
        <v>0</v>
      </c>
      <c r="H182" t="b">
        <v>0</v>
      </c>
      <c r="I182" t="b">
        <v>0</v>
      </c>
      <c r="J182" t="s">
        <v>350</v>
      </c>
      <c r="K182">
        <v>13</v>
      </c>
      <c r="N182" t="b">
        <v>0</v>
      </c>
      <c r="O182" t="s">
        <v>379</v>
      </c>
    </row>
    <row r="183" spans="1:15" x14ac:dyDescent="0.25">
      <c r="A183" t="s">
        <v>631</v>
      </c>
    </row>
    <row r="184" spans="1:15" x14ac:dyDescent="0.25">
      <c r="A184" t="s">
        <v>620</v>
      </c>
    </row>
    <row r="185" spans="1:15" x14ac:dyDescent="0.25">
      <c r="C185" t="s">
        <v>338</v>
      </c>
      <c r="D185" t="s">
        <v>380</v>
      </c>
      <c r="E185" t="s">
        <v>381</v>
      </c>
      <c r="I185" t="s">
        <v>351</v>
      </c>
    </row>
    <row r="186" spans="1:15" x14ac:dyDescent="0.25">
      <c r="C186" t="s">
        <v>338</v>
      </c>
      <c r="D186" t="s">
        <v>382</v>
      </c>
      <c r="E186" t="s">
        <v>381</v>
      </c>
      <c r="I186" t="s">
        <v>383</v>
      </c>
    </row>
    <row r="187" spans="1:15" x14ac:dyDescent="0.25">
      <c r="C187" t="s">
        <v>338</v>
      </c>
      <c r="D187" t="s">
        <v>384</v>
      </c>
      <c r="E187" t="s">
        <v>381</v>
      </c>
      <c r="I187" t="s">
        <v>356</v>
      </c>
    </row>
    <row r="188" spans="1:15" x14ac:dyDescent="0.25">
      <c r="C188" t="s">
        <v>338</v>
      </c>
      <c r="D188" t="s">
        <v>385</v>
      </c>
      <c r="E188" t="s">
        <v>381</v>
      </c>
      <c r="I188" t="s">
        <v>358</v>
      </c>
    </row>
    <row r="189" spans="1:15" x14ac:dyDescent="0.25">
      <c r="C189" t="s">
        <v>338</v>
      </c>
      <c r="D189" t="s">
        <v>386</v>
      </c>
      <c r="E189" t="s">
        <v>381</v>
      </c>
      <c r="I189" t="s">
        <v>348</v>
      </c>
    </row>
    <row r="190" spans="1:15" x14ac:dyDescent="0.25">
      <c r="C190" t="s">
        <v>338</v>
      </c>
      <c r="D190" t="s">
        <v>387</v>
      </c>
      <c r="E190" t="s">
        <v>381</v>
      </c>
      <c r="I190" t="s">
        <v>345</v>
      </c>
    </row>
    <row r="191" spans="1:15" x14ac:dyDescent="0.25">
      <c r="C191" t="s">
        <v>338</v>
      </c>
      <c r="D191" t="s">
        <v>388</v>
      </c>
      <c r="E191" t="s">
        <v>381</v>
      </c>
      <c r="I191" t="s">
        <v>354</v>
      </c>
    </row>
    <row r="192" spans="1:15" x14ac:dyDescent="0.25">
      <c r="A192" t="s">
        <v>621</v>
      </c>
    </row>
    <row r="193" spans="1:15" x14ac:dyDescent="0.25">
      <c r="A193" t="s">
        <v>428</v>
      </c>
    </row>
    <row r="194" spans="1:15" x14ac:dyDescent="0.25">
      <c r="D194" t="s">
        <v>429</v>
      </c>
      <c r="E194">
        <v>1</v>
      </c>
      <c r="G194" t="b">
        <v>0</v>
      </c>
      <c r="H194" t="b">
        <v>1</v>
      </c>
      <c r="I194" t="b">
        <v>0</v>
      </c>
      <c r="J194" t="s">
        <v>334</v>
      </c>
      <c r="L194">
        <v>10</v>
      </c>
      <c r="M194">
        <v>0</v>
      </c>
      <c r="N194" t="b">
        <v>1</v>
      </c>
      <c r="O194" t="s">
        <v>429</v>
      </c>
    </row>
    <row r="195" spans="1:15" x14ac:dyDescent="0.25">
      <c r="D195" t="s">
        <v>430</v>
      </c>
      <c r="E195">
        <v>2</v>
      </c>
      <c r="G195" t="b">
        <v>0</v>
      </c>
      <c r="H195" t="b">
        <v>0</v>
      </c>
      <c r="I195" t="b">
        <v>0</v>
      </c>
      <c r="J195" t="s">
        <v>335</v>
      </c>
      <c r="K195">
        <v>15</v>
      </c>
      <c r="N195" t="b">
        <v>0</v>
      </c>
      <c r="O195" t="s">
        <v>430</v>
      </c>
    </row>
    <row r="196" spans="1:15" x14ac:dyDescent="0.25">
      <c r="D196" t="s">
        <v>431</v>
      </c>
      <c r="E196">
        <v>3</v>
      </c>
      <c r="G196" t="b">
        <v>0</v>
      </c>
      <c r="H196" t="b">
        <v>0</v>
      </c>
      <c r="I196" t="b">
        <v>0</v>
      </c>
      <c r="J196" t="s">
        <v>335</v>
      </c>
      <c r="K196">
        <v>40</v>
      </c>
      <c r="N196" t="b">
        <v>0</v>
      </c>
      <c r="O196" t="s">
        <v>431</v>
      </c>
    </row>
    <row r="197" spans="1:15" x14ac:dyDescent="0.25">
      <c r="D197" t="s">
        <v>432</v>
      </c>
      <c r="E197">
        <v>4</v>
      </c>
      <c r="G197" t="b">
        <v>0</v>
      </c>
      <c r="H197" t="b">
        <v>0</v>
      </c>
      <c r="I197" t="b">
        <v>0</v>
      </c>
      <c r="J197" t="s">
        <v>335</v>
      </c>
      <c r="K197">
        <v>255</v>
      </c>
      <c r="N197" t="b">
        <v>0</v>
      </c>
      <c r="O197" t="s">
        <v>432</v>
      </c>
    </row>
    <row r="198" spans="1:15" x14ac:dyDescent="0.25">
      <c r="D198" t="s">
        <v>78</v>
      </c>
      <c r="E198">
        <v>5</v>
      </c>
      <c r="G198" t="b">
        <v>1</v>
      </c>
      <c r="H198" t="b">
        <v>0</v>
      </c>
      <c r="I198" t="b">
        <v>0</v>
      </c>
      <c r="J198" t="s">
        <v>335</v>
      </c>
      <c r="K198">
        <v>45</v>
      </c>
      <c r="N198" t="b">
        <v>0</v>
      </c>
      <c r="O198" t="s">
        <v>78</v>
      </c>
    </row>
    <row r="199" spans="1:15" x14ac:dyDescent="0.25">
      <c r="D199" t="s">
        <v>76</v>
      </c>
      <c r="E199">
        <v>6</v>
      </c>
      <c r="G199" t="b">
        <v>0</v>
      </c>
      <c r="H199" t="b">
        <v>0</v>
      </c>
      <c r="I199" t="b">
        <v>0</v>
      </c>
      <c r="J199" t="s">
        <v>350</v>
      </c>
      <c r="K199">
        <v>9</v>
      </c>
      <c r="N199" t="b">
        <v>0</v>
      </c>
      <c r="O199" t="s">
        <v>76</v>
      </c>
    </row>
    <row r="200" spans="1:15" x14ac:dyDescent="0.25">
      <c r="D200" t="s">
        <v>71</v>
      </c>
      <c r="E200">
        <v>7</v>
      </c>
      <c r="G200" t="b">
        <v>0</v>
      </c>
      <c r="H200" t="b">
        <v>0</v>
      </c>
      <c r="I200" t="b">
        <v>0</v>
      </c>
      <c r="J200" t="s">
        <v>335</v>
      </c>
      <c r="K200">
        <v>45</v>
      </c>
      <c r="N200" t="b">
        <v>0</v>
      </c>
      <c r="O200" t="s">
        <v>71</v>
      </c>
    </row>
    <row r="201" spans="1:15" x14ac:dyDescent="0.25">
      <c r="D201" t="s">
        <v>90</v>
      </c>
      <c r="E201">
        <v>8</v>
      </c>
      <c r="G201" t="b">
        <v>0</v>
      </c>
      <c r="H201" t="b">
        <v>0</v>
      </c>
      <c r="I201" t="b">
        <v>0</v>
      </c>
      <c r="J201" t="s">
        <v>335</v>
      </c>
      <c r="K201">
        <v>45</v>
      </c>
      <c r="N201" t="b">
        <v>0</v>
      </c>
      <c r="O201" t="s">
        <v>90</v>
      </c>
    </row>
    <row r="202" spans="1:15" x14ac:dyDescent="0.25">
      <c r="D202" t="s">
        <v>33</v>
      </c>
      <c r="E202">
        <v>9</v>
      </c>
      <c r="G202" t="b">
        <v>0</v>
      </c>
      <c r="H202" t="b">
        <v>0</v>
      </c>
      <c r="I202" t="b">
        <v>0</v>
      </c>
      <c r="J202" t="s">
        <v>335</v>
      </c>
      <c r="K202">
        <v>45</v>
      </c>
      <c r="N202" t="b">
        <v>0</v>
      </c>
      <c r="O202" t="s">
        <v>33</v>
      </c>
    </row>
    <row r="203" spans="1:15" x14ac:dyDescent="0.25">
      <c r="D203" t="s">
        <v>433</v>
      </c>
      <c r="E203">
        <v>10</v>
      </c>
      <c r="G203" t="b">
        <v>0</v>
      </c>
      <c r="H203" t="b">
        <v>0</v>
      </c>
      <c r="I203" t="b">
        <v>0</v>
      </c>
      <c r="J203" t="s">
        <v>334</v>
      </c>
      <c r="L203">
        <v>10</v>
      </c>
      <c r="M203">
        <v>0</v>
      </c>
      <c r="N203" t="b">
        <v>0</v>
      </c>
      <c r="O203" t="s">
        <v>433</v>
      </c>
    </row>
    <row r="204" spans="1:15" x14ac:dyDescent="0.25">
      <c r="D204" t="s">
        <v>434</v>
      </c>
      <c r="E204">
        <v>11</v>
      </c>
      <c r="G204" t="b">
        <v>0</v>
      </c>
      <c r="H204" t="b">
        <v>0</v>
      </c>
      <c r="I204" t="b">
        <v>0</v>
      </c>
      <c r="J204" t="s">
        <v>335</v>
      </c>
      <c r="K204">
        <v>50</v>
      </c>
      <c r="N204" t="b">
        <v>0</v>
      </c>
      <c r="O204" t="s">
        <v>434</v>
      </c>
    </row>
    <row r="205" spans="1:15" x14ac:dyDescent="0.25">
      <c r="D205" t="s">
        <v>435</v>
      </c>
      <c r="E205">
        <v>12</v>
      </c>
      <c r="G205" t="b">
        <v>0</v>
      </c>
      <c r="H205" t="b">
        <v>0</v>
      </c>
      <c r="I205" t="b">
        <v>0</v>
      </c>
      <c r="J205" t="s">
        <v>335</v>
      </c>
      <c r="K205">
        <v>45</v>
      </c>
      <c r="N205" t="b">
        <v>0</v>
      </c>
      <c r="O205" t="s">
        <v>435</v>
      </c>
    </row>
    <row r="206" spans="1:15" x14ac:dyDescent="0.25">
      <c r="D206" t="s">
        <v>436</v>
      </c>
      <c r="E206">
        <v>13</v>
      </c>
      <c r="F206" t="s">
        <v>437</v>
      </c>
      <c r="G206" t="b">
        <v>0</v>
      </c>
      <c r="H206" t="b">
        <v>0</v>
      </c>
      <c r="I206" t="b">
        <v>0</v>
      </c>
      <c r="J206" t="s">
        <v>438</v>
      </c>
      <c r="N206" t="b">
        <v>0</v>
      </c>
      <c r="O206" t="s">
        <v>436</v>
      </c>
    </row>
    <row r="207" spans="1:15" x14ac:dyDescent="0.25">
      <c r="D207" t="s">
        <v>96</v>
      </c>
      <c r="E207">
        <v>14</v>
      </c>
      <c r="G207" t="b">
        <v>0</v>
      </c>
      <c r="H207" t="b">
        <v>0</v>
      </c>
      <c r="I207" t="b">
        <v>0</v>
      </c>
      <c r="J207" t="s">
        <v>335</v>
      </c>
      <c r="K207">
        <v>255</v>
      </c>
      <c r="N207" t="b">
        <v>0</v>
      </c>
      <c r="O207" t="s">
        <v>96</v>
      </c>
    </row>
    <row r="208" spans="1:15" x14ac:dyDescent="0.25">
      <c r="A208" t="s">
        <v>439</v>
      </c>
    </row>
    <row r="209" spans="1:15" x14ac:dyDescent="0.25">
      <c r="A209" t="s">
        <v>440</v>
      </c>
    </row>
    <row r="210" spans="1:15" x14ac:dyDescent="0.25">
      <c r="D210" t="s">
        <v>429</v>
      </c>
      <c r="E210">
        <v>1</v>
      </c>
      <c r="G210" t="b">
        <v>0</v>
      </c>
      <c r="H210" t="b">
        <v>1</v>
      </c>
      <c r="I210" t="b">
        <v>0</v>
      </c>
      <c r="J210" t="s">
        <v>334</v>
      </c>
      <c r="L210">
        <v>10</v>
      </c>
      <c r="M210">
        <v>0</v>
      </c>
      <c r="N210" t="b">
        <v>1</v>
      </c>
      <c r="O210" t="s">
        <v>429</v>
      </c>
    </row>
    <row r="211" spans="1:15" x14ac:dyDescent="0.25">
      <c r="D211" t="s">
        <v>430</v>
      </c>
      <c r="E211">
        <v>2</v>
      </c>
      <c r="G211" t="b">
        <v>0</v>
      </c>
      <c r="H211" t="b">
        <v>0</v>
      </c>
      <c r="I211" t="b">
        <v>0</v>
      </c>
      <c r="J211" t="s">
        <v>335</v>
      </c>
      <c r="K211">
        <v>15</v>
      </c>
      <c r="N211" t="b">
        <v>0</v>
      </c>
      <c r="O211" t="s">
        <v>430</v>
      </c>
    </row>
    <row r="212" spans="1:15" x14ac:dyDescent="0.25">
      <c r="D212" t="s">
        <v>431</v>
      </c>
      <c r="E212">
        <v>3</v>
      </c>
      <c r="G212" t="b">
        <v>0</v>
      </c>
      <c r="H212" t="b">
        <v>0</v>
      </c>
      <c r="I212" t="b">
        <v>0</v>
      </c>
      <c r="J212" t="s">
        <v>335</v>
      </c>
      <c r="K212">
        <v>40</v>
      </c>
      <c r="N212" t="b">
        <v>0</v>
      </c>
      <c r="O212" t="s">
        <v>431</v>
      </c>
    </row>
    <row r="213" spans="1:15" x14ac:dyDescent="0.25">
      <c r="D213" t="s">
        <v>432</v>
      </c>
      <c r="E213">
        <v>4</v>
      </c>
      <c r="G213" t="b">
        <v>0</v>
      </c>
      <c r="H213" t="b">
        <v>0</v>
      </c>
      <c r="I213" t="b">
        <v>0</v>
      </c>
      <c r="J213" t="s">
        <v>335</v>
      </c>
      <c r="K213">
        <v>255</v>
      </c>
      <c r="N213" t="b">
        <v>0</v>
      </c>
      <c r="O213" t="s">
        <v>432</v>
      </c>
    </row>
    <row r="214" spans="1:15" x14ac:dyDescent="0.25">
      <c r="D214" t="s">
        <v>78</v>
      </c>
      <c r="E214">
        <v>5</v>
      </c>
      <c r="G214" t="b">
        <v>1</v>
      </c>
      <c r="H214" t="b">
        <v>0</v>
      </c>
      <c r="I214" t="b">
        <v>0</v>
      </c>
      <c r="J214" t="s">
        <v>335</v>
      </c>
      <c r="K214">
        <v>45</v>
      </c>
      <c r="N214" t="b">
        <v>0</v>
      </c>
      <c r="O214" t="s">
        <v>78</v>
      </c>
    </row>
    <row r="215" spans="1:15" x14ac:dyDescent="0.25">
      <c r="D215" t="s">
        <v>76</v>
      </c>
      <c r="E215">
        <v>6</v>
      </c>
      <c r="G215" t="b">
        <v>0</v>
      </c>
      <c r="H215" t="b">
        <v>0</v>
      </c>
      <c r="I215" t="b">
        <v>0</v>
      </c>
      <c r="J215" t="s">
        <v>350</v>
      </c>
      <c r="K215">
        <v>9</v>
      </c>
      <c r="N215" t="b">
        <v>0</v>
      </c>
      <c r="O215" t="s">
        <v>76</v>
      </c>
    </row>
    <row r="216" spans="1:15" x14ac:dyDescent="0.25">
      <c r="D216" t="s">
        <v>71</v>
      </c>
      <c r="E216">
        <v>7</v>
      </c>
      <c r="G216" t="b">
        <v>0</v>
      </c>
      <c r="H216" t="b">
        <v>0</v>
      </c>
      <c r="I216" t="b">
        <v>0</v>
      </c>
      <c r="J216" t="s">
        <v>335</v>
      </c>
      <c r="K216">
        <v>45</v>
      </c>
      <c r="N216" t="b">
        <v>0</v>
      </c>
      <c r="O216" t="s">
        <v>71</v>
      </c>
    </row>
    <row r="217" spans="1:15" x14ac:dyDescent="0.25">
      <c r="D217" t="s">
        <v>90</v>
      </c>
      <c r="E217">
        <v>8</v>
      </c>
      <c r="G217" t="b">
        <v>0</v>
      </c>
      <c r="H217" t="b">
        <v>0</v>
      </c>
      <c r="I217" t="b">
        <v>0</v>
      </c>
      <c r="J217" t="s">
        <v>335</v>
      </c>
      <c r="K217">
        <v>45</v>
      </c>
      <c r="N217" t="b">
        <v>0</v>
      </c>
      <c r="O217" t="s">
        <v>90</v>
      </c>
    </row>
    <row r="218" spans="1:15" x14ac:dyDescent="0.25">
      <c r="D218" t="s">
        <v>33</v>
      </c>
      <c r="E218">
        <v>9</v>
      </c>
      <c r="G218" t="b">
        <v>0</v>
      </c>
      <c r="H218" t="b">
        <v>0</v>
      </c>
      <c r="I218" t="b">
        <v>0</v>
      </c>
      <c r="J218" t="s">
        <v>335</v>
      </c>
      <c r="K218">
        <v>45</v>
      </c>
      <c r="N218" t="b">
        <v>0</v>
      </c>
      <c r="O218" t="s">
        <v>33</v>
      </c>
    </row>
    <row r="219" spans="1:15" x14ac:dyDescent="0.25">
      <c r="D219" t="s">
        <v>433</v>
      </c>
      <c r="E219">
        <v>10</v>
      </c>
      <c r="G219" t="b">
        <v>0</v>
      </c>
      <c r="H219" t="b">
        <v>0</v>
      </c>
      <c r="I219" t="b">
        <v>0</v>
      </c>
      <c r="J219" t="s">
        <v>334</v>
      </c>
      <c r="L219">
        <v>10</v>
      </c>
      <c r="M219">
        <v>0</v>
      </c>
      <c r="N219" t="b">
        <v>0</v>
      </c>
      <c r="O219" t="s">
        <v>433</v>
      </c>
    </row>
    <row r="220" spans="1:15" x14ac:dyDescent="0.25">
      <c r="D220" t="s">
        <v>434</v>
      </c>
      <c r="E220">
        <v>11</v>
      </c>
      <c r="G220" t="b">
        <v>0</v>
      </c>
      <c r="H220" t="b">
        <v>0</v>
      </c>
      <c r="I220" t="b">
        <v>0</v>
      </c>
      <c r="J220" t="s">
        <v>335</v>
      </c>
      <c r="K220">
        <v>50</v>
      </c>
      <c r="N220" t="b">
        <v>0</v>
      </c>
      <c r="O220" t="s">
        <v>434</v>
      </c>
    </row>
    <row r="221" spans="1:15" x14ac:dyDescent="0.25">
      <c r="D221" t="s">
        <v>435</v>
      </c>
      <c r="E221">
        <v>12</v>
      </c>
      <c r="G221" t="b">
        <v>0</v>
      </c>
      <c r="H221" t="b">
        <v>0</v>
      </c>
      <c r="I221" t="b">
        <v>0</v>
      </c>
      <c r="J221" t="s">
        <v>335</v>
      </c>
      <c r="K221">
        <v>45</v>
      </c>
      <c r="N221" t="b">
        <v>0</v>
      </c>
      <c r="O221" t="s">
        <v>435</v>
      </c>
    </row>
    <row r="222" spans="1:15" x14ac:dyDescent="0.25">
      <c r="D222" t="s">
        <v>436</v>
      </c>
      <c r="E222">
        <v>13</v>
      </c>
      <c r="F222" t="s">
        <v>437</v>
      </c>
      <c r="G222" t="b">
        <v>0</v>
      </c>
      <c r="H222" t="b">
        <v>0</v>
      </c>
      <c r="I222" t="b">
        <v>0</v>
      </c>
      <c r="J222" t="s">
        <v>438</v>
      </c>
      <c r="N222" t="b">
        <v>0</v>
      </c>
      <c r="O222" t="s">
        <v>436</v>
      </c>
    </row>
    <row r="223" spans="1:15" x14ac:dyDescent="0.25">
      <c r="D223" t="s">
        <v>96</v>
      </c>
      <c r="E223">
        <v>14</v>
      </c>
      <c r="G223" t="b">
        <v>0</v>
      </c>
      <c r="H223" t="b">
        <v>0</v>
      </c>
      <c r="I223" t="b">
        <v>0</v>
      </c>
      <c r="J223" t="s">
        <v>335</v>
      </c>
      <c r="K223">
        <v>255</v>
      </c>
      <c r="N223" t="b">
        <v>0</v>
      </c>
      <c r="O223" t="s">
        <v>96</v>
      </c>
    </row>
    <row r="224" spans="1:15" x14ac:dyDescent="0.25">
      <c r="A224" t="s">
        <v>441</v>
      </c>
    </row>
    <row r="225" spans="1:9" x14ac:dyDescent="0.25">
      <c r="A225" t="s">
        <v>443</v>
      </c>
    </row>
    <row r="226" spans="1:9" x14ac:dyDescent="0.25">
      <c r="C226" t="s">
        <v>442</v>
      </c>
      <c r="D226" t="s">
        <v>444</v>
      </c>
      <c r="E226" t="s">
        <v>381</v>
      </c>
      <c r="I226" t="s">
        <v>445</v>
      </c>
    </row>
    <row r="227" spans="1:9" x14ac:dyDescent="0.25">
      <c r="C227" t="s">
        <v>442</v>
      </c>
      <c r="D227" t="s">
        <v>446</v>
      </c>
      <c r="E227" t="s">
        <v>381</v>
      </c>
      <c r="I227" t="s">
        <v>447</v>
      </c>
    </row>
    <row r="228" spans="1:9" x14ac:dyDescent="0.25">
      <c r="C228" t="s">
        <v>442</v>
      </c>
      <c r="D228" t="s">
        <v>448</v>
      </c>
      <c r="E228" t="s">
        <v>381</v>
      </c>
      <c r="I228" t="s">
        <v>449</v>
      </c>
    </row>
    <row r="229" spans="1:9" x14ac:dyDescent="0.25">
      <c r="C229" t="s">
        <v>442</v>
      </c>
      <c r="D229" t="s">
        <v>450</v>
      </c>
      <c r="E229" t="s">
        <v>381</v>
      </c>
      <c r="I229" t="s">
        <v>451</v>
      </c>
    </row>
    <row r="230" spans="1:9" x14ac:dyDescent="0.25">
      <c r="C230" t="s">
        <v>442</v>
      </c>
      <c r="D230" t="s">
        <v>452</v>
      </c>
      <c r="E230" t="s">
        <v>381</v>
      </c>
      <c r="I230" t="s">
        <v>453</v>
      </c>
    </row>
    <row r="231" spans="1:9" x14ac:dyDescent="0.25">
      <c r="C231" t="s">
        <v>442</v>
      </c>
      <c r="D231" t="s">
        <v>454</v>
      </c>
      <c r="E231" t="s">
        <v>381</v>
      </c>
      <c r="I231" t="s">
        <v>455</v>
      </c>
    </row>
    <row r="232" spans="1:9" x14ac:dyDescent="0.25">
      <c r="C232" t="s">
        <v>442</v>
      </c>
      <c r="D232" t="s">
        <v>456</v>
      </c>
      <c r="E232" t="s">
        <v>381</v>
      </c>
      <c r="I232" t="s">
        <v>457</v>
      </c>
    </row>
    <row r="233" spans="1:9" x14ac:dyDescent="0.25">
      <c r="C233" t="s">
        <v>442</v>
      </c>
      <c r="D233" t="s">
        <v>458</v>
      </c>
      <c r="E233" t="s">
        <v>381</v>
      </c>
      <c r="I233" t="s">
        <v>459</v>
      </c>
    </row>
    <row r="234" spans="1:9" x14ac:dyDescent="0.25">
      <c r="C234" t="s">
        <v>442</v>
      </c>
      <c r="D234" t="s">
        <v>460</v>
      </c>
      <c r="E234" t="s">
        <v>381</v>
      </c>
      <c r="I234" t="s">
        <v>461</v>
      </c>
    </row>
    <row r="235" spans="1:9" x14ac:dyDescent="0.25">
      <c r="A235" t="s">
        <v>462</v>
      </c>
    </row>
    <row r="236" spans="1:9" x14ac:dyDescent="0.25">
      <c r="A236" t="s">
        <v>463</v>
      </c>
    </row>
    <row r="237" spans="1:9" x14ac:dyDescent="0.25">
      <c r="A237" s="412" t="s">
        <v>341</v>
      </c>
      <c r="B237" t="s">
        <v>464</v>
      </c>
      <c r="C237" s="412" t="s">
        <v>427</v>
      </c>
    </row>
    <row r="238" spans="1:9" x14ac:dyDescent="0.25">
      <c r="A238" s="412" t="s">
        <v>341</v>
      </c>
      <c r="B238" t="s">
        <v>465</v>
      </c>
      <c r="C238" t="b">
        <v>0</v>
      </c>
    </row>
    <row r="239" spans="1:9" x14ac:dyDescent="0.25">
      <c r="A239" s="412" t="s">
        <v>341</v>
      </c>
      <c r="B239" t="s">
        <v>466</v>
      </c>
      <c r="C239" s="412" t="s">
        <v>467</v>
      </c>
    </row>
    <row r="240" spans="1:9" x14ac:dyDescent="0.25">
      <c r="A240" s="412" t="s">
        <v>341</v>
      </c>
      <c r="B240" t="s">
        <v>468</v>
      </c>
      <c r="C240" t="b">
        <v>0</v>
      </c>
    </row>
    <row r="241" spans="1:3" x14ac:dyDescent="0.25">
      <c r="A241" s="412" t="s">
        <v>341</v>
      </c>
      <c r="B241" t="s">
        <v>469</v>
      </c>
      <c r="C241" t="b">
        <v>0</v>
      </c>
    </row>
    <row r="242" spans="1:3" x14ac:dyDescent="0.25">
      <c r="A242" s="412" t="s">
        <v>341</v>
      </c>
      <c r="B242" t="s">
        <v>470</v>
      </c>
      <c r="C242" t="b">
        <v>0</v>
      </c>
    </row>
    <row r="243" spans="1:3" x14ac:dyDescent="0.25">
      <c r="A243" s="412" t="s">
        <v>341</v>
      </c>
      <c r="B243" t="s">
        <v>471</v>
      </c>
      <c r="C243" t="b">
        <v>1</v>
      </c>
    </row>
    <row r="244" spans="1:3" x14ac:dyDescent="0.25">
      <c r="A244" s="412" t="s">
        <v>472</v>
      </c>
      <c r="B244" t="s">
        <v>473</v>
      </c>
      <c r="C244" t="b">
        <v>0</v>
      </c>
    </row>
    <row r="245" spans="1:3" x14ac:dyDescent="0.25">
      <c r="A245" s="412" t="s">
        <v>472</v>
      </c>
      <c r="B245" t="s">
        <v>474</v>
      </c>
      <c r="C245" s="412" t="s">
        <v>475</v>
      </c>
    </row>
    <row r="246" spans="1:3" x14ac:dyDescent="0.25">
      <c r="A246" s="412" t="s">
        <v>472</v>
      </c>
      <c r="B246" t="s">
        <v>476</v>
      </c>
      <c r="C246">
        <v>9</v>
      </c>
    </row>
    <row r="247" spans="1:3" x14ac:dyDescent="0.25">
      <c r="A247" s="412" t="s">
        <v>472</v>
      </c>
      <c r="B247" t="s">
        <v>477</v>
      </c>
      <c r="C247" s="412" t="s">
        <v>478</v>
      </c>
    </row>
    <row r="248" spans="1:3" x14ac:dyDescent="0.25">
      <c r="A248" s="412" t="s">
        <v>83</v>
      </c>
      <c r="B248" t="s">
        <v>473</v>
      </c>
      <c r="C248" t="b">
        <v>0</v>
      </c>
    </row>
    <row r="249" spans="1:3" x14ac:dyDescent="0.25">
      <c r="A249" s="412" t="s">
        <v>83</v>
      </c>
      <c r="B249" t="s">
        <v>474</v>
      </c>
      <c r="C249" s="412" t="s">
        <v>479</v>
      </c>
    </row>
    <row r="250" spans="1:3" x14ac:dyDescent="0.25">
      <c r="A250" s="412" t="s">
        <v>83</v>
      </c>
      <c r="B250" t="s">
        <v>476</v>
      </c>
      <c r="C250">
        <v>15.57</v>
      </c>
    </row>
    <row r="251" spans="1:3" x14ac:dyDescent="0.25">
      <c r="A251" s="412" t="s">
        <v>83</v>
      </c>
      <c r="B251" t="s">
        <v>477</v>
      </c>
      <c r="C251" s="412" t="s">
        <v>480</v>
      </c>
    </row>
    <row r="252" spans="1:3" x14ac:dyDescent="0.25">
      <c r="A252" s="412" t="s">
        <v>83</v>
      </c>
      <c r="B252" t="s">
        <v>481</v>
      </c>
      <c r="C252">
        <v>4</v>
      </c>
    </row>
    <row r="253" spans="1:3" x14ac:dyDescent="0.25">
      <c r="A253" s="412" t="s">
        <v>83</v>
      </c>
      <c r="B253" t="s">
        <v>482</v>
      </c>
      <c r="C253">
        <v>5</v>
      </c>
    </row>
    <row r="254" spans="1:3" x14ac:dyDescent="0.25">
      <c r="A254" s="412" t="s">
        <v>83</v>
      </c>
      <c r="B254" t="s">
        <v>483</v>
      </c>
      <c r="C254" s="412" t="s">
        <v>484</v>
      </c>
    </row>
    <row r="255" spans="1:3" x14ac:dyDescent="0.25">
      <c r="A255" s="412" t="s">
        <v>83</v>
      </c>
      <c r="B255" t="s">
        <v>485</v>
      </c>
      <c r="C255">
        <v>1</v>
      </c>
    </row>
    <row r="256" spans="1:3" x14ac:dyDescent="0.25">
      <c r="A256" s="412" t="s">
        <v>83</v>
      </c>
      <c r="B256" t="s">
        <v>486</v>
      </c>
      <c r="C256" t="b">
        <v>1</v>
      </c>
    </row>
    <row r="257" spans="1:3" x14ac:dyDescent="0.25">
      <c r="A257" s="412" t="s">
        <v>83</v>
      </c>
      <c r="B257" t="s">
        <v>487</v>
      </c>
      <c r="C257" t="b">
        <v>1</v>
      </c>
    </row>
    <row r="258" spans="1:3" x14ac:dyDescent="0.25">
      <c r="A258" s="412" t="s">
        <v>83</v>
      </c>
      <c r="B258" t="s">
        <v>488</v>
      </c>
      <c r="C258" t="b">
        <v>1</v>
      </c>
    </row>
    <row r="259" spans="1:3" x14ac:dyDescent="0.25">
      <c r="A259" s="412" t="s">
        <v>83</v>
      </c>
      <c r="B259" t="s">
        <v>489</v>
      </c>
      <c r="C259" t="b">
        <v>1</v>
      </c>
    </row>
    <row r="260" spans="1:3" x14ac:dyDescent="0.25">
      <c r="A260" s="412" t="s">
        <v>359</v>
      </c>
      <c r="B260" t="s">
        <v>473</v>
      </c>
      <c r="C260" t="b">
        <v>0</v>
      </c>
    </row>
    <row r="261" spans="1:3" x14ac:dyDescent="0.25">
      <c r="A261" s="412" t="s">
        <v>359</v>
      </c>
      <c r="B261" t="s">
        <v>474</v>
      </c>
      <c r="C261" s="412" t="s">
        <v>490</v>
      </c>
    </row>
    <row r="262" spans="1:3" x14ac:dyDescent="0.25">
      <c r="A262" s="412" t="s">
        <v>359</v>
      </c>
      <c r="B262" t="s">
        <v>476</v>
      </c>
      <c r="C262">
        <v>10.71</v>
      </c>
    </row>
    <row r="263" spans="1:3" x14ac:dyDescent="0.25">
      <c r="A263" s="412" t="s">
        <v>359</v>
      </c>
      <c r="B263" t="s">
        <v>477</v>
      </c>
      <c r="C263" s="412" t="s">
        <v>478</v>
      </c>
    </row>
    <row r="264" spans="1:3" x14ac:dyDescent="0.25">
      <c r="A264" s="412" t="s">
        <v>359</v>
      </c>
      <c r="B264" t="s">
        <v>481</v>
      </c>
      <c r="C264">
        <v>1</v>
      </c>
    </row>
    <row r="265" spans="1:3" x14ac:dyDescent="0.25">
      <c r="A265" s="412" t="s">
        <v>359</v>
      </c>
      <c r="B265" t="s">
        <v>482</v>
      </c>
      <c r="C265">
        <v>1</v>
      </c>
    </row>
    <row r="266" spans="1:3" x14ac:dyDescent="0.25">
      <c r="A266" s="412" t="s">
        <v>359</v>
      </c>
      <c r="B266" t="s">
        <v>483</v>
      </c>
      <c r="C266" s="412" t="s">
        <v>491</v>
      </c>
    </row>
    <row r="267" spans="1:3" x14ac:dyDescent="0.25">
      <c r="A267" s="412" t="s">
        <v>359</v>
      </c>
      <c r="B267" t="s">
        <v>492</v>
      </c>
      <c r="C267" s="412" t="s">
        <v>493</v>
      </c>
    </row>
    <row r="268" spans="1:3" x14ac:dyDescent="0.25">
      <c r="A268" s="412" t="s">
        <v>359</v>
      </c>
      <c r="B268" t="s">
        <v>485</v>
      </c>
      <c r="C268">
        <v>1</v>
      </c>
    </row>
    <row r="269" spans="1:3" x14ac:dyDescent="0.25">
      <c r="A269" s="412" t="s">
        <v>359</v>
      </c>
      <c r="B269" t="s">
        <v>486</v>
      </c>
      <c r="C269" t="b">
        <v>1</v>
      </c>
    </row>
    <row r="270" spans="1:3" x14ac:dyDescent="0.25">
      <c r="A270" s="412" t="s">
        <v>359</v>
      </c>
      <c r="B270" t="s">
        <v>487</v>
      </c>
      <c r="C270" t="b">
        <v>1</v>
      </c>
    </row>
    <row r="271" spans="1:3" x14ac:dyDescent="0.25">
      <c r="A271" s="412" t="s">
        <v>359</v>
      </c>
      <c r="B271" t="s">
        <v>488</v>
      </c>
      <c r="C271" t="b">
        <v>1</v>
      </c>
    </row>
    <row r="272" spans="1:3" x14ac:dyDescent="0.25">
      <c r="A272" s="412" t="s">
        <v>359</v>
      </c>
      <c r="B272" t="s">
        <v>489</v>
      </c>
      <c r="C272" t="b">
        <v>1</v>
      </c>
    </row>
    <row r="273" spans="1:3" x14ac:dyDescent="0.25">
      <c r="A273" s="412" t="s">
        <v>71</v>
      </c>
      <c r="B273" t="s">
        <v>473</v>
      </c>
      <c r="C273" t="b">
        <v>0</v>
      </c>
    </row>
    <row r="274" spans="1:3" x14ac:dyDescent="0.25">
      <c r="A274" s="412" t="s">
        <v>71</v>
      </c>
      <c r="B274" t="s">
        <v>474</v>
      </c>
      <c r="C274" s="412" t="s">
        <v>494</v>
      </c>
    </row>
    <row r="275" spans="1:3" x14ac:dyDescent="0.25">
      <c r="A275" s="412" t="s">
        <v>71</v>
      </c>
      <c r="B275" t="s">
        <v>476</v>
      </c>
      <c r="C275">
        <v>10.71</v>
      </c>
    </row>
    <row r="276" spans="1:3" x14ac:dyDescent="0.25">
      <c r="A276" s="412" t="s">
        <v>71</v>
      </c>
      <c r="B276" t="s">
        <v>477</v>
      </c>
      <c r="C276" s="412" t="s">
        <v>478</v>
      </c>
    </row>
    <row r="277" spans="1:3" x14ac:dyDescent="0.25">
      <c r="A277" s="412" t="s">
        <v>71</v>
      </c>
      <c r="B277" t="s">
        <v>481</v>
      </c>
      <c r="C277">
        <v>6</v>
      </c>
    </row>
    <row r="278" spans="1:3" x14ac:dyDescent="0.25">
      <c r="A278" s="412" t="s">
        <v>71</v>
      </c>
      <c r="B278" t="s">
        <v>482</v>
      </c>
      <c r="C278">
        <v>8</v>
      </c>
    </row>
    <row r="279" spans="1:3" x14ac:dyDescent="0.25">
      <c r="A279" s="412" t="s">
        <v>71</v>
      </c>
      <c r="B279" t="s">
        <v>483</v>
      </c>
      <c r="C279" s="412" t="s">
        <v>495</v>
      </c>
    </row>
    <row r="280" spans="1:3" x14ac:dyDescent="0.25">
      <c r="A280" s="412" t="s">
        <v>71</v>
      </c>
      <c r="B280" t="s">
        <v>485</v>
      </c>
      <c r="C280">
        <v>1</v>
      </c>
    </row>
    <row r="281" spans="1:3" x14ac:dyDescent="0.25">
      <c r="A281" s="412" t="s">
        <v>71</v>
      </c>
      <c r="B281" t="s">
        <v>486</v>
      </c>
      <c r="C281" t="b">
        <v>1</v>
      </c>
    </row>
    <row r="282" spans="1:3" x14ac:dyDescent="0.25">
      <c r="A282" s="412" t="s">
        <v>71</v>
      </c>
      <c r="B282" t="s">
        <v>487</v>
      </c>
      <c r="C282" t="b">
        <v>1</v>
      </c>
    </row>
    <row r="283" spans="1:3" x14ac:dyDescent="0.25">
      <c r="A283" s="412" t="s">
        <v>71</v>
      </c>
      <c r="B283" t="s">
        <v>488</v>
      </c>
      <c r="C283" t="b">
        <v>1</v>
      </c>
    </row>
    <row r="284" spans="1:3" x14ac:dyDescent="0.25">
      <c r="A284" s="412" t="s">
        <v>71</v>
      </c>
      <c r="B284" t="s">
        <v>489</v>
      </c>
      <c r="C284" t="b">
        <v>1</v>
      </c>
    </row>
    <row r="285" spans="1:3" x14ac:dyDescent="0.25">
      <c r="A285" s="412" t="s">
        <v>70</v>
      </c>
      <c r="B285" t="s">
        <v>473</v>
      </c>
      <c r="C285" t="b">
        <v>0</v>
      </c>
    </row>
    <row r="286" spans="1:3" x14ac:dyDescent="0.25">
      <c r="A286" s="412" t="s">
        <v>70</v>
      </c>
      <c r="B286" t="s">
        <v>474</v>
      </c>
      <c r="C286" s="412" t="s">
        <v>496</v>
      </c>
    </row>
    <row r="287" spans="1:3" x14ac:dyDescent="0.25">
      <c r="A287" s="412" t="s">
        <v>70</v>
      </c>
      <c r="B287" t="s">
        <v>476</v>
      </c>
      <c r="C287">
        <v>9.57</v>
      </c>
    </row>
    <row r="288" spans="1:3" x14ac:dyDescent="0.25">
      <c r="A288" s="412" t="s">
        <v>70</v>
      </c>
      <c r="B288" t="s">
        <v>477</v>
      </c>
      <c r="C288" s="412" t="s">
        <v>478</v>
      </c>
    </row>
    <row r="289" spans="1:3" x14ac:dyDescent="0.25">
      <c r="A289" s="412" t="s">
        <v>70</v>
      </c>
      <c r="B289" t="s">
        <v>481</v>
      </c>
      <c r="C289">
        <v>6</v>
      </c>
    </row>
    <row r="290" spans="1:3" x14ac:dyDescent="0.25">
      <c r="A290" s="412" t="s">
        <v>70</v>
      </c>
      <c r="B290" t="s">
        <v>482</v>
      </c>
      <c r="C290">
        <v>8</v>
      </c>
    </row>
    <row r="291" spans="1:3" x14ac:dyDescent="0.25">
      <c r="A291" s="412" t="s">
        <v>70</v>
      </c>
      <c r="B291" t="s">
        <v>483</v>
      </c>
      <c r="C291" s="412" t="s">
        <v>495</v>
      </c>
    </row>
    <row r="292" spans="1:3" x14ac:dyDescent="0.25">
      <c r="A292" s="412" t="s">
        <v>70</v>
      </c>
      <c r="B292" t="s">
        <v>485</v>
      </c>
      <c r="C292">
        <v>1</v>
      </c>
    </row>
    <row r="293" spans="1:3" x14ac:dyDescent="0.25">
      <c r="A293" s="412" t="s">
        <v>70</v>
      </c>
      <c r="B293" t="s">
        <v>486</v>
      </c>
      <c r="C293" t="b">
        <v>1</v>
      </c>
    </row>
    <row r="294" spans="1:3" x14ac:dyDescent="0.25">
      <c r="A294" s="412" t="s">
        <v>70</v>
      </c>
      <c r="B294" t="s">
        <v>487</v>
      </c>
      <c r="C294" t="b">
        <v>1</v>
      </c>
    </row>
    <row r="295" spans="1:3" x14ac:dyDescent="0.25">
      <c r="A295" s="412" t="s">
        <v>70</v>
      </c>
      <c r="B295" t="s">
        <v>488</v>
      </c>
      <c r="C295" t="b">
        <v>1</v>
      </c>
    </row>
    <row r="296" spans="1:3" x14ac:dyDescent="0.25">
      <c r="A296" s="412" t="s">
        <v>70</v>
      </c>
      <c r="B296" t="s">
        <v>489</v>
      </c>
      <c r="C296" t="b">
        <v>1</v>
      </c>
    </row>
    <row r="297" spans="1:3" x14ac:dyDescent="0.25">
      <c r="A297" s="412" t="s">
        <v>68</v>
      </c>
      <c r="B297" t="s">
        <v>473</v>
      </c>
      <c r="C297" t="b">
        <v>0</v>
      </c>
    </row>
    <row r="298" spans="1:3" x14ac:dyDescent="0.25">
      <c r="A298" s="412" t="s">
        <v>68</v>
      </c>
      <c r="B298" t="s">
        <v>474</v>
      </c>
      <c r="C298" s="412" t="s">
        <v>497</v>
      </c>
    </row>
    <row r="299" spans="1:3" x14ac:dyDescent="0.25">
      <c r="A299" s="412" t="s">
        <v>68</v>
      </c>
      <c r="B299" t="s">
        <v>476</v>
      </c>
      <c r="C299">
        <v>18.14</v>
      </c>
    </row>
    <row r="300" spans="1:3" x14ac:dyDescent="0.25">
      <c r="A300" s="412" t="s">
        <v>68</v>
      </c>
      <c r="B300" t="s">
        <v>477</v>
      </c>
      <c r="C300" s="412" t="s">
        <v>478</v>
      </c>
    </row>
    <row r="301" spans="1:3" x14ac:dyDescent="0.25">
      <c r="A301" s="412" t="s">
        <v>68</v>
      </c>
      <c r="B301" t="s">
        <v>481</v>
      </c>
      <c r="C301">
        <v>6</v>
      </c>
    </row>
    <row r="302" spans="1:3" x14ac:dyDescent="0.25">
      <c r="A302" s="412" t="s">
        <v>68</v>
      </c>
      <c r="B302" t="s">
        <v>482</v>
      </c>
      <c r="C302">
        <v>8</v>
      </c>
    </row>
    <row r="303" spans="1:3" x14ac:dyDescent="0.25">
      <c r="A303" s="412" t="s">
        <v>68</v>
      </c>
      <c r="B303" t="s">
        <v>483</v>
      </c>
      <c r="C303" s="412" t="s">
        <v>495</v>
      </c>
    </row>
    <row r="304" spans="1:3" x14ac:dyDescent="0.25">
      <c r="A304" s="412" t="s">
        <v>68</v>
      </c>
      <c r="B304" t="s">
        <v>485</v>
      </c>
      <c r="C304">
        <v>1</v>
      </c>
    </row>
    <row r="305" spans="1:3" x14ac:dyDescent="0.25">
      <c r="A305" s="412" t="s">
        <v>68</v>
      </c>
      <c r="B305" t="s">
        <v>486</v>
      </c>
      <c r="C305" t="b">
        <v>1</v>
      </c>
    </row>
    <row r="306" spans="1:3" x14ac:dyDescent="0.25">
      <c r="A306" s="412" t="s">
        <v>68</v>
      </c>
      <c r="B306" t="s">
        <v>487</v>
      </c>
      <c r="C306" t="b">
        <v>1</v>
      </c>
    </row>
    <row r="307" spans="1:3" x14ac:dyDescent="0.25">
      <c r="A307" s="412" t="s">
        <v>68</v>
      </c>
      <c r="B307" t="s">
        <v>488</v>
      </c>
      <c r="C307" t="b">
        <v>1</v>
      </c>
    </row>
    <row r="308" spans="1:3" x14ac:dyDescent="0.25">
      <c r="A308" s="412" t="s">
        <v>68</v>
      </c>
      <c r="B308" t="s">
        <v>489</v>
      </c>
      <c r="C308" t="b">
        <v>1</v>
      </c>
    </row>
    <row r="309" spans="1:3" x14ac:dyDescent="0.25">
      <c r="A309" s="412" t="s">
        <v>360</v>
      </c>
      <c r="B309" t="s">
        <v>473</v>
      </c>
      <c r="C309" t="b">
        <v>0</v>
      </c>
    </row>
    <row r="310" spans="1:3" x14ac:dyDescent="0.25">
      <c r="A310" s="412" t="s">
        <v>360</v>
      </c>
      <c r="B310" t="s">
        <v>474</v>
      </c>
      <c r="C310" s="412" t="s">
        <v>498</v>
      </c>
    </row>
    <row r="311" spans="1:3" x14ac:dyDescent="0.25">
      <c r="A311" s="412" t="s">
        <v>360</v>
      </c>
      <c r="B311" t="s">
        <v>476</v>
      </c>
      <c r="C311">
        <v>15.14</v>
      </c>
    </row>
    <row r="312" spans="1:3" x14ac:dyDescent="0.25">
      <c r="A312" s="412" t="s">
        <v>360</v>
      </c>
      <c r="B312" t="s">
        <v>477</v>
      </c>
      <c r="C312" s="412" t="s">
        <v>478</v>
      </c>
    </row>
    <row r="313" spans="1:3" x14ac:dyDescent="0.25">
      <c r="A313" s="412" t="s">
        <v>360</v>
      </c>
      <c r="B313" t="s">
        <v>481</v>
      </c>
      <c r="C313">
        <v>6</v>
      </c>
    </row>
    <row r="314" spans="1:3" x14ac:dyDescent="0.25">
      <c r="A314" s="412" t="s">
        <v>360</v>
      </c>
      <c r="B314" t="s">
        <v>482</v>
      </c>
      <c r="C314">
        <v>8</v>
      </c>
    </row>
    <row r="315" spans="1:3" x14ac:dyDescent="0.25">
      <c r="A315" s="412" t="s">
        <v>360</v>
      </c>
      <c r="B315" t="s">
        <v>483</v>
      </c>
      <c r="C315" s="412" t="s">
        <v>495</v>
      </c>
    </row>
    <row r="316" spans="1:3" x14ac:dyDescent="0.25">
      <c r="A316" s="412" t="s">
        <v>360</v>
      </c>
      <c r="B316" t="s">
        <v>485</v>
      </c>
      <c r="C316">
        <v>1</v>
      </c>
    </row>
    <row r="317" spans="1:3" x14ac:dyDescent="0.25">
      <c r="A317" s="412" t="s">
        <v>360</v>
      </c>
      <c r="B317" t="s">
        <v>486</v>
      </c>
      <c r="C317" t="b">
        <v>1</v>
      </c>
    </row>
    <row r="318" spans="1:3" x14ac:dyDescent="0.25">
      <c r="A318" s="412" t="s">
        <v>360</v>
      </c>
      <c r="B318" t="s">
        <v>487</v>
      </c>
      <c r="C318" t="b">
        <v>1</v>
      </c>
    </row>
    <row r="319" spans="1:3" x14ac:dyDescent="0.25">
      <c r="A319" s="412" t="s">
        <v>360</v>
      </c>
      <c r="B319" t="s">
        <v>488</v>
      </c>
      <c r="C319" t="b">
        <v>1</v>
      </c>
    </row>
    <row r="320" spans="1:3" x14ac:dyDescent="0.25">
      <c r="A320" s="412" t="s">
        <v>360</v>
      </c>
      <c r="B320" t="s">
        <v>489</v>
      </c>
      <c r="C320" t="b">
        <v>1</v>
      </c>
    </row>
    <row r="321" spans="1:3" x14ac:dyDescent="0.25">
      <c r="A321" s="412" t="s">
        <v>361</v>
      </c>
      <c r="B321" t="s">
        <v>473</v>
      </c>
      <c r="C321" t="b">
        <v>0</v>
      </c>
    </row>
    <row r="322" spans="1:3" x14ac:dyDescent="0.25">
      <c r="A322" s="412" t="s">
        <v>361</v>
      </c>
      <c r="B322" t="s">
        <v>474</v>
      </c>
      <c r="C322" s="412" t="s">
        <v>499</v>
      </c>
    </row>
    <row r="323" spans="1:3" x14ac:dyDescent="0.25">
      <c r="A323" s="412" t="s">
        <v>361</v>
      </c>
      <c r="B323" t="s">
        <v>476</v>
      </c>
      <c r="C323">
        <v>14.29</v>
      </c>
    </row>
    <row r="324" spans="1:3" x14ac:dyDescent="0.25">
      <c r="A324" s="412" t="s">
        <v>361</v>
      </c>
      <c r="B324" t="s">
        <v>477</v>
      </c>
      <c r="C324" s="412" t="s">
        <v>478</v>
      </c>
    </row>
    <row r="325" spans="1:3" x14ac:dyDescent="0.25">
      <c r="A325" s="412" t="s">
        <v>361</v>
      </c>
      <c r="B325" t="s">
        <v>481</v>
      </c>
      <c r="C325">
        <v>6</v>
      </c>
    </row>
    <row r="326" spans="1:3" x14ac:dyDescent="0.25">
      <c r="A326" s="412" t="s">
        <v>361</v>
      </c>
      <c r="B326" t="s">
        <v>482</v>
      </c>
      <c r="C326">
        <v>8</v>
      </c>
    </row>
    <row r="327" spans="1:3" x14ac:dyDescent="0.25">
      <c r="A327" s="412" t="s">
        <v>361</v>
      </c>
      <c r="B327" t="s">
        <v>483</v>
      </c>
      <c r="C327" s="412" t="s">
        <v>495</v>
      </c>
    </row>
    <row r="328" spans="1:3" x14ac:dyDescent="0.25">
      <c r="A328" s="412" t="s">
        <v>361</v>
      </c>
      <c r="B328" t="s">
        <v>485</v>
      </c>
      <c r="C328">
        <v>1</v>
      </c>
    </row>
    <row r="329" spans="1:3" x14ac:dyDescent="0.25">
      <c r="A329" s="412" t="s">
        <v>361</v>
      </c>
      <c r="B329" t="s">
        <v>486</v>
      </c>
      <c r="C329" t="b">
        <v>1</v>
      </c>
    </row>
    <row r="330" spans="1:3" x14ac:dyDescent="0.25">
      <c r="A330" s="412" t="s">
        <v>361</v>
      </c>
      <c r="B330" t="s">
        <v>487</v>
      </c>
      <c r="C330" t="b">
        <v>1</v>
      </c>
    </row>
    <row r="331" spans="1:3" x14ac:dyDescent="0.25">
      <c r="A331" s="412" t="s">
        <v>361</v>
      </c>
      <c r="B331" t="s">
        <v>488</v>
      </c>
      <c r="C331" t="b">
        <v>1</v>
      </c>
    </row>
    <row r="332" spans="1:3" x14ac:dyDescent="0.25">
      <c r="A332" s="412" t="s">
        <v>361</v>
      </c>
      <c r="B332" t="s">
        <v>489</v>
      </c>
      <c r="C332" t="b">
        <v>1</v>
      </c>
    </row>
    <row r="333" spans="1:3" x14ac:dyDescent="0.25">
      <c r="A333" s="412" t="s">
        <v>362</v>
      </c>
      <c r="B333" t="s">
        <v>473</v>
      </c>
      <c r="C333" t="b">
        <v>0</v>
      </c>
    </row>
    <row r="334" spans="1:3" x14ac:dyDescent="0.25">
      <c r="A334" s="412" t="s">
        <v>362</v>
      </c>
      <c r="B334" t="s">
        <v>474</v>
      </c>
      <c r="C334" s="412" t="s">
        <v>500</v>
      </c>
    </row>
    <row r="335" spans="1:3" x14ac:dyDescent="0.25">
      <c r="A335" s="412" t="s">
        <v>362</v>
      </c>
      <c r="B335" t="s">
        <v>476</v>
      </c>
      <c r="C335">
        <v>12.71</v>
      </c>
    </row>
    <row r="336" spans="1:3" x14ac:dyDescent="0.25">
      <c r="A336" s="412" t="s">
        <v>362</v>
      </c>
      <c r="B336" t="s">
        <v>477</v>
      </c>
      <c r="C336" s="412" t="s">
        <v>478</v>
      </c>
    </row>
    <row r="337" spans="1:3" x14ac:dyDescent="0.25">
      <c r="A337" s="412" t="s">
        <v>362</v>
      </c>
      <c r="B337" t="s">
        <v>481</v>
      </c>
      <c r="C337">
        <v>6</v>
      </c>
    </row>
    <row r="338" spans="1:3" x14ac:dyDescent="0.25">
      <c r="A338" s="412" t="s">
        <v>362</v>
      </c>
      <c r="B338" t="s">
        <v>482</v>
      </c>
      <c r="C338">
        <v>8</v>
      </c>
    </row>
    <row r="339" spans="1:3" x14ac:dyDescent="0.25">
      <c r="A339" s="412" t="s">
        <v>362</v>
      </c>
      <c r="B339" t="s">
        <v>483</v>
      </c>
      <c r="C339" s="412" t="s">
        <v>495</v>
      </c>
    </row>
    <row r="340" spans="1:3" x14ac:dyDescent="0.25">
      <c r="A340" s="412" t="s">
        <v>362</v>
      </c>
      <c r="B340" t="s">
        <v>485</v>
      </c>
      <c r="C340">
        <v>1</v>
      </c>
    </row>
    <row r="341" spans="1:3" x14ac:dyDescent="0.25">
      <c r="A341" s="412" t="s">
        <v>362</v>
      </c>
      <c r="B341" t="s">
        <v>486</v>
      </c>
      <c r="C341" t="b">
        <v>1</v>
      </c>
    </row>
    <row r="342" spans="1:3" x14ac:dyDescent="0.25">
      <c r="A342" s="412" t="s">
        <v>362</v>
      </c>
      <c r="B342" t="s">
        <v>487</v>
      </c>
      <c r="C342" t="b">
        <v>1</v>
      </c>
    </row>
    <row r="343" spans="1:3" x14ac:dyDescent="0.25">
      <c r="A343" s="412" t="s">
        <v>362</v>
      </c>
      <c r="B343" t="s">
        <v>488</v>
      </c>
      <c r="C343" t="b">
        <v>1</v>
      </c>
    </row>
    <row r="344" spans="1:3" x14ac:dyDescent="0.25">
      <c r="A344" s="412" t="s">
        <v>362</v>
      </c>
      <c r="B344" t="s">
        <v>489</v>
      </c>
      <c r="C344" t="b">
        <v>1</v>
      </c>
    </row>
    <row r="345" spans="1:3" x14ac:dyDescent="0.25">
      <c r="A345" s="412" t="s">
        <v>363</v>
      </c>
      <c r="B345" t="s">
        <v>473</v>
      </c>
      <c r="C345" t="b">
        <v>0</v>
      </c>
    </row>
    <row r="346" spans="1:3" x14ac:dyDescent="0.25">
      <c r="A346" s="412" t="s">
        <v>363</v>
      </c>
      <c r="B346" t="s">
        <v>474</v>
      </c>
      <c r="C346" s="412" t="s">
        <v>501</v>
      </c>
    </row>
    <row r="347" spans="1:3" x14ac:dyDescent="0.25">
      <c r="A347" s="412" t="s">
        <v>363</v>
      </c>
      <c r="B347" t="s">
        <v>476</v>
      </c>
      <c r="C347">
        <v>15</v>
      </c>
    </row>
    <row r="348" spans="1:3" x14ac:dyDescent="0.25">
      <c r="A348" s="412" t="s">
        <v>363</v>
      </c>
      <c r="B348" t="s">
        <v>477</v>
      </c>
      <c r="C348" s="412" t="s">
        <v>478</v>
      </c>
    </row>
    <row r="349" spans="1:3" x14ac:dyDescent="0.25">
      <c r="A349" s="412" t="s">
        <v>363</v>
      </c>
      <c r="B349" t="s">
        <v>481</v>
      </c>
      <c r="C349">
        <v>6</v>
      </c>
    </row>
    <row r="350" spans="1:3" x14ac:dyDescent="0.25">
      <c r="A350" s="412" t="s">
        <v>363</v>
      </c>
      <c r="B350" t="s">
        <v>482</v>
      </c>
      <c r="C350">
        <v>8</v>
      </c>
    </row>
    <row r="351" spans="1:3" x14ac:dyDescent="0.25">
      <c r="A351" s="412" t="s">
        <v>363</v>
      </c>
      <c r="B351" t="s">
        <v>483</v>
      </c>
      <c r="C351" s="412" t="s">
        <v>495</v>
      </c>
    </row>
    <row r="352" spans="1:3" x14ac:dyDescent="0.25">
      <c r="A352" s="412" t="s">
        <v>363</v>
      </c>
      <c r="B352" t="s">
        <v>485</v>
      </c>
      <c r="C352">
        <v>1</v>
      </c>
    </row>
    <row r="353" spans="1:3" x14ac:dyDescent="0.25">
      <c r="A353" s="412" t="s">
        <v>363</v>
      </c>
      <c r="B353" t="s">
        <v>486</v>
      </c>
      <c r="C353" t="b">
        <v>1</v>
      </c>
    </row>
    <row r="354" spans="1:3" x14ac:dyDescent="0.25">
      <c r="A354" s="412" t="s">
        <v>363</v>
      </c>
      <c r="B354" t="s">
        <v>487</v>
      </c>
      <c r="C354" t="b">
        <v>1</v>
      </c>
    </row>
    <row r="355" spans="1:3" x14ac:dyDescent="0.25">
      <c r="A355" s="412" t="s">
        <v>363</v>
      </c>
      <c r="B355" t="s">
        <v>488</v>
      </c>
      <c r="C355" t="b">
        <v>1</v>
      </c>
    </row>
    <row r="356" spans="1:3" x14ac:dyDescent="0.25">
      <c r="A356" s="412" t="s">
        <v>363</v>
      </c>
      <c r="B356" t="s">
        <v>489</v>
      </c>
      <c r="C356" t="b">
        <v>1</v>
      </c>
    </row>
    <row r="357" spans="1:3" x14ac:dyDescent="0.25">
      <c r="A357" s="412" t="s">
        <v>33</v>
      </c>
      <c r="B357" t="s">
        <v>473</v>
      </c>
      <c r="C357" t="b">
        <v>0</v>
      </c>
    </row>
    <row r="358" spans="1:3" x14ac:dyDescent="0.25">
      <c r="A358" s="412" t="s">
        <v>33</v>
      </c>
      <c r="B358" t="s">
        <v>474</v>
      </c>
      <c r="C358" s="412" t="s">
        <v>502</v>
      </c>
    </row>
    <row r="359" spans="1:3" x14ac:dyDescent="0.25">
      <c r="A359" s="412" t="s">
        <v>33</v>
      </c>
      <c r="B359" t="s">
        <v>476</v>
      </c>
      <c r="C359">
        <v>10.29</v>
      </c>
    </row>
    <row r="360" spans="1:3" x14ac:dyDescent="0.25">
      <c r="A360" s="412" t="s">
        <v>33</v>
      </c>
      <c r="B360" t="s">
        <v>477</v>
      </c>
      <c r="C360" s="412" t="s">
        <v>478</v>
      </c>
    </row>
    <row r="361" spans="1:3" x14ac:dyDescent="0.25">
      <c r="A361" s="412" t="s">
        <v>33</v>
      </c>
      <c r="B361" t="s">
        <v>481</v>
      </c>
      <c r="C361">
        <v>6</v>
      </c>
    </row>
    <row r="362" spans="1:3" x14ac:dyDescent="0.25">
      <c r="A362" s="412" t="s">
        <v>33</v>
      </c>
      <c r="B362" t="s">
        <v>482</v>
      </c>
      <c r="C362">
        <v>8</v>
      </c>
    </row>
    <row r="363" spans="1:3" x14ac:dyDescent="0.25">
      <c r="A363" s="412" t="s">
        <v>33</v>
      </c>
      <c r="B363" t="s">
        <v>483</v>
      </c>
      <c r="C363" s="412" t="s">
        <v>495</v>
      </c>
    </row>
    <row r="364" spans="1:3" x14ac:dyDescent="0.25">
      <c r="A364" s="412" t="s">
        <v>33</v>
      </c>
      <c r="B364" t="s">
        <v>485</v>
      </c>
      <c r="C364">
        <v>1</v>
      </c>
    </row>
    <row r="365" spans="1:3" x14ac:dyDescent="0.25">
      <c r="A365" s="412" t="s">
        <v>33</v>
      </c>
      <c r="B365" t="s">
        <v>486</v>
      </c>
      <c r="C365" t="b">
        <v>1</v>
      </c>
    </row>
    <row r="366" spans="1:3" x14ac:dyDescent="0.25">
      <c r="A366" s="412" t="s">
        <v>33</v>
      </c>
      <c r="B366" t="s">
        <v>487</v>
      </c>
      <c r="C366" t="b">
        <v>1</v>
      </c>
    </row>
    <row r="367" spans="1:3" x14ac:dyDescent="0.25">
      <c r="A367" s="412" t="s">
        <v>33</v>
      </c>
      <c r="B367" t="s">
        <v>488</v>
      </c>
      <c r="C367" t="b">
        <v>1</v>
      </c>
    </row>
    <row r="368" spans="1:3" x14ac:dyDescent="0.25">
      <c r="A368" s="412" t="s">
        <v>33</v>
      </c>
      <c r="B368" t="s">
        <v>489</v>
      </c>
      <c r="C368" t="b">
        <v>1</v>
      </c>
    </row>
    <row r="369" spans="1:3" x14ac:dyDescent="0.25">
      <c r="A369" s="412" t="s">
        <v>364</v>
      </c>
      <c r="B369" t="s">
        <v>473</v>
      </c>
      <c r="C369" t="b">
        <v>0</v>
      </c>
    </row>
    <row r="370" spans="1:3" x14ac:dyDescent="0.25">
      <c r="A370" s="412" t="s">
        <v>364</v>
      </c>
      <c r="B370" t="s">
        <v>474</v>
      </c>
      <c r="C370" s="412" t="s">
        <v>503</v>
      </c>
    </row>
    <row r="371" spans="1:3" x14ac:dyDescent="0.25">
      <c r="A371" s="412" t="s">
        <v>364</v>
      </c>
      <c r="B371" t="s">
        <v>476</v>
      </c>
      <c r="C371">
        <v>4.8600000000000003</v>
      </c>
    </row>
    <row r="372" spans="1:3" x14ac:dyDescent="0.25">
      <c r="A372" s="412" t="s">
        <v>364</v>
      </c>
      <c r="B372" t="s">
        <v>477</v>
      </c>
      <c r="C372" s="412" t="s">
        <v>478</v>
      </c>
    </row>
    <row r="373" spans="1:3" x14ac:dyDescent="0.25">
      <c r="A373" s="412" t="s">
        <v>364</v>
      </c>
      <c r="B373" t="s">
        <v>481</v>
      </c>
      <c r="C373">
        <v>6</v>
      </c>
    </row>
    <row r="374" spans="1:3" x14ac:dyDescent="0.25">
      <c r="A374" s="412" t="s">
        <v>364</v>
      </c>
      <c r="B374" t="s">
        <v>482</v>
      </c>
      <c r="C374">
        <v>8</v>
      </c>
    </row>
    <row r="375" spans="1:3" x14ac:dyDescent="0.25">
      <c r="A375" s="412" t="s">
        <v>364</v>
      </c>
      <c r="B375" t="s">
        <v>483</v>
      </c>
      <c r="C375" s="412" t="s">
        <v>495</v>
      </c>
    </row>
    <row r="376" spans="1:3" x14ac:dyDescent="0.25">
      <c r="A376" s="412" t="s">
        <v>364</v>
      </c>
      <c r="B376" t="s">
        <v>485</v>
      </c>
      <c r="C376">
        <v>1</v>
      </c>
    </row>
    <row r="377" spans="1:3" x14ac:dyDescent="0.25">
      <c r="A377" s="412" t="s">
        <v>364</v>
      </c>
      <c r="B377" t="s">
        <v>486</v>
      </c>
      <c r="C377" t="b">
        <v>1</v>
      </c>
    </row>
    <row r="378" spans="1:3" x14ac:dyDescent="0.25">
      <c r="A378" s="412" t="s">
        <v>364</v>
      </c>
      <c r="B378" t="s">
        <v>487</v>
      </c>
      <c r="C378" t="b">
        <v>1</v>
      </c>
    </row>
    <row r="379" spans="1:3" x14ac:dyDescent="0.25">
      <c r="A379" s="412" t="s">
        <v>364</v>
      </c>
      <c r="B379" t="s">
        <v>488</v>
      </c>
      <c r="C379" t="b">
        <v>1</v>
      </c>
    </row>
    <row r="380" spans="1:3" x14ac:dyDescent="0.25">
      <c r="A380" s="412" t="s">
        <v>364</v>
      </c>
      <c r="B380" t="s">
        <v>489</v>
      </c>
      <c r="C380" t="b">
        <v>1</v>
      </c>
    </row>
    <row r="381" spans="1:3" x14ac:dyDescent="0.25">
      <c r="A381" s="412" t="s">
        <v>148</v>
      </c>
      <c r="B381" t="s">
        <v>473</v>
      </c>
      <c r="C381" t="b">
        <v>0</v>
      </c>
    </row>
    <row r="382" spans="1:3" x14ac:dyDescent="0.25">
      <c r="A382" s="412" t="s">
        <v>148</v>
      </c>
      <c r="B382" t="s">
        <v>474</v>
      </c>
      <c r="C382" s="412" t="s">
        <v>504</v>
      </c>
    </row>
    <row r="383" spans="1:3" x14ac:dyDescent="0.25">
      <c r="A383" s="412" t="s">
        <v>148</v>
      </c>
      <c r="B383" t="s">
        <v>476</v>
      </c>
      <c r="C383">
        <v>11.43</v>
      </c>
    </row>
    <row r="384" spans="1:3" x14ac:dyDescent="0.25">
      <c r="A384" s="412" t="s">
        <v>148</v>
      </c>
      <c r="B384" t="s">
        <v>477</v>
      </c>
      <c r="C384" s="412" t="s">
        <v>478</v>
      </c>
    </row>
    <row r="385" spans="1:3" x14ac:dyDescent="0.25">
      <c r="A385" s="412" t="s">
        <v>148</v>
      </c>
      <c r="B385" t="s">
        <v>481</v>
      </c>
      <c r="C385">
        <v>6</v>
      </c>
    </row>
    <row r="386" spans="1:3" x14ac:dyDescent="0.25">
      <c r="A386" s="412" t="s">
        <v>148</v>
      </c>
      <c r="B386" t="s">
        <v>482</v>
      </c>
      <c r="C386">
        <v>8</v>
      </c>
    </row>
    <row r="387" spans="1:3" x14ac:dyDescent="0.25">
      <c r="A387" s="412" t="s">
        <v>148</v>
      </c>
      <c r="B387" t="s">
        <v>483</v>
      </c>
      <c r="C387" s="412" t="s">
        <v>495</v>
      </c>
    </row>
    <row r="388" spans="1:3" x14ac:dyDescent="0.25">
      <c r="A388" s="412" t="s">
        <v>148</v>
      </c>
      <c r="B388" t="s">
        <v>485</v>
      </c>
      <c r="C388">
        <v>1</v>
      </c>
    </row>
    <row r="389" spans="1:3" x14ac:dyDescent="0.25">
      <c r="A389" s="412" t="s">
        <v>148</v>
      </c>
      <c r="B389" t="s">
        <v>486</v>
      </c>
      <c r="C389" t="b">
        <v>1</v>
      </c>
    </row>
    <row r="390" spans="1:3" x14ac:dyDescent="0.25">
      <c r="A390" s="412" t="s">
        <v>148</v>
      </c>
      <c r="B390" t="s">
        <v>487</v>
      </c>
      <c r="C390" t="b">
        <v>1</v>
      </c>
    </row>
    <row r="391" spans="1:3" x14ac:dyDescent="0.25">
      <c r="A391" s="412" t="s">
        <v>148</v>
      </c>
      <c r="B391" t="s">
        <v>488</v>
      </c>
      <c r="C391" t="b">
        <v>1</v>
      </c>
    </row>
    <row r="392" spans="1:3" x14ac:dyDescent="0.25">
      <c r="A392" s="412" t="s">
        <v>148</v>
      </c>
      <c r="B392" t="s">
        <v>489</v>
      </c>
      <c r="C392" t="b">
        <v>1</v>
      </c>
    </row>
    <row r="393" spans="1:3" x14ac:dyDescent="0.25">
      <c r="A393" s="412" t="s">
        <v>365</v>
      </c>
      <c r="B393" t="s">
        <v>473</v>
      </c>
      <c r="C393" t="b">
        <v>0</v>
      </c>
    </row>
    <row r="394" spans="1:3" x14ac:dyDescent="0.25">
      <c r="A394" s="412" t="s">
        <v>365</v>
      </c>
      <c r="B394" t="s">
        <v>474</v>
      </c>
      <c r="C394" s="412" t="s">
        <v>505</v>
      </c>
    </row>
    <row r="395" spans="1:3" x14ac:dyDescent="0.25">
      <c r="A395" s="412" t="s">
        <v>365</v>
      </c>
      <c r="B395" t="s">
        <v>476</v>
      </c>
      <c r="C395">
        <v>19.14</v>
      </c>
    </row>
    <row r="396" spans="1:3" x14ac:dyDescent="0.25">
      <c r="A396" s="412" t="s">
        <v>365</v>
      </c>
      <c r="B396" t="s">
        <v>477</v>
      </c>
      <c r="C396" s="412" t="s">
        <v>478</v>
      </c>
    </row>
    <row r="397" spans="1:3" x14ac:dyDescent="0.25">
      <c r="A397" s="412" t="s">
        <v>365</v>
      </c>
      <c r="B397" t="s">
        <v>481</v>
      </c>
      <c r="C397">
        <v>6</v>
      </c>
    </row>
    <row r="398" spans="1:3" x14ac:dyDescent="0.25">
      <c r="A398" s="412" t="s">
        <v>365</v>
      </c>
      <c r="B398" t="s">
        <v>482</v>
      </c>
      <c r="C398">
        <v>8</v>
      </c>
    </row>
    <row r="399" spans="1:3" x14ac:dyDescent="0.25">
      <c r="A399" s="412" t="s">
        <v>365</v>
      </c>
      <c r="B399" t="s">
        <v>483</v>
      </c>
      <c r="C399" s="412" t="s">
        <v>495</v>
      </c>
    </row>
    <row r="400" spans="1:3" x14ac:dyDescent="0.25">
      <c r="A400" s="412" t="s">
        <v>365</v>
      </c>
      <c r="B400" t="s">
        <v>485</v>
      </c>
      <c r="C400">
        <v>1</v>
      </c>
    </row>
    <row r="401" spans="1:3" x14ac:dyDescent="0.25">
      <c r="A401" s="412" t="s">
        <v>365</v>
      </c>
      <c r="B401" t="s">
        <v>486</v>
      </c>
      <c r="C401" t="b">
        <v>1</v>
      </c>
    </row>
    <row r="402" spans="1:3" x14ac:dyDescent="0.25">
      <c r="A402" s="412" t="s">
        <v>365</v>
      </c>
      <c r="B402" t="s">
        <v>487</v>
      </c>
      <c r="C402" t="b">
        <v>1</v>
      </c>
    </row>
    <row r="403" spans="1:3" x14ac:dyDescent="0.25">
      <c r="A403" s="412" t="s">
        <v>365</v>
      </c>
      <c r="B403" t="s">
        <v>488</v>
      </c>
      <c r="C403" t="b">
        <v>1</v>
      </c>
    </row>
    <row r="404" spans="1:3" x14ac:dyDescent="0.25">
      <c r="A404" s="412" t="s">
        <v>365</v>
      </c>
      <c r="B404" t="s">
        <v>489</v>
      </c>
      <c r="C404" t="b">
        <v>1</v>
      </c>
    </row>
    <row r="405" spans="1:3" x14ac:dyDescent="0.25">
      <c r="A405" s="412" t="s">
        <v>75</v>
      </c>
      <c r="B405" t="s">
        <v>473</v>
      </c>
      <c r="C405" t="b">
        <v>0</v>
      </c>
    </row>
    <row r="406" spans="1:3" x14ac:dyDescent="0.25">
      <c r="A406" s="412" t="s">
        <v>75</v>
      </c>
      <c r="B406" t="s">
        <v>474</v>
      </c>
      <c r="C406" s="412" t="s">
        <v>506</v>
      </c>
    </row>
    <row r="407" spans="1:3" x14ac:dyDescent="0.25">
      <c r="A407" s="412" t="s">
        <v>75</v>
      </c>
      <c r="B407" t="s">
        <v>476</v>
      </c>
      <c r="C407">
        <v>10.29</v>
      </c>
    </row>
    <row r="408" spans="1:3" x14ac:dyDescent="0.25">
      <c r="A408" s="412" t="s">
        <v>75</v>
      </c>
      <c r="B408" t="s">
        <v>477</v>
      </c>
      <c r="C408" s="412" t="s">
        <v>478</v>
      </c>
    </row>
    <row r="409" spans="1:3" x14ac:dyDescent="0.25">
      <c r="A409" s="412" t="s">
        <v>75</v>
      </c>
      <c r="B409" t="s">
        <v>481</v>
      </c>
      <c r="C409">
        <v>1</v>
      </c>
    </row>
    <row r="410" spans="1:3" x14ac:dyDescent="0.25">
      <c r="A410" s="412" t="s">
        <v>75</v>
      </c>
      <c r="B410" t="s">
        <v>482</v>
      </c>
      <c r="C410">
        <v>1</v>
      </c>
    </row>
    <row r="411" spans="1:3" x14ac:dyDescent="0.25">
      <c r="A411" s="412" t="s">
        <v>75</v>
      </c>
      <c r="B411" t="s">
        <v>483</v>
      </c>
      <c r="C411" s="412" t="s">
        <v>491</v>
      </c>
    </row>
    <row r="412" spans="1:3" x14ac:dyDescent="0.25">
      <c r="A412" s="412" t="s">
        <v>75</v>
      </c>
      <c r="B412" t="s">
        <v>492</v>
      </c>
      <c r="C412" s="412" t="s">
        <v>493</v>
      </c>
    </row>
    <row r="413" spans="1:3" x14ac:dyDescent="0.25">
      <c r="A413" s="412" t="s">
        <v>75</v>
      </c>
      <c r="B413" t="s">
        <v>485</v>
      </c>
      <c r="C413">
        <v>1</v>
      </c>
    </row>
    <row r="414" spans="1:3" x14ac:dyDescent="0.25">
      <c r="A414" s="412" t="s">
        <v>75</v>
      </c>
      <c r="B414" t="s">
        <v>486</v>
      </c>
      <c r="C414" t="b">
        <v>1</v>
      </c>
    </row>
    <row r="415" spans="1:3" x14ac:dyDescent="0.25">
      <c r="A415" s="412" t="s">
        <v>75</v>
      </c>
      <c r="B415" t="s">
        <v>487</v>
      </c>
      <c r="C415" t="b">
        <v>1</v>
      </c>
    </row>
    <row r="416" spans="1:3" x14ac:dyDescent="0.25">
      <c r="A416" s="412" t="s">
        <v>75</v>
      </c>
      <c r="B416" t="s">
        <v>488</v>
      </c>
      <c r="C416" t="b">
        <v>1</v>
      </c>
    </row>
    <row r="417" spans="1:3" x14ac:dyDescent="0.25">
      <c r="A417" s="412" t="s">
        <v>75</v>
      </c>
      <c r="B417" t="s">
        <v>489</v>
      </c>
      <c r="C417" t="b">
        <v>1</v>
      </c>
    </row>
    <row r="418" spans="1:3" x14ac:dyDescent="0.25">
      <c r="A418" s="412" t="s">
        <v>366</v>
      </c>
      <c r="B418" t="s">
        <v>473</v>
      </c>
      <c r="C418" t="b">
        <v>0</v>
      </c>
    </row>
    <row r="419" spans="1:3" x14ac:dyDescent="0.25">
      <c r="A419" s="412" t="s">
        <v>366</v>
      </c>
      <c r="B419" t="s">
        <v>474</v>
      </c>
      <c r="C419" s="412" t="s">
        <v>507</v>
      </c>
    </row>
    <row r="420" spans="1:3" x14ac:dyDescent="0.25">
      <c r="A420" s="412" t="s">
        <v>366</v>
      </c>
      <c r="B420" t="s">
        <v>476</v>
      </c>
      <c r="C420">
        <v>4.8600000000000003</v>
      </c>
    </row>
    <row r="421" spans="1:3" x14ac:dyDescent="0.25">
      <c r="A421" s="412" t="s">
        <v>366</v>
      </c>
      <c r="B421" t="s">
        <v>477</v>
      </c>
      <c r="C421" s="412" t="s">
        <v>478</v>
      </c>
    </row>
    <row r="422" spans="1:3" x14ac:dyDescent="0.25">
      <c r="A422" s="412" t="s">
        <v>367</v>
      </c>
      <c r="B422" t="s">
        <v>473</v>
      </c>
      <c r="C422" t="b">
        <v>0</v>
      </c>
    </row>
    <row r="423" spans="1:3" x14ac:dyDescent="0.25">
      <c r="A423" s="412" t="s">
        <v>367</v>
      </c>
      <c r="B423" t="s">
        <v>474</v>
      </c>
      <c r="C423" s="412" t="s">
        <v>508</v>
      </c>
    </row>
    <row r="424" spans="1:3" x14ac:dyDescent="0.25">
      <c r="A424" s="412" t="s">
        <v>367</v>
      </c>
      <c r="B424" t="s">
        <v>476</v>
      </c>
      <c r="C424">
        <v>11.43</v>
      </c>
    </row>
    <row r="425" spans="1:3" x14ac:dyDescent="0.25">
      <c r="A425" s="412" t="s">
        <v>367</v>
      </c>
      <c r="B425" t="s">
        <v>477</v>
      </c>
      <c r="C425" s="412" t="s">
        <v>478</v>
      </c>
    </row>
    <row r="426" spans="1:3" x14ac:dyDescent="0.25">
      <c r="A426" s="412" t="s">
        <v>367</v>
      </c>
      <c r="B426" t="s">
        <v>481</v>
      </c>
      <c r="C426">
        <v>6</v>
      </c>
    </row>
    <row r="427" spans="1:3" x14ac:dyDescent="0.25">
      <c r="A427" s="412" t="s">
        <v>367</v>
      </c>
      <c r="B427" t="s">
        <v>482</v>
      </c>
      <c r="C427">
        <v>8</v>
      </c>
    </row>
    <row r="428" spans="1:3" x14ac:dyDescent="0.25">
      <c r="A428" s="412" t="s">
        <v>367</v>
      </c>
      <c r="B428" t="s">
        <v>483</v>
      </c>
      <c r="C428" s="412" t="s">
        <v>495</v>
      </c>
    </row>
    <row r="429" spans="1:3" x14ac:dyDescent="0.25">
      <c r="A429" s="412" t="s">
        <v>367</v>
      </c>
      <c r="B429" t="s">
        <v>485</v>
      </c>
      <c r="C429">
        <v>1</v>
      </c>
    </row>
    <row r="430" spans="1:3" x14ac:dyDescent="0.25">
      <c r="A430" s="412" t="s">
        <v>367</v>
      </c>
      <c r="B430" t="s">
        <v>486</v>
      </c>
      <c r="C430" t="b">
        <v>1</v>
      </c>
    </row>
    <row r="431" spans="1:3" x14ac:dyDescent="0.25">
      <c r="A431" s="412" t="s">
        <v>367</v>
      </c>
      <c r="B431" t="s">
        <v>487</v>
      </c>
      <c r="C431" t="b">
        <v>1</v>
      </c>
    </row>
    <row r="432" spans="1:3" x14ac:dyDescent="0.25">
      <c r="A432" s="412" t="s">
        <v>367</v>
      </c>
      <c r="B432" t="s">
        <v>488</v>
      </c>
      <c r="C432" t="b">
        <v>1</v>
      </c>
    </row>
    <row r="433" spans="1:3" x14ac:dyDescent="0.25">
      <c r="A433" s="412" t="s">
        <v>367</v>
      </c>
      <c r="B433" t="s">
        <v>489</v>
      </c>
      <c r="C433" t="b">
        <v>1</v>
      </c>
    </row>
    <row r="434" spans="1:3" x14ac:dyDescent="0.25">
      <c r="A434" s="412" t="s">
        <v>368</v>
      </c>
      <c r="B434" t="s">
        <v>473</v>
      </c>
      <c r="C434" t="b">
        <v>0</v>
      </c>
    </row>
    <row r="435" spans="1:3" x14ac:dyDescent="0.25">
      <c r="A435" s="412" t="s">
        <v>368</v>
      </c>
      <c r="B435" t="s">
        <v>474</v>
      </c>
      <c r="C435" s="412" t="s">
        <v>509</v>
      </c>
    </row>
    <row r="436" spans="1:3" x14ac:dyDescent="0.25">
      <c r="A436" s="412" t="s">
        <v>368</v>
      </c>
      <c r="B436" t="s">
        <v>476</v>
      </c>
      <c r="C436">
        <v>19.14</v>
      </c>
    </row>
    <row r="437" spans="1:3" x14ac:dyDescent="0.25">
      <c r="A437" s="412" t="s">
        <v>368</v>
      </c>
      <c r="B437" t="s">
        <v>477</v>
      </c>
      <c r="C437" s="412" t="s">
        <v>478</v>
      </c>
    </row>
    <row r="438" spans="1:3" x14ac:dyDescent="0.25">
      <c r="A438" s="412" t="s">
        <v>368</v>
      </c>
      <c r="B438" t="s">
        <v>481</v>
      </c>
      <c r="C438">
        <v>6</v>
      </c>
    </row>
    <row r="439" spans="1:3" x14ac:dyDescent="0.25">
      <c r="A439" s="412" t="s">
        <v>368</v>
      </c>
      <c r="B439" t="s">
        <v>482</v>
      </c>
      <c r="C439">
        <v>8</v>
      </c>
    </row>
    <row r="440" spans="1:3" x14ac:dyDescent="0.25">
      <c r="A440" s="412" t="s">
        <v>368</v>
      </c>
      <c r="B440" t="s">
        <v>483</v>
      </c>
      <c r="C440" s="412" t="s">
        <v>495</v>
      </c>
    </row>
    <row r="441" spans="1:3" x14ac:dyDescent="0.25">
      <c r="A441" s="412" t="s">
        <v>368</v>
      </c>
      <c r="B441" t="s">
        <v>485</v>
      </c>
      <c r="C441">
        <v>1</v>
      </c>
    </row>
    <row r="442" spans="1:3" x14ac:dyDescent="0.25">
      <c r="A442" s="412" t="s">
        <v>368</v>
      </c>
      <c r="B442" t="s">
        <v>486</v>
      </c>
      <c r="C442" t="b">
        <v>1</v>
      </c>
    </row>
    <row r="443" spans="1:3" x14ac:dyDescent="0.25">
      <c r="A443" s="412" t="s">
        <v>368</v>
      </c>
      <c r="B443" t="s">
        <v>487</v>
      </c>
      <c r="C443" t="b">
        <v>1</v>
      </c>
    </row>
    <row r="444" spans="1:3" x14ac:dyDescent="0.25">
      <c r="A444" s="412" t="s">
        <v>368</v>
      </c>
      <c r="B444" t="s">
        <v>488</v>
      </c>
      <c r="C444" t="b">
        <v>1</v>
      </c>
    </row>
    <row r="445" spans="1:3" x14ac:dyDescent="0.25">
      <c r="A445" s="412" t="s">
        <v>368</v>
      </c>
      <c r="B445" t="s">
        <v>489</v>
      </c>
      <c r="C445" t="b">
        <v>1</v>
      </c>
    </row>
    <row r="446" spans="1:3" x14ac:dyDescent="0.25">
      <c r="A446" s="412" t="s">
        <v>369</v>
      </c>
      <c r="B446" t="s">
        <v>473</v>
      </c>
      <c r="C446" t="b">
        <v>0</v>
      </c>
    </row>
    <row r="447" spans="1:3" x14ac:dyDescent="0.25">
      <c r="A447" s="412" t="s">
        <v>369</v>
      </c>
      <c r="B447" t="s">
        <v>474</v>
      </c>
      <c r="C447" s="412" t="s">
        <v>510</v>
      </c>
    </row>
    <row r="448" spans="1:3" x14ac:dyDescent="0.25">
      <c r="A448" s="412" t="s">
        <v>369</v>
      </c>
      <c r="B448" t="s">
        <v>476</v>
      </c>
      <c r="C448">
        <v>7.57</v>
      </c>
    </row>
    <row r="449" spans="1:3" x14ac:dyDescent="0.25">
      <c r="A449" s="412" t="s">
        <v>369</v>
      </c>
      <c r="B449" t="s">
        <v>477</v>
      </c>
      <c r="C449" s="412" t="s">
        <v>478</v>
      </c>
    </row>
    <row r="450" spans="1:3" x14ac:dyDescent="0.25">
      <c r="A450" s="412" t="s">
        <v>369</v>
      </c>
      <c r="B450" t="s">
        <v>481</v>
      </c>
      <c r="C450">
        <v>6</v>
      </c>
    </row>
    <row r="451" spans="1:3" x14ac:dyDescent="0.25">
      <c r="A451" s="412" t="s">
        <v>369</v>
      </c>
      <c r="B451" t="s">
        <v>482</v>
      </c>
      <c r="C451">
        <v>8</v>
      </c>
    </row>
    <row r="452" spans="1:3" x14ac:dyDescent="0.25">
      <c r="A452" s="412" t="s">
        <v>369</v>
      </c>
      <c r="B452" t="s">
        <v>483</v>
      </c>
      <c r="C452" s="412" t="s">
        <v>495</v>
      </c>
    </row>
    <row r="453" spans="1:3" x14ac:dyDescent="0.25">
      <c r="A453" s="412" t="s">
        <v>369</v>
      </c>
      <c r="B453" t="s">
        <v>485</v>
      </c>
      <c r="C453">
        <v>1</v>
      </c>
    </row>
    <row r="454" spans="1:3" x14ac:dyDescent="0.25">
      <c r="A454" s="412" t="s">
        <v>369</v>
      </c>
      <c r="B454" t="s">
        <v>486</v>
      </c>
      <c r="C454" t="b">
        <v>1</v>
      </c>
    </row>
    <row r="455" spans="1:3" x14ac:dyDescent="0.25">
      <c r="A455" s="412" t="s">
        <v>369</v>
      </c>
      <c r="B455" t="s">
        <v>487</v>
      </c>
      <c r="C455" t="b">
        <v>1</v>
      </c>
    </row>
    <row r="456" spans="1:3" x14ac:dyDescent="0.25">
      <c r="A456" s="412" t="s">
        <v>369</v>
      </c>
      <c r="B456" t="s">
        <v>488</v>
      </c>
      <c r="C456" t="b">
        <v>1</v>
      </c>
    </row>
    <row r="457" spans="1:3" x14ac:dyDescent="0.25">
      <c r="A457" s="412" t="s">
        <v>369</v>
      </c>
      <c r="B457" t="s">
        <v>489</v>
      </c>
      <c r="C457" t="b">
        <v>1</v>
      </c>
    </row>
    <row r="458" spans="1:3" x14ac:dyDescent="0.25">
      <c r="A458" s="412" t="s">
        <v>370</v>
      </c>
      <c r="B458" t="s">
        <v>473</v>
      </c>
      <c r="C458" t="b">
        <v>0</v>
      </c>
    </row>
    <row r="459" spans="1:3" x14ac:dyDescent="0.25">
      <c r="A459" s="412" t="s">
        <v>370</v>
      </c>
      <c r="B459" t="s">
        <v>474</v>
      </c>
      <c r="C459" s="412" t="s">
        <v>511</v>
      </c>
    </row>
    <row r="460" spans="1:3" x14ac:dyDescent="0.25">
      <c r="A460" s="412" t="s">
        <v>370</v>
      </c>
      <c r="B460" t="s">
        <v>476</v>
      </c>
      <c r="C460">
        <v>11.86</v>
      </c>
    </row>
    <row r="461" spans="1:3" x14ac:dyDescent="0.25">
      <c r="A461" s="412" t="s">
        <v>370</v>
      </c>
      <c r="B461" t="s">
        <v>477</v>
      </c>
      <c r="C461" s="412" t="s">
        <v>478</v>
      </c>
    </row>
    <row r="462" spans="1:3" x14ac:dyDescent="0.25">
      <c r="A462" s="412" t="s">
        <v>370</v>
      </c>
      <c r="B462" t="s">
        <v>481</v>
      </c>
      <c r="C462">
        <v>6</v>
      </c>
    </row>
    <row r="463" spans="1:3" x14ac:dyDescent="0.25">
      <c r="A463" s="412" t="s">
        <v>370</v>
      </c>
      <c r="B463" t="s">
        <v>482</v>
      </c>
      <c r="C463">
        <v>8</v>
      </c>
    </row>
    <row r="464" spans="1:3" x14ac:dyDescent="0.25">
      <c r="A464" s="412" t="s">
        <v>370</v>
      </c>
      <c r="B464" t="s">
        <v>483</v>
      </c>
      <c r="C464" s="412" t="s">
        <v>495</v>
      </c>
    </row>
    <row r="465" spans="1:3" x14ac:dyDescent="0.25">
      <c r="A465" s="412" t="s">
        <v>370</v>
      </c>
      <c r="B465" t="s">
        <v>485</v>
      </c>
      <c r="C465">
        <v>1</v>
      </c>
    </row>
    <row r="466" spans="1:3" x14ac:dyDescent="0.25">
      <c r="A466" s="412" t="s">
        <v>370</v>
      </c>
      <c r="B466" t="s">
        <v>486</v>
      </c>
      <c r="C466" t="b">
        <v>1</v>
      </c>
    </row>
    <row r="467" spans="1:3" x14ac:dyDescent="0.25">
      <c r="A467" s="412" t="s">
        <v>370</v>
      </c>
      <c r="B467" t="s">
        <v>487</v>
      </c>
      <c r="C467" t="b">
        <v>1</v>
      </c>
    </row>
    <row r="468" spans="1:3" x14ac:dyDescent="0.25">
      <c r="A468" s="412" t="s">
        <v>370</v>
      </c>
      <c r="B468" t="s">
        <v>488</v>
      </c>
      <c r="C468" t="b">
        <v>1</v>
      </c>
    </row>
    <row r="469" spans="1:3" x14ac:dyDescent="0.25">
      <c r="A469" s="412" t="s">
        <v>370</v>
      </c>
      <c r="B469" t="s">
        <v>489</v>
      </c>
      <c r="C469" t="b">
        <v>1</v>
      </c>
    </row>
    <row r="470" spans="1:3" x14ac:dyDescent="0.25">
      <c r="A470" s="412" t="s">
        <v>371</v>
      </c>
      <c r="B470" t="s">
        <v>473</v>
      </c>
      <c r="C470" t="b">
        <v>0</v>
      </c>
    </row>
    <row r="471" spans="1:3" x14ac:dyDescent="0.25">
      <c r="A471" s="412" t="s">
        <v>371</v>
      </c>
      <c r="B471" t="s">
        <v>474</v>
      </c>
      <c r="C471" s="412" t="s">
        <v>512</v>
      </c>
    </row>
    <row r="472" spans="1:3" x14ac:dyDescent="0.25">
      <c r="A472" s="412" t="s">
        <v>371</v>
      </c>
      <c r="B472" t="s">
        <v>476</v>
      </c>
      <c r="C472">
        <v>12.14</v>
      </c>
    </row>
    <row r="473" spans="1:3" x14ac:dyDescent="0.25">
      <c r="A473" s="412" t="s">
        <v>371</v>
      </c>
      <c r="B473" t="s">
        <v>477</v>
      </c>
      <c r="C473" s="412" t="s">
        <v>478</v>
      </c>
    </row>
    <row r="474" spans="1:3" x14ac:dyDescent="0.25">
      <c r="A474" s="412" t="s">
        <v>371</v>
      </c>
      <c r="B474" t="s">
        <v>481</v>
      </c>
      <c r="C474">
        <v>6</v>
      </c>
    </row>
    <row r="475" spans="1:3" x14ac:dyDescent="0.25">
      <c r="A475" s="412" t="s">
        <v>371</v>
      </c>
      <c r="B475" t="s">
        <v>482</v>
      </c>
      <c r="C475">
        <v>8</v>
      </c>
    </row>
    <row r="476" spans="1:3" x14ac:dyDescent="0.25">
      <c r="A476" s="412" t="s">
        <v>371</v>
      </c>
      <c r="B476" t="s">
        <v>483</v>
      </c>
      <c r="C476" s="412" t="s">
        <v>495</v>
      </c>
    </row>
    <row r="477" spans="1:3" x14ac:dyDescent="0.25">
      <c r="A477" s="412" t="s">
        <v>371</v>
      </c>
      <c r="B477" t="s">
        <v>485</v>
      </c>
      <c r="C477">
        <v>1</v>
      </c>
    </row>
    <row r="478" spans="1:3" x14ac:dyDescent="0.25">
      <c r="A478" s="412" t="s">
        <v>371</v>
      </c>
      <c r="B478" t="s">
        <v>486</v>
      </c>
      <c r="C478" t="b">
        <v>1</v>
      </c>
    </row>
    <row r="479" spans="1:3" x14ac:dyDescent="0.25">
      <c r="A479" s="412" t="s">
        <v>371</v>
      </c>
      <c r="B479" t="s">
        <v>487</v>
      </c>
      <c r="C479" t="b">
        <v>1</v>
      </c>
    </row>
    <row r="480" spans="1:3" x14ac:dyDescent="0.25">
      <c r="A480" s="412" t="s">
        <v>371</v>
      </c>
      <c r="B480" t="s">
        <v>488</v>
      </c>
      <c r="C480" t="b">
        <v>1</v>
      </c>
    </row>
    <row r="481" spans="1:3" x14ac:dyDescent="0.25">
      <c r="A481" s="412" t="s">
        <v>371</v>
      </c>
      <c r="B481" t="s">
        <v>489</v>
      </c>
      <c r="C481" t="b">
        <v>1</v>
      </c>
    </row>
    <row r="482" spans="1:3" x14ac:dyDescent="0.25">
      <c r="A482" s="412" t="s">
        <v>372</v>
      </c>
      <c r="B482" t="s">
        <v>473</v>
      </c>
      <c r="C482" t="b">
        <v>0</v>
      </c>
    </row>
    <row r="483" spans="1:3" x14ac:dyDescent="0.25">
      <c r="A483" s="412" t="s">
        <v>372</v>
      </c>
      <c r="B483" t="s">
        <v>474</v>
      </c>
      <c r="C483" s="412" t="s">
        <v>513</v>
      </c>
    </row>
    <row r="484" spans="1:3" x14ac:dyDescent="0.25">
      <c r="A484" s="412" t="s">
        <v>372</v>
      </c>
      <c r="B484" t="s">
        <v>476</v>
      </c>
      <c r="C484">
        <v>12.86</v>
      </c>
    </row>
    <row r="485" spans="1:3" x14ac:dyDescent="0.25">
      <c r="A485" s="412" t="s">
        <v>372</v>
      </c>
      <c r="B485" t="s">
        <v>477</v>
      </c>
      <c r="C485" s="412" t="s">
        <v>478</v>
      </c>
    </row>
    <row r="486" spans="1:3" x14ac:dyDescent="0.25">
      <c r="A486" s="412" t="s">
        <v>372</v>
      </c>
      <c r="B486" t="s">
        <v>481</v>
      </c>
      <c r="C486">
        <v>6</v>
      </c>
    </row>
    <row r="487" spans="1:3" x14ac:dyDescent="0.25">
      <c r="A487" s="412" t="s">
        <v>372</v>
      </c>
      <c r="B487" t="s">
        <v>482</v>
      </c>
      <c r="C487">
        <v>8</v>
      </c>
    </row>
    <row r="488" spans="1:3" x14ac:dyDescent="0.25">
      <c r="A488" s="412" t="s">
        <v>372</v>
      </c>
      <c r="B488" t="s">
        <v>483</v>
      </c>
      <c r="C488" s="412" t="s">
        <v>495</v>
      </c>
    </row>
    <row r="489" spans="1:3" x14ac:dyDescent="0.25">
      <c r="A489" s="412" t="s">
        <v>372</v>
      </c>
      <c r="B489" t="s">
        <v>485</v>
      </c>
      <c r="C489">
        <v>1</v>
      </c>
    </row>
    <row r="490" spans="1:3" x14ac:dyDescent="0.25">
      <c r="A490" s="412" t="s">
        <v>372</v>
      </c>
      <c r="B490" t="s">
        <v>486</v>
      </c>
      <c r="C490" t="b">
        <v>1</v>
      </c>
    </row>
    <row r="491" spans="1:3" x14ac:dyDescent="0.25">
      <c r="A491" s="412" t="s">
        <v>372</v>
      </c>
      <c r="B491" t="s">
        <v>487</v>
      </c>
      <c r="C491" t="b">
        <v>1</v>
      </c>
    </row>
    <row r="492" spans="1:3" x14ac:dyDescent="0.25">
      <c r="A492" s="412" t="s">
        <v>372</v>
      </c>
      <c r="B492" t="s">
        <v>488</v>
      </c>
      <c r="C492" t="b">
        <v>1</v>
      </c>
    </row>
    <row r="493" spans="1:3" x14ac:dyDescent="0.25">
      <c r="A493" s="412" t="s">
        <v>372</v>
      </c>
      <c r="B493" t="s">
        <v>489</v>
      </c>
      <c r="C493" t="b">
        <v>1</v>
      </c>
    </row>
    <row r="494" spans="1:3" x14ac:dyDescent="0.25">
      <c r="A494" s="412" t="s">
        <v>373</v>
      </c>
      <c r="B494" t="s">
        <v>473</v>
      </c>
      <c r="C494" t="b">
        <v>0</v>
      </c>
    </row>
    <row r="495" spans="1:3" x14ac:dyDescent="0.25">
      <c r="A495" s="412" t="s">
        <v>373</v>
      </c>
      <c r="B495" t="s">
        <v>474</v>
      </c>
      <c r="C495" s="412" t="s">
        <v>514</v>
      </c>
    </row>
    <row r="496" spans="1:3" x14ac:dyDescent="0.25">
      <c r="A496" s="412" t="s">
        <v>373</v>
      </c>
      <c r="B496" t="s">
        <v>476</v>
      </c>
      <c r="C496">
        <v>12.14</v>
      </c>
    </row>
    <row r="497" spans="1:3" x14ac:dyDescent="0.25">
      <c r="A497" s="412" t="s">
        <v>373</v>
      </c>
      <c r="B497" t="s">
        <v>477</v>
      </c>
      <c r="C497" s="412" t="s">
        <v>478</v>
      </c>
    </row>
    <row r="498" spans="1:3" x14ac:dyDescent="0.25">
      <c r="A498" s="412" t="s">
        <v>373</v>
      </c>
      <c r="B498" t="s">
        <v>481</v>
      </c>
      <c r="C498">
        <v>6</v>
      </c>
    </row>
    <row r="499" spans="1:3" x14ac:dyDescent="0.25">
      <c r="A499" s="412" t="s">
        <v>373</v>
      </c>
      <c r="B499" t="s">
        <v>482</v>
      </c>
      <c r="C499">
        <v>8</v>
      </c>
    </row>
    <row r="500" spans="1:3" x14ac:dyDescent="0.25">
      <c r="A500" s="412" t="s">
        <v>373</v>
      </c>
      <c r="B500" t="s">
        <v>483</v>
      </c>
      <c r="C500" s="412" t="s">
        <v>495</v>
      </c>
    </row>
    <row r="501" spans="1:3" x14ac:dyDescent="0.25">
      <c r="A501" s="412" t="s">
        <v>373</v>
      </c>
      <c r="B501" t="s">
        <v>485</v>
      </c>
      <c r="C501">
        <v>1</v>
      </c>
    </row>
    <row r="502" spans="1:3" x14ac:dyDescent="0.25">
      <c r="A502" s="412" t="s">
        <v>373</v>
      </c>
      <c r="B502" t="s">
        <v>486</v>
      </c>
      <c r="C502" t="b">
        <v>1</v>
      </c>
    </row>
    <row r="503" spans="1:3" x14ac:dyDescent="0.25">
      <c r="A503" s="412" t="s">
        <v>373</v>
      </c>
      <c r="B503" t="s">
        <v>487</v>
      </c>
      <c r="C503" t="b">
        <v>1</v>
      </c>
    </row>
    <row r="504" spans="1:3" x14ac:dyDescent="0.25">
      <c r="A504" s="412" t="s">
        <v>373</v>
      </c>
      <c r="B504" t="s">
        <v>488</v>
      </c>
      <c r="C504" t="b">
        <v>1</v>
      </c>
    </row>
    <row r="505" spans="1:3" x14ac:dyDescent="0.25">
      <c r="A505" s="412" t="s">
        <v>373</v>
      </c>
      <c r="B505" t="s">
        <v>489</v>
      </c>
      <c r="C505" t="b">
        <v>1</v>
      </c>
    </row>
    <row r="506" spans="1:3" x14ac:dyDescent="0.25">
      <c r="A506" s="412" t="s">
        <v>374</v>
      </c>
      <c r="B506" t="s">
        <v>473</v>
      </c>
      <c r="C506" t="b">
        <v>0</v>
      </c>
    </row>
    <row r="507" spans="1:3" x14ac:dyDescent="0.25">
      <c r="A507" s="412" t="s">
        <v>374</v>
      </c>
      <c r="B507" t="s">
        <v>474</v>
      </c>
      <c r="C507" s="412" t="s">
        <v>515</v>
      </c>
    </row>
    <row r="508" spans="1:3" x14ac:dyDescent="0.25">
      <c r="A508" s="412" t="s">
        <v>374</v>
      </c>
      <c r="B508" t="s">
        <v>476</v>
      </c>
      <c r="C508">
        <v>12.86</v>
      </c>
    </row>
    <row r="509" spans="1:3" x14ac:dyDescent="0.25">
      <c r="A509" s="412" t="s">
        <v>374</v>
      </c>
      <c r="B509" t="s">
        <v>477</v>
      </c>
      <c r="C509" s="412" t="s">
        <v>478</v>
      </c>
    </row>
    <row r="510" spans="1:3" x14ac:dyDescent="0.25">
      <c r="A510" s="412" t="s">
        <v>375</v>
      </c>
      <c r="B510" t="s">
        <v>473</v>
      </c>
      <c r="C510" t="b">
        <v>0</v>
      </c>
    </row>
    <row r="511" spans="1:3" x14ac:dyDescent="0.25">
      <c r="A511" s="412" t="s">
        <v>375</v>
      </c>
      <c r="B511" t="s">
        <v>474</v>
      </c>
      <c r="C511" s="412" t="s">
        <v>516</v>
      </c>
    </row>
    <row r="512" spans="1:3" x14ac:dyDescent="0.25">
      <c r="A512" s="412" t="s">
        <v>375</v>
      </c>
      <c r="B512" t="s">
        <v>476</v>
      </c>
      <c r="C512">
        <v>12.14</v>
      </c>
    </row>
    <row r="513" spans="1:3" x14ac:dyDescent="0.25">
      <c r="A513" s="412" t="s">
        <v>375</v>
      </c>
      <c r="B513" t="s">
        <v>477</v>
      </c>
      <c r="C513" s="412" t="s">
        <v>478</v>
      </c>
    </row>
    <row r="514" spans="1:3" x14ac:dyDescent="0.25">
      <c r="A514" s="412" t="s">
        <v>376</v>
      </c>
      <c r="B514" t="s">
        <v>473</v>
      </c>
      <c r="C514" t="b">
        <v>0</v>
      </c>
    </row>
    <row r="515" spans="1:3" x14ac:dyDescent="0.25">
      <c r="A515" s="412" t="s">
        <v>376</v>
      </c>
      <c r="B515" t="s">
        <v>474</v>
      </c>
      <c r="C515" s="412" t="s">
        <v>517</v>
      </c>
    </row>
    <row r="516" spans="1:3" x14ac:dyDescent="0.25">
      <c r="A516" s="412" t="s">
        <v>376</v>
      </c>
      <c r="B516" t="s">
        <v>476</v>
      </c>
      <c r="C516">
        <v>12.86</v>
      </c>
    </row>
    <row r="517" spans="1:3" x14ac:dyDescent="0.25">
      <c r="A517" s="412" t="s">
        <v>376</v>
      </c>
      <c r="B517" t="s">
        <v>477</v>
      </c>
      <c r="C517" s="412" t="s">
        <v>478</v>
      </c>
    </row>
    <row r="518" spans="1:3" x14ac:dyDescent="0.25">
      <c r="A518" s="412" t="s">
        <v>377</v>
      </c>
      <c r="B518" t="s">
        <v>473</v>
      </c>
      <c r="C518" t="b">
        <v>0</v>
      </c>
    </row>
    <row r="519" spans="1:3" x14ac:dyDescent="0.25">
      <c r="A519" s="412" t="s">
        <v>377</v>
      </c>
      <c r="B519" t="s">
        <v>474</v>
      </c>
      <c r="C519" s="412" t="s">
        <v>518</v>
      </c>
    </row>
    <row r="520" spans="1:3" x14ac:dyDescent="0.25">
      <c r="A520" s="412" t="s">
        <v>377</v>
      </c>
      <c r="B520" t="s">
        <v>476</v>
      </c>
      <c r="C520">
        <v>12.14</v>
      </c>
    </row>
    <row r="521" spans="1:3" x14ac:dyDescent="0.25">
      <c r="A521" s="412" t="s">
        <v>377</v>
      </c>
      <c r="B521" t="s">
        <v>477</v>
      </c>
      <c r="C521" s="412" t="s">
        <v>478</v>
      </c>
    </row>
    <row r="522" spans="1:3" x14ac:dyDescent="0.25">
      <c r="A522" s="412" t="s">
        <v>378</v>
      </c>
      <c r="B522" t="s">
        <v>473</v>
      </c>
      <c r="C522" t="b">
        <v>0</v>
      </c>
    </row>
    <row r="523" spans="1:3" x14ac:dyDescent="0.25">
      <c r="A523" s="412" t="s">
        <v>378</v>
      </c>
      <c r="B523" t="s">
        <v>474</v>
      </c>
      <c r="C523" s="412" t="s">
        <v>519</v>
      </c>
    </row>
    <row r="524" spans="1:3" x14ac:dyDescent="0.25">
      <c r="A524" s="412" t="s">
        <v>378</v>
      </c>
      <c r="B524" t="s">
        <v>476</v>
      </c>
      <c r="C524">
        <v>12.43</v>
      </c>
    </row>
    <row r="525" spans="1:3" x14ac:dyDescent="0.25">
      <c r="A525" s="412" t="s">
        <v>378</v>
      </c>
      <c r="B525" t="s">
        <v>477</v>
      </c>
      <c r="C525" s="412" t="s">
        <v>478</v>
      </c>
    </row>
    <row r="526" spans="1:3" x14ac:dyDescent="0.25">
      <c r="A526" s="412" t="s">
        <v>379</v>
      </c>
      <c r="B526" t="s">
        <v>473</v>
      </c>
      <c r="C526" t="b">
        <v>0</v>
      </c>
    </row>
    <row r="527" spans="1:3" x14ac:dyDescent="0.25">
      <c r="A527" s="412" t="s">
        <v>379</v>
      </c>
      <c r="B527" t="s">
        <v>474</v>
      </c>
      <c r="C527" s="412" t="s">
        <v>520</v>
      </c>
    </row>
    <row r="528" spans="1:3" x14ac:dyDescent="0.25">
      <c r="A528" s="412" t="s">
        <v>379</v>
      </c>
      <c r="B528" t="s">
        <v>476</v>
      </c>
      <c r="C528">
        <v>13.71</v>
      </c>
    </row>
    <row r="529" spans="1:3" x14ac:dyDescent="0.25">
      <c r="A529" s="412" t="s">
        <v>379</v>
      </c>
      <c r="B529" t="s">
        <v>477</v>
      </c>
      <c r="C529" s="412" t="s">
        <v>478</v>
      </c>
    </row>
    <row r="530" spans="1:3" x14ac:dyDescent="0.25">
      <c r="A530" s="412" t="s">
        <v>83</v>
      </c>
      <c r="B530" t="s">
        <v>521</v>
      </c>
      <c r="C530" s="412" t="s">
        <v>522</v>
      </c>
    </row>
    <row r="531" spans="1:3" x14ac:dyDescent="0.25">
      <c r="A531" s="412" t="s">
        <v>83</v>
      </c>
      <c r="B531" t="s">
        <v>523</v>
      </c>
      <c r="C531">
        <v>2</v>
      </c>
    </row>
    <row r="532" spans="1:3" x14ac:dyDescent="0.25">
      <c r="A532" s="412" t="s">
        <v>83</v>
      </c>
      <c r="B532" t="s">
        <v>524</v>
      </c>
      <c r="C532">
        <v>1</v>
      </c>
    </row>
    <row r="533" spans="1:3" x14ac:dyDescent="0.25">
      <c r="A533" s="412" t="s">
        <v>83</v>
      </c>
      <c r="B533" t="s">
        <v>525</v>
      </c>
      <c r="C533" s="412" t="s">
        <v>526</v>
      </c>
    </row>
    <row r="534" spans="1:3" x14ac:dyDescent="0.25">
      <c r="A534" s="412" t="s">
        <v>83</v>
      </c>
      <c r="B534" t="s">
        <v>527</v>
      </c>
      <c r="C534">
        <v>65535</v>
      </c>
    </row>
    <row r="535" spans="1:3" x14ac:dyDescent="0.25">
      <c r="A535" s="412" t="s">
        <v>71</v>
      </c>
      <c r="B535" t="s">
        <v>521</v>
      </c>
      <c r="C535" s="412" t="s">
        <v>528</v>
      </c>
    </row>
    <row r="536" spans="1:3" x14ac:dyDescent="0.25">
      <c r="A536" s="412" t="s">
        <v>71</v>
      </c>
      <c r="B536" t="s">
        <v>523</v>
      </c>
      <c r="C536">
        <v>2</v>
      </c>
    </row>
    <row r="537" spans="1:3" x14ac:dyDescent="0.25">
      <c r="A537" s="412" t="s">
        <v>71</v>
      </c>
      <c r="B537" t="s">
        <v>524</v>
      </c>
      <c r="C537">
        <v>2</v>
      </c>
    </row>
    <row r="538" spans="1:3" x14ac:dyDescent="0.25">
      <c r="A538" s="412" t="s">
        <v>71</v>
      </c>
      <c r="B538" t="s">
        <v>525</v>
      </c>
      <c r="C538" s="412" t="s">
        <v>529</v>
      </c>
    </row>
    <row r="539" spans="1:3" x14ac:dyDescent="0.25">
      <c r="A539" s="412" t="s">
        <v>71</v>
      </c>
      <c r="B539" t="s">
        <v>527</v>
      </c>
      <c r="C539">
        <v>65535</v>
      </c>
    </row>
    <row r="540" spans="1:3" x14ac:dyDescent="0.25">
      <c r="A540" s="412" t="s">
        <v>68</v>
      </c>
      <c r="B540" t="s">
        <v>521</v>
      </c>
      <c r="C540" s="412" t="s">
        <v>530</v>
      </c>
    </row>
    <row r="541" spans="1:3" x14ac:dyDescent="0.25">
      <c r="A541" s="412" t="s">
        <v>68</v>
      </c>
      <c r="B541" t="s">
        <v>523</v>
      </c>
      <c r="C541">
        <v>2</v>
      </c>
    </row>
    <row r="542" spans="1:3" x14ac:dyDescent="0.25">
      <c r="A542" s="412" t="s">
        <v>68</v>
      </c>
      <c r="B542" t="s">
        <v>524</v>
      </c>
      <c r="C542">
        <v>3</v>
      </c>
    </row>
    <row r="543" spans="1:3" x14ac:dyDescent="0.25">
      <c r="A543" s="412" t="s">
        <v>68</v>
      </c>
      <c r="B543" t="s">
        <v>525</v>
      </c>
      <c r="C543" s="412" t="s">
        <v>531</v>
      </c>
    </row>
    <row r="544" spans="1:3" x14ac:dyDescent="0.25">
      <c r="A544" s="412" t="s">
        <v>68</v>
      </c>
      <c r="B544" t="s">
        <v>527</v>
      </c>
      <c r="C544">
        <v>65535</v>
      </c>
    </row>
    <row r="545" spans="1:3" x14ac:dyDescent="0.25">
      <c r="A545" s="412" t="s">
        <v>360</v>
      </c>
      <c r="B545" t="s">
        <v>521</v>
      </c>
      <c r="C545" s="412" t="s">
        <v>532</v>
      </c>
    </row>
    <row r="546" spans="1:3" x14ac:dyDescent="0.25">
      <c r="A546" s="412" t="s">
        <v>360</v>
      </c>
      <c r="B546" t="s">
        <v>523</v>
      </c>
      <c r="C546">
        <v>2</v>
      </c>
    </row>
    <row r="547" spans="1:3" x14ac:dyDescent="0.25">
      <c r="A547" s="412" t="s">
        <v>360</v>
      </c>
      <c r="B547" t="s">
        <v>524</v>
      </c>
      <c r="C547">
        <v>4</v>
      </c>
    </row>
    <row r="548" spans="1:3" x14ac:dyDescent="0.25">
      <c r="A548" s="412" t="s">
        <v>360</v>
      </c>
      <c r="B548" t="s">
        <v>525</v>
      </c>
      <c r="C548" s="412" t="s">
        <v>533</v>
      </c>
    </row>
    <row r="549" spans="1:3" x14ac:dyDescent="0.25">
      <c r="A549" s="412" t="s">
        <v>360</v>
      </c>
      <c r="B549" t="s">
        <v>527</v>
      </c>
      <c r="C549">
        <v>65535</v>
      </c>
    </row>
    <row r="550" spans="1:3" x14ac:dyDescent="0.25">
      <c r="A550" s="412" t="s">
        <v>361</v>
      </c>
      <c r="B550" t="s">
        <v>521</v>
      </c>
      <c r="C550" s="412" t="s">
        <v>534</v>
      </c>
    </row>
    <row r="551" spans="1:3" x14ac:dyDescent="0.25">
      <c r="A551" s="412" t="s">
        <v>361</v>
      </c>
      <c r="B551" t="s">
        <v>523</v>
      </c>
      <c r="C551">
        <v>2</v>
      </c>
    </row>
    <row r="552" spans="1:3" x14ac:dyDescent="0.25">
      <c r="A552" s="412" t="s">
        <v>361</v>
      </c>
      <c r="B552" t="s">
        <v>524</v>
      </c>
      <c r="C552">
        <v>5</v>
      </c>
    </row>
    <row r="553" spans="1:3" x14ac:dyDescent="0.25">
      <c r="A553" s="412" t="s">
        <v>361</v>
      </c>
      <c r="B553" t="s">
        <v>525</v>
      </c>
      <c r="C553" s="412" t="s">
        <v>535</v>
      </c>
    </row>
    <row r="554" spans="1:3" x14ac:dyDescent="0.25">
      <c r="A554" s="412" t="s">
        <v>361</v>
      </c>
      <c r="B554" t="s">
        <v>527</v>
      </c>
      <c r="C554">
        <v>65535</v>
      </c>
    </row>
    <row r="555" spans="1:3" x14ac:dyDescent="0.25">
      <c r="A555" s="412" t="s">
        <v>362</v>
      </c>
      <c r="B555" t="s">
        <v>521</v>
      </c>
      <c r="C555" s="412" t="s">
        <v>536</v>
      </c>
    </row>
    <row r="556" spans="1:3" x14ac:dyDescent="0.25">
      <c r="A556" s="412" t="s">
        <v>362</v>
      </c>
      <c r="B556" t="s">
        <v>523</v>
      </c>
      <c r="C556">
        <v>2</v>
      </c>
    </row>
    <row r="557" spans="1:3" x14ac:dyDescent="0.25">
      <c r="A557" s="412" t="s">
        <v>362</v>
      </c>
      <c r="B557" t="s">
        <v>524</v>
      </c>
      <c r="C557">
        <v>6</v>
      </c>
    </row>
    <row r="558" spans="1:3" x14ac:dyDescent="0.25">
      <c r="A558" s="412" t="s">
        <v>362</v>
      </c>
      <c r="B558" t="s">
        <v>525</v>
      </c>
      <c r="C558" s="412" t="s">
        <v>537</v>
      </c>
    </row>
    <row r="559" spans="1:3" x14ac:dyDescent="0.25">
      <c r="A559" s="412" t="s">
        <v>362</v>
      </c>
      <c r="B559" t="s">
        <v>527</v>
      </c>
      <c r="C559">
        <v>65535</v>
      </c>
    </row>
    <row r="560" spans="1:3" x14ac:dyDescent="0.25">
      <c r="A560" s="412" t="s">
        <v>363</v>
      </c>
      <c r="B560" t="s">
        <v>521</v>
      </c>
      <c r="C560" s="412" t="s">
        <v>538</v>
      </c>
    </row>
    <row r="561" spans="1:3" x14ac:dyDescent="0.25">
      <c r="A561" s="412" t="s">
        <v>363</v>
      </c>
      <c r="B561" t="s">
        <v>523</v>
      </c>
      <c r="C561">
        <v>2</v>
      </c>
    </row>
    <row r="562" spans="1:3" x14ac:dyDescent="0.25">
      <c r="A562" s="412" t="s">
        <v>363</v>
      </c>
      <c r="B562" t="s">
        <v>524</v>
      </c>
      <c r="C562">
        <v>7</v>
      </c>
    </row>
    <row r="563" spans="1:3" x14ac:dyDescent="0.25">
      <c r="A563" s="412" t="s">
        <v>363</v>
      </c>
      <c r="B563" t="s">
        <v>525</v>
      </c>
      <c r="C563" s="412" t="s">
        <v>539</v>
      </c>
    </row>
    <row r="564" spans="1:3" x14ac:dyDescent="0.25">
      <c r="A564" s="412" t="s">
        <v>363</v>
      </c>
      <c r="B564" t="s">
        <v>527</v>
      </c>
      <c r="C564">
        <v>65535</v>
      </c>
    </row>
    <row r="565" spans="1:3" x14ac:dyDescent="0.25">
      <c r="A565" s="412" t="s">
        <v>33</v>
      </c>
      <c r="B565" t="s">
        <v>521</v>
      </c>
      <c r="C565" s="412" t="s">
        <v>540</v>
      </c>
    </row>
    <row r="566" spans="1:3" x14ac:dyDescent="0.25">
      <c r="A566" s="412" t="s">
        <v>33</v>
      </c>
      <c r="B566" t="s">
        <v>523</v>
      </c>
      <c r="C566">
        <v>2</v>
      </c>
    </row>
    <row r="567" spans="1:3" x14ac:dyDescent="0.25">
      <c r="A567" s="412" t="s">
        <v>33</v>
      </c>
      <c r="B567" t="s">
        <v>524</v>
      </c>
      <c r="C567">
        <v>8</v>
      </c>
    </row>
    <row r="568" spans="1:3" x14ac:dyDescent="0.25">
      <c r="A568" s="412" t="s">
        <v>33</v>
      </c>
      <c r="B568" t="s">
        <v>525</v>
      </c>
      <c r="C568" s="412" t="s">
        <v>541</v>
      </c>
    </row>
    <row r="569" spans="1:3" x14ac:dyDescent="0.25">
      <c r="A569" s="412" t="s">
        <v>33</v>
      </c>
      <c r="B569" t="s">
        <v>527</v>
      </c>
      <c r="C569">
        <v>65535</v>
      </c>
    </row>
    <row r="570" spans="1:3" x14ac:dyDescent="0.25">
      <c r="A570" s="412" t="s">
        <v>364</v>
      </c>
      <c r="B570" t="s">
        <v>521</v>
      </c>
      <c r="C570" s="412" t="s">
        <v>542</v>
      </c>
    </row>
    <row r="571" spans="1:3" x14ac:dyDescent="0.25">
      <c r="A571" s="412" t="s">
        <v>364</v>
      </c>
      <c r="B571" t="s">
        <v>523</v>
      </c>
      <c r="C571">
        <v>2</v>
      </c>
    </row>
    <row r="572" spans="1:3" x14ac:dyDescent="0.25">
      <c r="A572" s="412" t="s">
        <v>364</v>
      </c>
      <c r="B572" t="s">
        <v>524</v>
      </c>
      <c r="C572">
        <v>9</v>
      </c>
    </row>
    <row r="573" spans="1:3" x14ac:dyDescent="0.25">
      <c r="A573" s="412" t="s">
        <v>364</v>
      </c>
      <c r="B573" t="s">
        <v>525</v>
      </c>
      <c r="C573" s="412" t="s">
        <v>543</v>
      </c>
    </row>
    <row r="574" spans="1:3" x14ac:dyDescent="0.25">
      <c r="A574" s="412" t="s">
        <v>364</v>
      </c>
      <c r="B574" t="s">
        <v>527</v>
      </c>
      <c r="C574">
        <v>65535</v>
      </c>
    </row>
    <row r="575" spans="1:3" x14ac:dyDescent="0.25">
      <c r="A575" s="412" t="s">
        <v>148</v>
      </c>
      <c r="B575" t="s">
        <v>521</v>
      </c>
      <c r="C575" s="412" t="s">
        <v>544</v>
      </c>
    </row>
    <row r="576" spans="1:3" x14ac:dyDescent="0.25">
      <c r="A576" s="412" t="s">
        <v>148</v>
      </c>
      <c r="B576" t="s">
        <v>523</v>
      </c>
      <c r="C576">
        <v>2</v>
      </c>
    </row>
    <row r="577" spans="1:3" x14ac:dyDescent="0.25">
      <c r="A577" s="412" t="s">
        <v>148</v>
      </c>
      <c r="B577" t="s">
        <v>524</v>
      </c>
      <c r="C577">
        <v>10</v>
      </c>
    </row>
    <row r="578" spans="1:3" x14ac:dyDescent="0.25">
      <c r="A578" s="412" t="s">
        <v>148</v>
      </c>
      <c r="B578" t="s">
        <v>525</v>
      </c>
      <c r="C578" s="412" t="s">
        <v>545</v>
      </c>
    </row>
    <row r="579" spans="1:3" x14ac:dyDescent="0.25">
      <c r="A579" s="412" t="s">
        <v>148</v>
      </c>
      <c r="B579" t="s">
        <v>527</v>
      </c>
      <c r="C579">
        <v>65535</v>
      </c>
    </row>
    <row r="580" spans="1:3" x14ac:dyDescent="0.25">
      <c r="A580" s="412" t="s">
        <v>365</v>
      </c>
      <c r="B580" t="s">
        <v>521</v>
      </c>
      <c r="C580" s="412" t="s">
        <v>546</v>
      </c>
    </row>
    <row r="581" spans="1:3" x14ac:dyDescent="0.25">
      <c r="A581" s="412" t="s">
        <v>365</v>
      </c>
      <c r="B581" t="s">
        <v>523</v>
      </c>
      <c r="C581">
        <v>2</v>
      </c>
    </row>
    <row r="582" spans="1:3" x14ac:dyDescent="0.25">
      <c r="A582" s="412" t="s">
        <v>365</v>
      </c>
      <c r="B582" t="s">
        <v>524</v>
      </c>
      <c r="C582">
        <v>11</v>
      </c>
    </row>
    <row r="583" spans="1:3" x14ac:dyDescent="0.25">
      <c r="A583" s="412" t="s">
        <v>365</v>
      </c>
      <c r="B583" t="s">
        <v>525</v>
      </c>
      <c r="C583" s="412" t="s">
        <v>547</v>
      </c>
    </row>
    <row r="584" spans="1:3" x14ac:dyDescent="0.25">
      <c r="A584" s="412" t="s">
        <v>365</v>
      </c>
      <c r="B584" t="s">
        <v>527</v>
      </c>
      <c r="C584">
        <v>65535</v>
      </c>
    </row>
    <row r="585" spans="1:3" x14ac:dyDescent="0.25">
      <c r="A585" s="412" t="s">
        <v>75</v>
      </c>
      <c r="B585" t="s">
        <v>521</v>
      </c>
      <c r="C585" s="412" t="s">
        <v>548</v>
      </c>
    </row>
    <row r="586" spans="1:3" x14ac:dyDescent="0.25">
      <c r="A586" s="412" t="s">
        <v>75</v>
      </c>
      <c r="B586" t="s">
        <v>523</v>
      </c>
      <c r="C586">
        <v>2</v>
      </c>
    </row>
    <row r="587" spans="1:3" x14ac:dyDescent="0.25">
      <c r="A587" s="412" t="s">
        <v>75</v>
      </c>
      <c r="B587" t="s">
        <v>524</v>
      </c>
      <c r="C587">
        <v>12</v>
      </c>
    </row>
    <row r="588" spans="1:3" x14ac:dyDescent="0.25">
      <c r="A588" s="412" t="s">
        <v>75</v>
      </c>
      <c r="B588" t="s">
        <v>525</v>
      </c>
      <c r="C588" s="412" t="s">
        <v>549</v>
      </c>
    </row>
    <row r="589" spans="1:3" x14ac:dyDescent="0.25">
      <c r="A589" s="412" t="s">
        <v>75</v>
      </c>
      <c r="B589" t="s">
        <v>527</v>
      </c>
      <c r="C589">
        <v>65535</v>
      </c>
    </row>
    <row r="590" spans="1:3" x14ac:dyDescent="0.25">
      <c r="A590" s="412" t="s">
        <v>366</v>
      </c>
      <c r="B590" t="s">
        <v>521</v>
      </c>
      <c r="C590" s="412" t="s">
        <v>550</v>
      </c>
    </row>
    <row r="591" spans="1:3" x14ac:dyDescent="0.25">
      <c r="A591" s="412" t="s">
        <v>366</v>
      </c>
      <c r="B591" t="s">
        <v>523</v>
      </c>
      <c r="C591">
        <v>2</v>
      </c>
    </row>
    <row r="592" spans="1:3" x14ac:dyDescent="0.25">
      <c r="A592" s="412" t="s">
        <v>366</v>
      </c>
      <c r="B592" t="s">
        <v>524</v>
      </c>
      <c r="C592">
        <v>13</v>
      </c>
    </row>
    <row r="593" spans="1:3" x14ac:dyDescent="0.25">
      <c r="A593" s="412" t="s">
        <v>366</v>
      </c>
      <c r="B593" t="s">
        <v>525</v>
      </c>
      <c r="C593" s="412" t="s">
        <v>551</v>
      </c>
    </row>
    <row r="594" spans="1:3" x14ac:dyDescent="0.25">
      <c r="A594" s="412" t="s">
        <v>366</v>
      </c>
      <c r="B594" t="s">
        <v>527</v>
      </c>
      <c r="C594">
        <v>65535</v>
      </c>
    </row>
    <row r="595" spans="1:3" x14ac:dyDescent="0.25">
      <c r="A595" s="412" t="s">
        <v>367</v>
      </c>
      <c r="B595" t="s">
        <v>521</v>
      </c>
      <c r="C595" s="412" t="s">
        <v>552</v>
      </c>
    </row>
    <row r="596" spans="1:3" x14ac:dyDescent="0.25">
      <c r="A596" s="412" t="s">
        <v>367</v>
      </c>
      <c r="B596" t="s">
        <v>523</v>
      </c>
      <c r="C596">
        <v>2</v>
      </c>
    </row>
    <row r="597" spans="1:3" x14ac:dyDescent="0.25">
      <c r="A597" s="412" t="s">
        <v>367</v>
      </c>
      <c r="B597" t="s">
        <v>524</v>
      </c>
      <c r="C597">
        <v>14</v>
      </c>
    </row>
    <row r="598" spans="1:3" x14ac:dyDescent="0.25">
      <c r="A598" s="412" t="s">
        <v>367</v>
      </c>
      <c r="B598" t="s">
        <v>525</v>
      </c>
      <c r="C598" s="412" t="s">
        <v>553</v>
      </c>
    </row>
    <row r="599" spans="1:3" x14ac:dyDescent="0.25">
      <c r="A599" s="412" t="s">
        <v>367</v>
      </c>
      <c r="B599" t="s">
        <v>527</v>
      </c>
      <c r="C599">
        <v>65535</v>
      </c>
    </row>
    <row r="600" spans="1:3" x14ac:dyDescent="0.25">
      <c r="A600" s="412" t="s">
        <v>368</v>
      </c>
      <c r="B600" t="s">
        <v>521</v>
      </c>
      <c r="C600" s="412" t="s">
        <v>554</v>
      </c>
    </row>
    <row r="601" spans="1:3" x14ac:dyDescent="0.25">
      <c r="A601" s="412" t="s">
        <v>368</v>
      </c>
      <c r="B601" t="s">
        <v>523</v>
      </c>
      <c r="C601">
        <v>2</v>
      </c>
    </row>
    <row r="602" spans="1:3" x14ac:dyDescent="0.25">
      <c r="A602" s="412" t="s">
        <v>368</v>
      </c>
      <c r="B602" t="s">
        <v>524</v>
      </c>
      <c r="C602">
        <v>15</v>
      </c>
    </row>
    <row r="603" spans="1:3" x14ac:dyDescent="0.25">
      <c r="A603" s="412" t="s">
        <v>368</v>
      </c>
      <c r="B603" t="s">
        <v>525</v>
      </c>
      <c r="C603" s="412" t="s">
        <v>555</v>
      </c>
    </row>
    <row r="604" spans="1:3" x14ac:dyDescent="0.25">
      <c r="A604" s="412" t="s">
        <v>368</v>
      </c>
      <c r="B604" t="s">
        <v>527</v>
      </c>
      <c r="C604">
        <v>65535</v>
      </c>
    </row>
    <row r="605" spans="1:3" x14ac:dyDescent="0.25">
      <c r="A605" s="412" t="s">
        <v>369</v>
      </c>
      <c r="B605" t="s">
        <v>521</v>
      </c>
      <c r="C605" s="412" t="s">
        <v>556</v>
      </c>
    </row>
    <row r="606" spans="1:3" x14ac:dyDescent="0.25">
      <c r="A606" s="412" t="s">
        <v>369</v>
      </c>
      <c r="B606" t="s">
        <v>523</v>
      </c>
      <c r="C606">
        <v>2</v>
      </c>
    </row>
    <row r="607" spans="1:3" x14ac:dyDescent="0.25">
      <c r="A607" s="412" t="s">
        <v>369</v>
      </c>
      <c r="B607" t="s">
        <v>524</v>
      </c>
      <c r="C607">
        <v>16</v>
      </c>
    </row>
    <row r="608" spans="1:3" x14ac:dyDescent="0.25">
      <c r="A608" s="412" t="s">
        <v>369</v>
      </c>
      <c r="B608" t="s">
        <v>525</v>
      </c>
      <c r="C608" s="412" t="s">
        <v>557</v>
      </c>
    </row>
    <row r="609" spans="1:3" x14ac:dyDescent="0.25">
      <c r="A609" s="412" t="s">
        <v>369</v>
      </c>
      <c r="B609" t="s">
        <v>527</v>
      </c>
      <c r="C609">
        <v>65535</v>
      </c>
    </row>
    <row r="610" spans="1:3" x14ac:dyDescent="0.25">
      <c r="A610" s="412" t="s">
        <v>370</v>
      </c>
      <c r="B610" t="s">
        <v>521</v>
      </c>
      <c r="C610" s="412" t="s">
        <v>558</v>
      </c>
    </row>
    <row r="611" spans="1:3" x14ac:dyDescent="0.25">
      <c r="A611" s="412" t="s">
        <v>370</v>
      </c>
      <c r="B611" t="s">
        <v>523</v>
      </c>
      <c r="C611">
        <v>2</v>
      </c>
    </row>
    <row r="612" spans="1:3" x14ac:dyDescent="0.25">
      <c r="A612" s="412" t="s">
        <v>370</v>
      </c>
      <c r="B612" t="s">
        <v>524</v>
      </c>
      <c r="C612">
        <v>17</v>
      </c>
    </row>
    <row r="613" spans="1:3" x14ac:dyDescent="0.25">
      <c r="A613" s="412" t="s">
        <v>370</v>
      </c>
      <c r="B613" t="s">
        <v>525</v>
      </c>
      <c r="C613" s="412" t="s">
        <v>559</v>
      </c>
    </row>
    <row r="614" spans="1:3" x14ac:dyDescent="0.25">
      <c r="A614" s="412" t="s">
        <v>370</v>
      </c>
      <c r="B614" t="s">
        <v>527</v>
      </c>
      <c r="C614">
        <v>65535</v>
      </c>
    </row>
    <row r="615" spans="1:3" x14ac:dyDescent="0.25">
      <c r="A615" s="412" t="s">
        <v>371</v>
      </c>
      <c r="B615" t="s">
        <v>521</v>
      </c>
      <c r="C615" s="412" t="s">
        <v>560</v>
      </c>
    </row>
    <row r="616" spans="1:3" x14ac:dyDescent="0.25">
      <c r="A616" s="412" t="s">
        <v>371</v>
      </c>
      <c r="B616" t="s">
        <v>523</v>
      </c>
      <c r="C616">
        <v>2</v>
      </c>
    </row>
    <row r="617" spans="1:3" x14ac:dyDescent="0.25">
      <c r="A617" s="412" t="s">
        <v>371</v>
      </c>
      <c r="B617" t="s">
        <v>524</v>
      </c>
      <c r="C617">
        <v>18</v>
      </c>
    </row>
    <row r="618" spans="1:3" x14ac:dyDescent="0.25">
      <c r="A618" s="412" t="s">
        <v>371</v>
      </c>
      <c r="B618" t="s">
        <v>525</v>
      </c>
      <c r="C618" s="412" t="s">
        <v>561</v>
      </c>
    </row>
    <row r="619" spans="1:3" x14ac:dyDescent="0.25">
      <c r="A619" s="412" t="s">
        <v>371</v>
      </c>
      <c r="B619" t="s">
        <v>527</v>
      </c>
      <c r="C619">
        <v>65535</v>
      </c>
    </row>
    <row r="620" spans="1:3" x14ac:dyDescent="0.25">
      <c r="A620" s="412" t="s">
        <v>372</v>
      </c>
      <c r="B620" t="s">
        <v>521</v>
      </c>
      <c r="C620" s="412" t="s">
        <v>562</v>
      </c>
    </row>
    <row r="621" spans="1:3" x14ac:dyDescent="0.25">
      <c r="A621" s="412" t="s">
        <v>372</v>
      </c>
      <c r="B621" t="s">
        <v>523</v>
      </c>
      <c r="C621">
        <v>2</v>
      </c>
    </row>
    <row r="622" spans="1:3" x14ac:dyDescent="0.25">
      <c r="A622" s="412" t="s">
        <v>372</v>
      </c>
      <c r="B622" t="s">
        <v>524</v>
      </c>
      <c r="C622">
        <v>19</v>
      </c>
    </row>
    <row r="623" spans="1:3" x14ac:dyDescent="0.25">
      <c r="A623" s="412" t="s">
        <v>372</v>
      </c>
      <c r="B623" t="s">
        <v>525</v>
      </c>
      <c r="C623" s="412" t="s">
        <v>563</v>
      </c>
    </row>
    <row r="624" spans="1:3" x14ac:dyDescent="0.25">
      <c r="A624" s="412" t="s">
        <v>372</v>
      </c>
      <c r="B624" t="s">
        <v>527</v>
      </c>
      <c r="C624">
        <v>65535</v>
      </c>
    </row>
    <row r="625" spans="1:3" x14ac:dyDescent="0.25">
      <c r="A625" s="412" t="s">
        <v>373</v>
      </c>
      <c r="B625" t="s">
        <v>521</v>
      </c>
      <c r="C625" s="412" t="s">
        <v>564</v>
      </c>
    </row>
    <row r="626" spans="1:3" x14ac:dyDescent="0.25">
      <c r="A626" s="412" t="s">
        <v>373</v>
      </c>
      <c r="B626" t="s">
        <v>523</v>
      </c>
      <c r="C626">
        <v>2</v>
      </c>
    </row>
    <row r="627" spans="1:3" x14ac:dyDescent="0.25">
      <c r="A627" s="412" t="s">
        <v>373</v>
      </c>
      <c r="B627" t="s">
        <v>524</v>
      </c>
      <c r="C627">
        <v>20</v>
      </c>
    </row>
    <row r="628" spans="1:3" x14ac:dyDescent="0.25">
      <c r="A628" s="412" t="s">
        <v>373</v>
      </c>
      <c r="B628" t="s">
        <v>525</v>
      </c>
      <c r="C628" s="412" t="s">
        <v>565</v>
      </c>
    </row>
    <row r="629" spans="1:3" x14ac:dyDescent="0.25">
      <c r="A629" s="412" t="s">
        <v>373</v>
      </c>
      <c r="B629" t="s">
        <v>527</v>
      </c>
      <c r="C629">
        <v>65535</v>
      </c>
    </row>
    <row r="630" spans="1:3" x14ac:dyDescent="0.25">
      <c r="A630" s="412" t="s">
        <v>374</v>
      </c>
      <c r="B630" t="s">
        <v>521</v>
      </c>
      <c r="C630" s="412" t="s">
        <v>566</v>
      </c>
    </row>
    <row r="631" spans="1:3" x14ac:dyDescent="0.25">
      <c r="A631" s="412" t="s">
        <v>374</v>
      </c>
      <c r="B631" t="s">
        <v>523</v>
      </c>
      <c r="C631">
        <v>2</v>
      </c>
    </row>
    <row r="632" spans="1:3" x14ac:dyDescent="0.25">
      <c r="A632" s="412" t="s">
        <v>374</v>
      </c>
      <c r="B632" t="s">
        <v>524</v>
      </c>
      <c r="C632">
        <v>21</v>
      </c>
    </row>
    <row r="633" spans="1:3" x14ac:dyDescent="0.25">
      <c r="A633" s="412" t="s">
        <v>374</v>
      </c>
      <c r="B633" t="s">
        <v>525</v>
      </c>
      <c r="C633" s="412" t="s">
        <v>567</v>
      </c>
    </row>
    <row r="634" spans="1:3" x14ac:dyDescent="0.25">
      <c r="A634" s="412" t="s">
        <v>374</v>
      </c>
      <c r="B634" t="s">
        <v>527</v>
      </c>
      <c r="C634">
        <v>65535</v>
      </c>
    </row>
    <row r="635" spans="1:3" x14ac:dyDescent="0.25">
      <c r="A635" s="412" t="s">
        <v>375</v>
      </c>
      <c r="B635" t="s">
        <v>521</v>
      </c>
      <c r="C635" s="412" t="s">
        <v>568</v>
      </c>
    </row>
    <row r="636" spans="1:3" x14ac:dyDescent="0.25">
      <c r="A636" s="412" t="s">
        <v>375</v>
      </c>
      <c r="B636" t="s">
        <v>523</v>
      </c>
      <c r="C636">
        <v>2</v>
      </c>
    </row>
    <row r="637" spans="1:3" x14ac:dyDescent="0.25">
      <c r="A637" s="412" t="s">
        <v>375</v>
      </c>
      <c r="B637" t="s">
        <v>524</v>
      </c>
      <c r="C637">
        <v>22</v>
      </c>
    </row>
    <row r="638" spans="1:3" x14ac:dyDescent="0.25">
      <c r="A638" s="412" t="s">
        <v>375</v>
      </c>
      <c r="B638" t="s">
        <v>525</v>
      </c>
      <c r="C638" s="412" t="s">
        <v>569</v>
      </c>
    </row>
    <row r="639" spans="1:3" x14ac:dyDescent="0.25">
      <c r="A639" s="412" t="s">
        <v>375</v>
      </c>
      <c r="B639" t="s">
        <v>527</v>
      </c>
      <c r="C639">
        <v>65535</v>
      </c>
    </row>
    <row r="640" spans="1:3" x14ac:dyDescent="0.25">
      <c r="A640" s="412" t="s">
        <v>376</v>
      </c>
      <c r="B640" t="s">
        <v>521</v>
      </c>
      <c r="C640" s="412" t="s">
        <v>570</v>
      </c>
    </row>
    <row r="641" spans="1:3" x14ac:dyDescent="0.25">
      <c r="A641" s="412" t="s">
        <v>376</v>
      </c>
      <c r="B641" t="s">
        <v>523</v>
      </c>
      <c r="C641">
        <v>2</v>
      </c>
    </row>
    <row r="642" spans="1:3" x14ac:dyDescent="0.25">
      <c r="A642" s="412" t="s">
        <v>376</v>
      </c>
      <c r="B642" t="s">
        <v>524</v>
      </c>
      <c r="C642">
        <v>23</v>
      </c>
    </row>
    <row r="643" spans="1:3" x14ac:dyDescent="0.25">
      <c r="A643" s="412" t="s">
        <v>376</v>
      </c>
      <c r="B643" t="s">
        <v>525</v>
      </c>
      <c r="C643" s="412" t="s">
        <v>571</v>
      </c>
    </row>
    <row r="644" spans="1:3" x14ac:dyDescent="0.25">
      <c r="A644" s="412" t="s">
        <v>376</v>
      </c>
      <c r="B644" t="s">
        <v>527</v>
      </c>
      <c r="C644">
        <v>65535</v>
      </c>
    </row>
    <row r="645" spans="1:3" x14ac:dyDescent="0.25">
      <c r="A645" s="412" t="s">
        <v>377</v>
      </c>
      <c r="B645" t="s">
        <v>521</v>
      </c>
      <c r="C645" s="412" t="s">
        <v>572</v>
      </c>
    </row>
    <row r="646" spans="1:3" x14ac:dyDescent="0.25">
      <c r="A646" s="412" t="s">
        <v>377</v>
      </c>
      <c r="B646" t="s">
        <v>523</v>
      </c>
      <c r="C646">
        <v>2</v>
      </c>
    </row>
    <row r="647" spans="1:3" x14ac:dyDescent="0.25">
      <c r="A647" s="412" t="s">
        <v>377</v>
      </c>
      <c r="B647" t="s">
        <v>524</v>
      </c>
      <c r="C647">
        <v>24</v>
      </c>
    </row>
    <row r="648" spans="1:3" x14ac:dyDescent="0.25">
      <c r="A648" s="412" t="s">
        <v>377</v>
      </c>
      <c r="B648" t="s">
        <v>525</v>
      </c>
      <c r="C648" s="412" t="s">
        <v>573</v>
      </c>
    </row>
    <row r="649" spans="1:3" x14ac:dyDescent="0.25">
      <c r="A649" s="412" t="s">
        <v>377</v>
      </c>
      <c r="B649" t="s">
        <v>527</v>
      </c>
      <c r="C649">
        <v>65535</v>
      </c>
    </row>
    <row r="650" spans="1:3" x14ac:dyDescent="0.25">
      <c r="A650" s="412" t="s">
        <v>378</v>
      </c>
      <c r="B650" t="s">
        <v>521</v>
      </c>
      <c r="C650" s="412" t="s">
        <v>574</v>
      </c>
    </row>
    <row r="651" spans="1:3" x14ac:dyDescent="0.25">
      <c r="A651" s="412" t="s">
        <v>378</v>
      </c>
      <c r="B651" t="s">
        <v>523</v>
      </c>
      <c r="C651">
        <v>2</v>
      </c>
    </row>
    <row r="652" spans="1:3" x14ac:dyDescent="0.25">
      <c r="A652" s="412" t="s">
        <v>378</v>
      </c>
      <c r="B652" t="s">
        <v>524</v>
      </c>
      <c r="C652">
        <v>25</v>
      </c>
    </row>
    <row r="653" spans="1:3" x14ac:dyDescent="0.25">
      <c r="A653" s="412" t="s">
        <v>378</v>
      </c>
      <c r="B653" t="s">
        <v>525</v>
      </c>
      <c r="C653" s="412" t="s">
        <v>575</v>
      </c>
    </row>
    <row r="654" spans="1:3" x14ac:dyDescent="0.25">
      <c r="A654" s="412" t="s">
        <v>378</v>
      </c>
      <c r="B654" t="s">
        <v>527</v>
      </c>
      <c r="C654">
        <v>65535</v>
      </c>
    </row>
    <row r="655" spans="1:3" x14ac:dyDescent="0.25">
      <c r="A655" s="412" t="s">
        <v>379</v>
      </c>
      <c r="B655" t="s">
        <v>521</v>
      </c>
      <c r="C655" s="412" t="s">
        <v>576</v>
      </c>
    </row>
    <row r="656" spans="1:3" x14ac:dyDescent="0.25">
      <c r="A656" s="412" t="s">
        <v>379</v>
      </c>
      <c r="B656" t="s">
        <v>523</v>
      </c>
      <c r="C656">
        <v>2</v>
      </c>
    </row>
    <row r="657" spans="1:3" x14ac:dyDescent="0.25">
      <c r="A657" s="412" t="s">
        <v>379</v>
      </c>
      <c r="B657" t="s">
        <v>524</v>
      </c>
      <c r="C657">
        <v>26</v>
      </c>
    </row>
    <row r="658" spans="1:3" x14ac:dyDescent="0.25">
      <c r="A658" s="412" t="s">
        <v>379</v>
      </c>
      <c r="B658" t="s">
        <v>525</v>
      </c>
      <c r="C658" s="412" t="s">
        <v>577</v>
      </c>
    </row>
    <row r="659" spans="1:3" x14ac:dyDescent="0.25">
      <c r="A659" s="412" t="s">
        <v>379</v>
      </c>
      <c r="B659" t="s">
        <v>527</v>
      </c>
      <c r="C659">
        <v>65535</v>
      </c>
    </row>
    <row r="660" spans="1:3" x14ac:dyDescent="0.25">
      <c r="A660" s="412" t="s">
        <v>341</v>
      </c>
      <c r="B660" t="s">
        <v>578</v>
      </c>
      <c r="C660" t="b">
        <v>0</v>
      </c>
    </row>
    <row r="661" spans="1:3" x14ac:dyDescent="0.25">
      <c r="A661" s="412" t="s">
        <v>341</v>
      </c>
      <c r="B661" t="s">
        <v>579</v>
      </c>
      <c r="C661" t="b">
        <v>0</v>
      </c>
    </row>
    <row r="662" spans="1:3" x14ac:dyDescent="0.25">
      <c r="A662" s="412" t="s">
        <v>341</v>
      </c>
      <c r="B662" t="s">
        <v>580</v>
      </c>
      <c r="C662" t="b">
        <v>0</v>
      </c>
    </row>
    <row r="663" spans="1:3" x14ac:dyDescent="0.25">
      <c r="A663" s="412" t="s">
        <v>341</v>
      </c>
      <c r="B663" t="s">
        <v>581</v>
      </c>
      <c r="C663">
        <v>-1</v>
      </c>
    </row>
    <row r="664" spans="1:3" x14ac:dyDescent="0.25">
      <c r="A664" s="412" t="s">
        <v>341</v>
      </c>
      <c r="B664" t="s">
        <v>582</v>
      </c>
      <c r="C664">
        <v>-1</v>
      </c>
    </row>
    <row r="665" spans="1:3" x14ac:dyDescent="0.25">
      <c r="A665" s="412" t="s">
        <v>341</v>
      </c>
      <c r="B665" t="s">
        <v>583</v>
      </c>
      <c r="C665">
        <v>1</v>
      </c>
    </row>
    <row r="666" spans="1:3" x14ac:dyDescent="0.25">
      <c r="A666" s="412" t="s">
        <v>341</v>
      </c>
      <c r="B666" t="s">
        <v>584</v>
      </c>
      <c r="C666">
        <v>1</v>
      </c>
    </row>
    <row r="667" spans="1:3" x14ac:dyDescent="0.25">
      <c r="A667" s="412" t="s">
        <v>341</v>
      </c>
      <c r="B667" t="s">
        <v>585</v>
      </c>
      <c r="C667">
        <v>1</v>
      </c>
    </row>
    <row r="668" spans="1:3" x14ac:dyDescent="0.25">
      <c r="A668" t="s">
        <v>586</v>
      </c>
    </row>
    <row r="669" spans="1:3" x14ac:dyDescent="0.25">
      <c r="A669" t="s">
        <v>587</v>
      </c>
    </row>
    <row r="670" spans="1:3" x14ac:dyDescent="0.25">
      <c r="A670" s="412" t="s">
        <v>341</v>
      </c>
      <c r="B670" t="s">
        <v>464</v>
      </c>
      <c r="C670" s="412" t="s">
        <v>344</v>
      </c>
    </row>
    <row r="671" spans="1:3" x14ac:dyDescent="0.25">
      <c r="A671" s="412" t="s">
        <v>341</v>
      </c>
      <c r="B671" t="s">
        <v>465</v>
      </c>
      <c r="C671" t="b">
        <v>0</v>
      </c>
    </row>
    <row r="672" spans="1:3" x14ac:dyDescent="0.25">
      <c r="A672" s="412" t="s">
        <v>341</v>
      </c>
      <c r="B672" t="s">
        <v>466</v>
      </c>
      <c r="C672" s="412" t="s">
        <v>467</v>
      </c>
    </row>
    <row r="673" spans="1:3" x14ac:dyDescent="0.25">
      <c r="A673" s="412" t="s">
        <v>341</v>
      </c>
      <c r="B673" t="s">
        <v>468</v>
      </c>
      <c r="C673" t="b">
        <v>0</v>
      </c>
    </row>
    <row r="674" spans="1:3" x14ac:dyDescent="0.25">
      <c r="A674" s="412" t="s">
        <v>341</v>
      </c>
      <c r="B674" t="s">
        <v>469</v>
      </c>
      <c r="C674" t="b">
        <v>0</v>
      </c>
    </row>
    <row r="675" spans="1:3" x14ac:dyDescent="0.25">
      <c r="A675" s="412" t="s">
        <v>341</v>
      </c>
      <c r="B675" t="s">
        <v>470</v>
      </c>
      <c r="C675" t="b">
        <v>0</v>
      </c>
    </row>
    <row r="676" spans="1:3" x14ac:dyDescent="0.25">
      <c r="A676" s="412" t="s">
        <v>341</v>
      </c>
      <c r="B676" t="s">
        <v>471</v>
      </c>
      <c r="C676" t="b">
        <v>1</v>
      </c>
    </row>
    <row r="677" spans="1:3" x14ac:dyDescent="0.25">
      <c r="A677" s="412" t="s">
        <v>472</v>
      </c>
      <c r="B677" t="s">
        <v>473</v>
      </c>
      <c r="C677" t="b">
        <v>0</v>
      </c>
    </row>
    <row r="678" spans="1:3" x14ac:dyDescent="0.25">
      <c r="A678" s="412" t="s">
        <v>472</v>
      </c>
      <c r="B678" t="s">
        <v>474</v>
      </c>
      <c r="C678" s="412" t="s">
        <v>475</v>
      </c>
    </row>
    <row r="679" spans="1:3" x14ac:dyDescent="0.25">
      <c r="A679" s="412" t="s">
        <v>472</v>
      </c>
      <c r="B679" t="s">
        <v>476</v>
      </c>
      <c r="C679">
        <v>8.43</v>
      </c>
    </row>
    <row r="680" spans="1:3" x14ac:dyDescent="0.25">
      <c r="A680" s="412" t="s">
        <v>472</v>
      </c>
      <c r="B680" t="s">
        <v>477</v>
      </c>
      <c r="C680" s="412" t="s">
        <v>478</v>
      </c>
    </row>
    <row r="681" spans="1:3" x14ac:dyDescent="0.25">
      <c r="A681" s="412" t="s">
        <v>83</v>
      </c>
      <c r="B681" t="s">
        <v>473</v>
      </c>
      <c r="C681" t="b">
        <v>0</v>
      </c>
    </row>
    <row r="682" spans="1:3" x14ac:dyDescent="0.25">
      <c r="A682" s="412" t="s">
        <v>83</v>
      </c>
      <c r="B682" t="s">
        <v>474</v>
      </c>
      <c r="C682" s="412" t="s">
        <v>479</v>
      </c>
    </row>
    <row r="683" spans="1:3" x14ac:dyDescent="0.25">
      <c r="A683" s="412" t="s">
        <v>83</v>
      </c>
      <c r="B683" t="s">
        <v>476</v>
      </c>
      <c r="C683">
        <v>15.57</v>
      </c>
    </row>
    <row r="684" spans="1:3" x14ac:dyDescent="0.25">
      <c r="A684" s="412" t="s">
        <v>83</v>
      </c>
      <c r="B684" t="s">
        <v>477</v>
      </c>
      <c r="C684" s="412" t="s">
        <v>480</v>
      </c>
    </row>
    <row r="685" spans="1:3" x14ac:dyDescent="0.25">
      <c r="A685" s="412" t="s">
        <v>82</v>
      </c>
      <c r="B685" t="s">
        <v>473</v>
      </c>
      <c r="C685" t="b">
        <v>0</v>
      </c>
    </row>
    <row r="686" spans="1:3" x14ac:dyDescent="0.25">
      <c r="A686" s="412" t="s">
        <v>82</v>
      </c>
      <c r="B686" t="s">
        <v>474</v>
      </c>
      <c r="C686" s="412" t="s">
        <v>490</v>
      </c>
    </row>
    <row r="687" spans="1:3" x14ac:dyDescent="0.25">
      <c r="A687" s="412" t="s">
        <v>82</v>
      </c>
      <c r="B687" t="s">
        <v>476</v>
      </c>
      <c r="C687">
        <v>15.57</v>
      </c>
    </row>
    <row r="688" spans="1:3" x14ac:dyDescent="0.25">
      <c r="A688" s="412" t="s">
        <v>82</v>
      </c>
      <c r="B688" t="s">
        <v>477</v>
      </c>
      <c r="C688" s="412" t="s">
        <v>478</v>
      </c>
    </row>
    <row r="689" spans="1:3" x14ac:dyDescent="0.25">
      <c r="A689" s="412" t="s">
        <v>81</v>
      </c>
      <c r="B689" t="s">
        <v>473</v>
      </c>
      <c r="C689" t="b">
        <v>1</v>
      </c>
    </row>
    <row r="690" spans="1:3" x14ac:dyDescent="0.25">
      <c r="A690" s="412" t="s">
        <v>81</v>
      </c>
      <c r="B690" t="s">
        <v>474</v>
      </c>
      <c r="C690" s="412" t="s">
        <v>494</v>
      </c>
    </row>
    <row r="691" spans="1:3" x14ac:dyDescent="0.25">
      <c r="A691" s="412" t="s">
        <v>81</v>
      </c>
      <c r="B691" t="s">
        <v>477</v>
      </c>
      <c r="C691" s="412" t="s">
        <v>478</v>
      </c>
    </row>
    <row r="692" spans="1:3" x14ac:dyDescent="0.25">
      <c r="A692" s="412" t="s">
        <v>80</v>
      </c>
      <c r="B692" t="s">
        <v>473</v>
      </c>
      <c r="C692" t="b">
        <v>0</v>
      </c>
    </row>
    <row r="693" spans="1:3" x14ac:dyDescent="0.25">
      <c r="A693" s="412" t="s">
        <v>80</v>
      </c>
      <c r="B693" t="s">
        <v>474</v>
      </c>
      <c r="C693" s="412" t="s">
        <v>496</v>
      </c>
    </row>
    <row r="694" spans="1:3" x14ac:dyDescent="0.25">
      <c r="A694" s="412" t="s">
        <v>80</v>
      </c>
      <c r="B694" t="s">
        <v>476</v>
      </c>
      <c r="C694">
        <v>15.57</v>
      </c>
    </row>
    <row r="695" spans="1:3" x14ac:dyDescent="0.25">
      <c r="A695" s="412" t="s">
        <v>80</v>
      </c>
      <c r="B695" t="s">
        <v>477</v>
      </c>
      <c r="C695" s="412" t="s">
        <v>478</v>
      </c>
    </row>
    <row r="696" spans="1:3" x14ac:dyDescent="0.25">
      <c r="A696" s="412" t="s">
        <v>79</v>
      </c>
      <c r="B696" t="s">
        <v>473</v>
      </c>
      <c r="C696" t="b">
        <v>0</v>
      </c>
    </row>
    <row r="697" spans="1:3" x14ac:dyDescent="0.25">
      <c r="A697" s="412" t="s">
        <v>79</v>
      </c>
      <c r="B697" t="s">
        <v>474</v>
      </c>
      <c r="C697" s="412" t="s">
        <v>497</v>
      </c>
    </row>
    <row r="698" spans="1:3" x14ac:dyDescent="0.25">
      <c r="A698" s="412" t="s">
        <v>79</v>
      </c>
      <c r="B698" t="s">
        <v>476</v>
      </c>
      <c r="C698">
        <v>17.57</v>
      </c>
    </row>
    <row r="699" spans="1:3" x14ac:dyDescent="0.25">
      <c r="A699" s="412" t="s">
        <v>79</v>
      </c>
      <c r="B699" t="s">
        <v>477</v>
      </c>
      <c r="C699" s="412" t="s">
        <v>478</v>
      </c>
    </row>
    <row r="700" spans="1:3" x14ac:dyDescent="0.25">
      <c r="A700" s="412" t="s">
        <v>78</v>
      </c>
      <c r="B700" t="s">
        <v>473</v>
      </c>
      <c r="C700" t="b">
        <v>0</v>
      </c>
    </row>
    <row r="701" spans="1:3" x14ac:dyDescent="0.25">
      <c r="A701" s="412" t="s">
        <v>78</v>
      </c>
      <c r="B701" t="s">
        <v>474</v>
      </c>
      <c r="C701" s="412" t="s">
        <v>498</v>
      </c>
    </row>
    <row r="702" spans="1:3" x14ac:dyDescent="0.25">
      <c r="A702" s="412" t="s">
        <v>78</v>
      </c>
      <c r="B702" t="s">
        <v>476</v>
      </c>
      <c r="C702">
        <v>17.86</v>
      </c>
    </row>
    <row r="703" spans="1:3" x14ac:dyDescent="0.25">
      <c r="A703" s="412" t="s">
        <v>78</v>
      </c>
      <c r="B703" t="s">
        <v>477</v>
      </c>
      <c r="C703" s="412" t="s">
        <v>478</v>
      </c>
    </row>
    <row r="704" spans="1:3" x14ac:dyDescent="0.25">
      <c r="A704" s="412" t="s">
        <v>77</v>
      </c>
      <c r="B704" t="s">
        <v>473</v>
      </c>
      <c r="C704" t="b">
        <v>0</v>
      </c>
    </row>
    <row r="705" spans="1:3" x14ac:dyDescent="0.25">
      <c r="A705" s="412" t="s">
        <v>77</v>
      </c>
      <c r="B705" t="s">
        <v>474</v>
      </c>
      <c r="C705" s="412" t="s">
        <v>499</v>
      </c>
    </row>
    <row r="706" spans="1:3" x14ac:dyDescent="0.25">
      <c r="A706" s="412" t="s">
        <v>77</v>
      </c>
      <c r="B706" t="s">
        <v>476</v>
      </c>
      <c r="C706">
        <v>12.29</v>
      </c>
    </row>
    <row r="707" spans="1:3" x14ac:dyDescent="0.25">
      <c r="A707" s="412" t="s">
        <v>77</v>
      </c>
      <c r="B707" t="s">
        <v>477</v>
      </c>
      <c r="C707" s="412" t="s">
        <v>480</v>
      </c>
    </row>
    <row r="708" spans="1:3" x14ac:dyDescent="0.25">
      <c r="A708" s="412" t="s">
        <v>76</v>
      </c>
      <c r="B708" t="s">
        <v>473</v>
      </c>
      <c r="C708" t="b">
        <v>0</v>
      </c>
    </row>
    <row r="709" spans="1:3" x14ac:dyDescent="0.25">
      <c r="A709" s="412" t="s">
        <v>76</v>
      </c>
      <c r="B709" t="s">
        <v>474</v>
      </c>
      <c r="C709" s="412" t="s">
        <v>500</v>
      </c>
    </row>
    <row r="710" spans="1:3" x14ac:dyDescent="0.25">
      <c r="A710" s="412" t="s">
        <v>76</v>
      </c>
      <c r="B710" t="s">
        <v>476</v>
      </c>
      <c r="C710">
        <v>10.43</v>
      </c>
    </row>
    <row r="711" spans="1:3" x14ac:dyDescent="0.25">
      <c r="A711" s="412" t="s">
        <v>76</v>
      </c>
      <c r="B711" t="s">
        <v>477</v>
      </c>
      <c r="C711" s="412" t="s">
        <v>478</v>
      </c>
    </row>
    <row r="712" spans="1:3" x14ac:dyDescent="0.25">
      <c r="A712" s="412" t="s">
        <v>75</v>
      </c>
      <c r="B712" t="s">
        <v>473</v>
      </c>
      <c r="C712" t="b">
        <v>0</v>
      </c>
    </row>
    <row r="713" spans="1:3" x14ac:dyDescent="0.25">
      <c r="A713" s="412" t="s">
        <v>75</v>
      </c>
      <c r="B713" t="s">
        <v>474</v>
      </c>
      <c r="C713" s="412" t="s">
        <v>501</v>
      </c>
    </row>
    <row r="714" spans="1:3" x14ac:dyDescent="0.25">
      <c r="A714" s="412" t="s">
        <v>75</v>
      </c>
      <c r="B714" t="s">
        <v>476</v>
      </c>
      <c r="C714">
        <v>10.71</v>
      </c>
    </row>
    <row r="715" spans="1:3" x14ac:dyDescent="0.25">
      <c r="A715" s="412" t="s">
        <v>75</v>
      </c>
      <c r="B715" t="s">
        <v>477</v>
      </c>
      <c r="C715" s="412" t="s">
        <v>478</v>
      </c>
    </row>
    <row r="716" spans="1:3" x14ac:dyDescent="0.25">
      <c r="A716" s="412" t="s">
        <v>74</v>
      </c>
      <c r="B716" t="s">
        <v>473</v>
      </c>
      <c r="C716" t="b">
        <v>0</v>
      </c>
    </row>
    <row r="717" spans="1:3" x14ac:dyDescent="0.25">
      <c r="A717" s="412" t="s">
        <v>74</v>
      </c>
      <c r="B717" t="s">
        <v>474</v>
      </c>
      <c r="C717" s="412" t="s">
        <v>502</v>
      </c>
    </row>
    <row r="718" spans="1:3" x14ac:dyDescent="0.25">
      <c r="A718" s="412" t="s">
        <v>74</v>
      </c>
      <c r="B718" t="s">
        <v>476</v>
      </c>
      <c r="C718">
        <v>13.86</v>
      </c>
    </row>
    <row r="719" spans="1:3" x14ac:dyDescent="0.25">
      <c r="A719" s="412" t="s">
        <v>74</v>
      </c>
      <c r="B719" t="s">
        <v>477</v>
      </c>
      <c r="C719" s="412" t="s">
        <v>478</v>
      </c>
    </row>
    <row r="720" spans="1:3" x14ac:dyDescent="0.25">
      <c r="A720" s="412" t="s">
        <v>73</v>
      </c>
      <c r="B720" t="s">
        <v>473</v>
      </c>
      <c r="C720" t="b">
        <v>0</v>
      </c>
    </row>
    <row r="721" spans="1:3" x14ac:dyDescent="0.25">
      <c r="A721" s="412" t="s">
        <v>73</v>
      </c>
      <c r="B721" t="s">
        <v>474</v>
      </c>
      <c r="C721" s="412" t="s">
        <v>503</v>
      </c>
    </row>
    <row r="722" spans="1:3" x14ac:dyDescent="0.25">
      <c r="A722" s="412" t="s">
        <v>73</v>
      </c>
      <c r="B722" t="s">
        <v>476</v>
      </c>
      <c r="C722">
        <v>19.29</v>
      </c>
    </row>
    <row r="723" spans="1:3" x14ac:dyDescent="0.25">
      <c r="A723" s="412" t="s">
        <v>73</v>
      </c>
      <c r="B723" t="s">
        <v>477</v>
      </c>
      <c r="C723" s="412" t="s">
        <v>478</v>
      </c>
    </row>
    <row r="724" spans="1:3" x14ac:dyDescent="0.25">
      <c r="A724" s="412" t="s">
        <v>72</v>
      </c>
      <c r="B724" t="s">
        <v>473</v>
      </c>
      <c r="C724" t="b">
        <v>0</v>
      </c>
    </row>
    <row r="725" spans="1:3" x14ac:dyDescent="0.25">
      <c r="A725" s="412" t="s">
        <v>72</v>
      </c>
      <c r="B725" t="s">
        <v>474</v>
      </c>
      <c r="C725" s="412" t="s">
        <v>504</v>
      </c>
    </row>
    <row r="726" spans="1:3" x14ac:dyDescent="0.25">
      <c r="A726" s="412" t="s">
        <v>72</v>
      </c>
      <c r="B726" t="s">
        <v>476</v>
      </c>
      <c r="C726">
        <v>70.709999999999994</v>
      </c>
    </row>
    <row r="727" spans="1:3" x14ac:dyDescent="0.25">
      <c r="A727" s="412" t="s">
        <v>72</v>
      </c>
      <c r="B727" t="s">
        <v>477</v>
      </c>
      <c r="C727" s="412" t="s">
        <v>478</v>
      </c>
    </row>
    <row r="728" spans="1:3" x14ac:dyDescent="0.25">
      <c r="A728" s="412" t="s">
        <v>71</v>
      </c>
      <c r="B728" t="s">
        <v>473</v>
      </c>
      <c r="C728" t="b">
        <v>0</v>
      </c>
    </row>
    <row r="729" spans="1:3" x14ac:dyDescent="0.25">
      <c r="A729" s="412" t="s">
        <v>71</v>
      </c>
      <c r="B729" t="s">
        <v>474</v>
      </c>
      <c r="C729" s="412" t="s">
        <v>505</v>
      </c>
    </row>
    <row r="730" spans="1:3" x14ac:dyDescent="0.25">
      <c r="A730" s="412" t="s">
        <v>71</v>
      </c>
      <c r="B730" t="s">
        <v>476</v>
      </c>
      <c r="C730">
        <v>19.29</v>
      </c>
    </row>
    <row r="731" spans="1:3" x14ac:dyDescent="0.25">
      <c r="A731" s="412" t="s">
        <v>71</v>
      </c>
      <c r="B731" t="s">
        <v>477</v>
      </c>
      <c r="C731" s="412" t="s">
        <v>478</v>
      </c>
    </row>
    <row r="732" spans="1:3" x14ac:dyDescent="0.25">
      <c r="A732" s="412" t="s">
        <v>70</v>
      </c>
      <c r="B732" t="s">
        <v>473</v>
      </c>
      <c r="C732" t="b">
        <v>0</v>
      </c>
    </row>
    <row r="733" spans="1:3" x14ac:dyDescent="0.25">
      <c r="A733" s="412" t="s">
        <v>70</v>
      </c>
      <c r="B733" t="s">
        <v>474</v>
      </c>
      <c r="C733" s="412" t="s">
        <v>506</v>
      </c>
    </row>
    <row r="734" spans="1:3" x14ac:dyDescent="0.25">
      <c r="A734" s="412" t="s">
        <v>70</v>
      </c>
      <c r="B734" t="s">
        <v>476</v>
      </c>
      <c r="C734">
        <v>13</v>
      </c>
    </row>
    <row r="735" spans="1:3" x14ac:dyDescent="0.25">
      <c r="A735" s="412" t="s">
        <v>70</v>
      </c>
      <c r="B735" t="s">
        <v>477</v>
      </c>
      <c r="C735" s="412" t="s">
        <v>478</v>
      </c>
    </row>
    <row r="736" spans="1:3" x14ac:dyDescent="0.25">
      <c r="A736" s="412" t="s">
        <v>69</v>
      </c>
      <c r="B736" t="s">
        <v>473</v>
      </c>
      <c r="C736" t="b">
        <v>0</v>
      </c>
    </row>
    <row r="737" spans="1:3" x14ac:dyDescent="0.25">
      <c r="A737" s="412" t="s">
        <v>69</v>
      </c>
      <c r="B737" t="s">
        <v>474</v>
      </c>
      <c r="C737" s="412" t="s">
        <v>507</v>
      </c>
    </row>
    <row r="738" spans="1:3" x14ac:dyDescent="0.25">
      <c r="A738" s="412" t="s">
        <v>69</v>
      </c>
      <c r="B738" t="s">
        <v>476</v>
      </c>
      <c r="C738">
        <v>21.71</v>
      </c>
    </row>
    <row r="739" spans="1:3" x14ac:dyDescent="0.25">
      <c r="A739" s="412" t="s">
        <v>69</v>
      </c>
      <c r="B739" t="s">
        <v>477</v>
      </c>
      <c r="C739" s="412" t="s">
        <v>478</v>
      </c>
    </row>
    <row r="740" spans="1:3" x14ac:dyDescent="0.25">
      <c r="A740" s="412" t="s">
        <v>68</v>
      </c>
      <c r="B740" t="s">
        <v>473</v>
      </c>
      <c r="C740" t="b">
        <v>0</v>
      </c>
    </row>
    <row r="741" spans="1:3" x14ac:dyDescent="0.25">
      <c r="A741" s="412" t="s">
        <v>68</v>
      </c>
      <c r="B741" t="s">
        <v>474</v>
      </c>
      <c r="C741" s="412" t="s">
        <v>508</v>
      </c>
    </row>
    <row r="742" spans="1:3" x14ac:dyDescent="0.25">
      <c r="A742" s="412" t="s">
        <v>68</v>
      </c>
      <c r="B742" t="s">
        <v>476</v>
      </c>
      <c r="C742">
        <v>11.71</v>
      </c>
    </row>
    <row r="743" spans="1:3" x14ac:dyDescent="0.25">
      <c r="A743" s="412" t="s">
        <v>68</v>
      </c>
      <c r="B743" t="s">
        <v>477</v>
      </c>
      <c r="C743" s="412" t="s">
        <v>478</v>
      </c>
    </row>
    <row r="744" spans="1:3" x14ac:dyDescent="0.25">
      <c r="A744" s="412" t="s">
        <v>67</v>
      </c>
      <c r="B744" t="s">
        <v>473</v>
      </c>
      <c r="C744" t="b">
        <v>0</v>
      </c>
    </row>
    <row r="745" spans="1:3" x14ac:dyDescent="0.25">
      <c r="A745" s="412" t="s">
        <v>67</v>
      </c>
      <c r="B745" t="s">
        <v>474</v>
      </c>
      <c r="C745" s="412" t="s">
        <v>509</v>
      </c>
    </row>
    <row r="746" spans="1:3" x14ac:dyDescent="0.25">
      <c r="A746" s="412" t="s">
        <v>67</v>
      </c>
      <c r="B746" t="s">
        <v>476</v>
      </c>
      <c r="C746">
        <v>7.86</v>
      </c>
    </row>
    <row r="747" spans="1:3" x14ac:dyDescent="0.25">
      <c r="A747" s="412" t="s">
        <v>67</v>
      </c>
      <c r="B747" t="s">
        <v>477</v>
      </c>
      <c r="C747" s="412" t="s">
        <v>478</v>
      </c>
    </row>
    <row r="748" spans="1:3" x14ac:dyDescent="0.25">
      <c r="A748" s="412" t="s">
        <v>66</v>
      </c>
      <c r="B748" t="s">
        <v>473</v>
      </c>
      <c r="C748" t="b">
        <v>0</v>
      </c>
    </row>
    <row r="749" spans="1:3" x14ac:dyDescent="0.25">
      <c r="A749" s="412" t="s">
        <v>66</v>
      </c>
      <c r="B749" t="s">
        <v>474</v>
      </c>
      <c r="C749" s="412" t="s">
        <v>510</v>
      </c>
    </row>
    <row r="750" spans="1:3" x14ac:dyDescent="0.25">
      <c r="A750" s="412" t="s">
        <v>66</v>
      </c>
      <c r="B750" t="s">
        <v>476</v>
      </c>
      <c r="C750">
        <v>11.71</v>
      </c>
    </row>
    <row r="751" spans="1:3" x14ac:dyDescent="0.25">
      <c r="A751" s="412" t="s">
        <v>66</v>
      </c>
      <c r="B751" t="s">
        <v>477</v>
      </c>
      <c r="C751" s="412" t="s">
        <v>478</v>
      </c>
    </row>
    <row r="752" spans="1:3" x14ac:dyDescent="0.25">
      <c r="A752" s="412" t="s">
        <v>65</v>
      </c>
      <c r="B752" t="s">
        <v>473</v>
      </c>
      <c r="C752" t="b">
        <v>0</v>
      </c>
    </row>
    <row r="753" spans="1:3" x14ac:dyDescent="0.25">
      <c r="A753" s="412" t="s">
        <v>65</v>
      </c>
      <c r="B753" t="s">
        <v>474</v>
      </c>
      <c r="C753" s="412" t="s">
        <v>511</v>
      </c>
    </row>
    <row r="754" spans="1:3" x14ac:dyDescent="0.25">
      <c r="A754" s="412" t="s">
        <v>65</v>
      </c>
      <c r="B754" t="s">
        <v>476</v>
      </c>
      <c r="C754">
        <v>18.14</v>
      </c>
    </row>
    <row r="755" spans="1:3" x14ac:dyDescent="0.25">
      <c r="A755" s="412" t="s">
        <v>65</v>
      </c>
      <c r="B755" t="s">
        <v>477</v>
      </c>
      <c r="C755" s="412" t="s">
        <v>478</v>
      </c>
    </row>
    <row r="756" spans="1:3" x14ac:dyDescent="0.25">
      <c r="A756" s="412" t="s">
        <v>64</v>
      </c>
      <c r="B756" t="s">
        <v>473</v>
      </c>
      <c r="C756" t="b">
        <v>0</v>
      </c>
    </row>
    <row r="757" spans="1:3" x14ac:dyDescent="0.25">
      <c r="A757" s="412" t="s">
        <v>64</v>
      </c>
      <c r="B757" t="s">
        <v>474</v>
      </c>
      <c r="C757" s="412" t="s">
        <v>512</v>
      </c>
    </row>
    <row r="758" spans="1:3" x14ac:dyDescent="0.25">
      <c r="A758" s="412" t="s">
        <v>64</v>
      </c>
      <c r="B758" t="s">
        <v>476</v>
      </c>
      <c r="C758">
        <v>9.57</v>
      </c>
    </row>
    <row r="759" spans="1:3" x14ac:dyDescent="0.25">
      <c r="A759" s="412" t="s">
        <v>64</v>
      </c>
      <c r="B759" t="s">
        <v>477</v>
      </c>
      <c r="C759" s="412" t="s">
        <v>478</v>
      </c>
    </row>
    <row r="760" spans="1:3" x14ac:dyDescent="0.25">
      <c r="A760" s="412" t="s">
        <v>63</v>
      </c>
      <c r="B760" t="s">
        <v>473</v>
      </c>
      <c r="C760" t="b">
        <v>0</v>
      </c>
    </row>
    <row r="761" spans="1:3" x14ac:dyDescent="0.25">
      <c r="A761" s="412" t="s">
        <v>63</v>
      </c>
      <c r="B761" t="s">
        <v>474</v>
      </c>
      <c r="C761" s="412" t="s">
        <v>513</v>
      </c>
    </row>
    <row r="762" spans="1:3" x14ac:dyDescent="0.25">
      <c r="A762" s="412" t="s">
        <v>63</v>
      </c>
      <c r="B762" t="s">
        <v>476</v>
      </c>
      <c r="C762">
        <v>11.57</v>
      </c>
    </row>
    <row r="763" spans="1:3" x14ac:dyDescent="0.25">
      <c r="A763" s="412" t="s">
        <v>63</v>
      </c>
      <c r="B763" t="s">
        <v>477</v>
      </c>
      <c r="C763" s="412" t="s">
        <v>478</v>
      </c>
    </row>
    <row r="764" spans="1:3" x14ac:dyDescent="0.25">
      <c r="A764" s="412" t="s">
        <v>62</v>
      </c>
      <c r="B764" t="s">
        <v>473</v>
      </c>
      <c r="C764" t="b">
        <v>0</v>
      </c>
    </row>
    <row r="765" spans="1:3" x14ac:dyDescent="0.25">
      <c r="A765" s="412" t="s">
        <v>62</v>
      </c>
      <c r="B765" t="s">
        <v>474</v>
      </c>
      <c r="C765" s="412" t="s">
        <v>514</v>
      </c>
    </row>
    <row r="766" spans="1:3" x14ac:dyDescent="0.25">
      <c r="A766" s="412" t="s">
        <v>62</v>
      </c>
      <c r="B766" t="s">
        <v>476</v>
      </c>
      <c r="C766">
        <v>17.57</v>
      </c>
    </row>
    <row r="767" spans="1:3" x14ac:dyDescent="0.25">
      <c r="A767" s="412" t="s">
        <v>62</v>
      </c>
      <c r="B767" t="s">
        <v>477</v>
      </c>
      <c r="C767" s="412" t="s">
        <v>478</v>
      </c>
    </row>
    <row r="768" spans="1:3" x14ac:dyDescent="0.25">
      <c r="A768" s="412" t="s">
        <v>61</v>
      </c>
      <c r="B768" t="s">
        <v>473</v>
      </c>
      <c r="C768" t="b">
        <v>0</v>
      </c>
    </row>
    <row r="769" spans="1:3" x14ac:dyDescent="0.25">
      <c r="A769" s="412" t="s">
        <v>61</v>
      </c>
      <c r="B769" t="s">
        <v>474</v>
      </c>
      <c r="C769" s="412" t="s">
        <v>515</v>
      </c>
    </row>
    <row r="770" spans="1:3" x14ac:dyDescent="0.25">
      <c r="A770" s="412" t="s">
        <v>61</v>
      </c>
      <c r="B770" t="s">
        <v>476</v>
      </c>
      <c r="C770">
        <v>7.86</v>
      </c>
    </row>
    <row r="771" spans="1:3" x14ac:dyDescent="0.25">
      <c r="A771" s="412" t="s">
        <v>61</v>
      </c>
      <c r="B771" t="s">
        <v>477</v>
      </c>
      <c r="C771" s="412" t="s">
        <v>478</v>
      </c>
    </row>
    <row r="772" spans="1:3" x14ac:dyDescent="0.25">
      <c r="A772" s="412" t="s">
        <v>60</v>
      </c>
      <c r="B772" t="s">
        <v>473</v>
      </c>
      <c r="C772" t="b">
        <v>0</v>
      </c>
    </row>
    <row r="773" spans="1:3" x14ac:dyDescent="0.25">
      <c r="A773" s="412" t="s">
        <v>60</v>
      </c>
      <c r="B773" t="s">
        <v>474</v>
      </c>
      <c r="C773" s="412" t="s">
        <v>516</v>
      </c>
    </row>
    <row r="774" spans="1:3" x14ac:dyDescent="0.25">
      <c r="A774" s="412" t="s">
        <v>60</v>
      </c>
      <c r="B774" t="s">
        <v>476</v>
      </c>
      <c r="C774">
        <v>7.86</v>
      </c>
    </row>
    <row r="775" spans="1:3" x14ac:dyDescent="0.25">
      <c r="A775" s="412" t="s">
        <v>60</v>
      </c>
      <c r="B775" t="s">
        <v>477</v>
      </c>
      <c r="C775" s="412" t="s">
        <v>478</v>
      </c>
    </row>
    <row r="776" spans="1:3" x14ac:dyDescent="0.25">
      <c r="A776" s="412" t="s">
        <v>59</v>
      </c>
      <c r="B776" t="s">
        <v>473</v>
      </c>
      <c r="C776" t="b">
        <v>0</v>
      </c>
    </row>
    <row r="777" spans="1:3" x14ac:dyDescent="0.25">
      <c r="A777" s="412" t="s">
        <v>59</v>
      </c>
      <c r="B777" t="s">
        <v>474</v>
      </c>
      <c r="C777" s="412" t="s">
        <v>517</v>
      </c>
    </row>
    <row r="778" spans="1:3" x14ac:dyDescent="0.25">
      <c r="A778" s="412" t="s">
        <v>59</v>
      </c>
      <c r="B778" t="s">
        <v>476</v>
      </c>
      <c r="C778">
        <v>22.71</v>
      </c>
    </row>
    <row r="779" spans="1:3" x14ac:dyDescent="0.25">
      <c r="A779" s="412" t="s">
        <v>59</v>
      </c>
      <c r="B779" t="s">
        <v>477</v>
      </c>
      <c r="C779" s="412" t="s">
        <v>478</v>
      </c>
    </row>
    <row r="780" spans="1:3" x14ac:dyDescent="0.25">
      <c r="A780" s="412" t="s">
        <v>58</v>
      </c>
      <c r="B780" t="s">
        <v>473</v>
      </c>
      <c r="C780" t="b">
        <v>0</v>
      </c>
    </row>
    <row r="781" spans="1:3" x14ac:dyDescent="0.25">
      <c r="A781" s="412" t="s">
        <v>58</v>
      </c>
      <c r="B781" t="s">
        <v>474</v>
      </c>
      <c r="C781" s="412" t="s">
        <v>518</v>
      </c>
    </row>
    <row r="782" spans="1:3" x14ac:dyDescent="0.25">
      <c r="A782" s="412" t="s">
        <v>58</v>
      </c>
      <c r="B782" t="s">
        <v>476</v>
      </c>
      <c r="C782">
        <v>26.71</v>
      </c>
    </row>
    <row r="783" spans="1:3" x14ac:dyDescent="0.25">
      <c r="A783" s="412" t="s">
        <v>58</v>
      </c>
      <c r="B783" t="s">
        <v>477</v>
      </c>
      <c r="C783" s="412" t="s">
        <v>478</v>
      </c>
    </row>
    <row r="784" spans="1:3" x14ac:dyDescent="0.25">
      <c r="A784" s="412" t="s">
        <v>57</v>
      </c>
      <c r="B784" t="s">
        <v>473</v>
      </c>
      <c r="C784" t="b">
        <v>0</v>
      </c>
    </row>
    <row r="785" spans="1:3" x14ac:dyDescent="0.25">
      <c r="A785" s="412" t="s">
        <v>57</v>
      </c>
      <c r="B785" t="s">
        <v>474</v>
      </c>
      <c r="C785" s="412" t="s">
        <v>519</v>
      </c>
    </row>
    <row r="786" spans="1:3" x14ac:dyDescent="0.25">
      <c r="A786" s="412" t="s">
        <v>57</v>
      </c>
      <c r="B786" t="s">
        <v>476</v>
      </c>
      <c r="C786">
        <v>20.29</v>
      </c>
    </row>
    <row r="787" spans="1:3" x14ac:dyDescent="0.25">
      <c r="A787" s="412" t="s">
        <v>57</v>
      </c>
      <c r="B787" t="s">
        <v>477</v>
      </c>
      <c r="C787" s="412" t="s">
        <v>478</v>
      </c>
    </row>
    <row r="788" spans="1:3" x14ac:dyDescent="0.25">
      <c r="A788" s="412" t="s">
        <v>56</v>
      </c>
      <c r="B788" t="s">
        <v>473</v>
      </c>
      <c r="C788" t="b">
        <v>0</v>
      </c>
    </row>
    <row r="789" spans="1:3" x14ac:dyDescent="0.25">
      <c r="A789" s="412" t="s">
        <v>56</v>
      </c>
      <c r="B789" t="s">
        <v>474</v>
      </c>
      <c r="C789" s="412" t="s">
        <v>520</v>
      </c>
    </row>
    <row r="790" spans="1:3" x14ac:dyDescent="0.25">
      <c r="A790" s="412" t="s">
        <v>56</v>
      </c>
      <c r="B790" t="s">
        <v>476</v>
      </c>
      <c r="C790">
        <v>14.14</v>
      </c>
    </row>
    <row r="791" spans="1:3" x14ac:dyDescent="0.25">
      <c r="A791" s="412" t="s">
        <v>56</v>
      </c>
      <c r="B791" t="s">
        <v>477</v>
      </c>
      <c r="C791" s="412" t="s">
        <v>478</v>
      </c>
    </row>
    <row r="792" spans="1:3" x14ac:dyDescent="0.25">
      <c r="A792" s="412" t="s">
        <v>55</v>
      </c>
      <c r="B792" t="s">
        <v>473</v>
      </c>
      <c r="C792" t="b">
        <v>0</v>
      </c>
    </row>
    <row r="793" spans="1:3" x14ac:dyDescent="0.25">
      <c r="A793" s="412" t="s">
        <v>55</v>
      </c>
      <c r="B793" t="s">
        <v>474</v>
      </c>
      <c r="C793" s="412" t="s">
        <v>588</v>
      </c>
    </row>
    <row r="794" spans="1:3" x14ac:dyDescent="0.25">
      <c r="A794" s="412" t="s">
        <v>55</v>
      </c>
      <c r="B794" t="s">
        <v>476</v>
      </c>
      <c r="C794">
        <v>11.29</v>
      </c>
    </row>
    <row r="795" spans="1:3" x14ac:dyDescent="0.25">
      <c r="A795" s="412" t="s">
        <v>55</v>
      </c>
      <c r="B795" t="s">
        <v>477</v>
      </c>
      <c r="C795" s="412" t="s">
        <v>478</v>
      </c>
    </row>
    <row r="796" spans="1:3" x14ac:dyDescent="0.25">
      <c r="A796" s="412" t="s">
        <v>54</v>
      </c>
      <c r="B796" t="s">
        <v>473</v>
      </c>
      <c r="C796" t="b">
        <v>0</v>
      </c>
    </row>
    <row r="797" spans="1:3" x14ac:dyDescent="0.25">
      <c r="A797" s="412" t="s">
        <v>54</v>
      </c>
      <c r="B797" t="s">
        <v>474</v>
      </c>
      <c r="C797" s="412" t="s">
        <v>589</v>
      </c>
    </row>
    <row r="798" spans="1:3" x14ac:dyDescent="0.25">
      <c r="A798" s="412" t="s">
        <v>54</v>
      </c>
      <c r="B798" t="s">
        <v>476</v>
      </c>
      <c r="C798">
        <v>23.71</v>
      </c>
    </row>
    <row r="799" spans="1:3" x14ac:dyDescent="0.25">
      <c r="A799" s="412" t="s">
        <v>54</v>
      </c>
      <c r="B799" t="s">
        <v>477</v>
      </c>
      <c r="C799" s="412" t="s">
        <v>478</v>
      </c>
    </row>
    <row r="800" spans="1:3" x14ac:dyDescent="0.25">
      <c r="A800" s="412" t="s">
        <v>53</v>
      </c>
      <c r="B800" t="s">
        <v>473</v>
      </c>
      <c r="C800" t="b">
        <v>0</v>
      </c>
    </row>
    <row r="801" spans="1:3" x14ac:dyDescent="0.25">
      <c r="A801" s="412" t="s">
        <v>53</v>
      </c>
      <c r="B801" t="s">
        <v>474</v>
      </c>
      <c r="C801" s="412" t="s">
        <v>590</v>
      </c>
    </row>
    <row r="802" spans="1:3" x14ac:dyDescent="0.25">
      <c r="A802" s="412" t="s">
        <v>53</v>
      </c>
      <c r="B802" t="s">
        <v>476</v>
      </c>
      <c r="C802">
        <v>11</v>
      </c>
    </row>
    <row r="803" spans="1:3" x14ac:dyDescent="0.25">
      <c r="A803" s="412" t="s">
        <v>53</v>
      </c>
      <c r="B803" t="s">
        <v>477</v>
      </c>
      <c r="C803" s="412" t="s">
        <v>478</v>
      </c>
    </row>
    <row r="804" spans="1:3" x14ac:dyDescent="0.25">
      <c r="A804" s="412" t="s">
        <v>52</v>
      </c>
      <c r="B804" t="s">
        <v>473</v>
      </c>
      <c r="C804" t="b">
        <v>0</v>
      </c>
    </row>
    <row r="805" spans="1:3" x14ac:dyDescent="0.25">
      <c r="A805" s="412" t="s">
        <v>52</v>
      </c>
      <c r="B805" t="s">
        <v>474</v>
      </c>
      <c r="C805" s="412" t="s">
        <v>591</v>
      </c>
    </row>
    <row r="806" spans="1:3" x14ac:dyDescent="0.25">
      <c r="A806" s="412" t="s">
        <v>52</v>
      </c>
      <c r="B806" t="s">
        <v>476</v>
      </c>
      <c r="C806">
        <v>12.29</v>
      </c>
    </row>
    <row r="807" spans="1:3" x14ac:dyDescent="0.25">
      <c r="A807" s="412" t="s">
        <v>52</v>
      </c>
      <c r="B807" t="s">
        <v>477</v>
      </c>
      <c r="C807" s="412" t="s">
        <v>480</v>
      </c>
    </row>
    <row r="808" spans="1:3" x14ac:dyDescent="0.25">
      <c r="A808" s="412" t="s">
        <v>51</v>
      </c>
      <c r="B808" t="s">
        <v>473</v>
      </c>
      <c r="C808" t="b">
        <v>0</v>
      </c>
    </row>
    <row r="809" spans="1:3" x14ac:dyDescent="0.25">
      <c r="A809" s="412" t="s">
        <v>51</v>
      </c>
      <c r="B809" t="s">
        <v>474</v>
      </c>
      <c r="C809" s="412" t="s">
        <v>592</v>
      </c>
    </row>
    <row r="810" spans="1:3" x14ac:dyDescent="0.25">
      <c r="A810" s="412" t="s">
        <v>51</v>
      </c>
      <c r="B810" t="s">
        <v>476</v>
      </c>
      <c r="C810">
        <v>21.14</v>
      </c>
    </row>
    <row r="811" spans="1:3" x14ac:dyDescent="0.25">
      <c r="A811" s="412" t="s">
        <v>51</v>
      </c>
      <c r="B811" t="s">
        <v>477</v>
      </c>
      <c r="C811" s="412" t="s">
        <v>478</v>
      </c>
    </row>
    <row r="812" spans="1:3" x14ac:dyDescent="0.25">
      <c r="A812" s="412" t="s">
        <v>50</v>
      </c>
      <c r="B812" t="s">
        <v>473</v>
      </c>
      <c r="C812" t="b">
        <v>0</v>
      </c>
    </row>
    <row r="813" spans="1:3" x14ac:dyDescent="0.25">
      <c r="A813" s="412" t="s">
        <v>50</v>
      </c>
      <c r="B813" t="s">
        <v>474</v>
      </c>
      <c r="C813" s="412" t="s">
        <v>593</v>
      </c>
    </row>
    <row r="814" spans="1:3" x14ac:dyDescent="0.25">
      <c r="A814" s="412" t="s">
        <v>50</v>
      </c>
      <c r="B814" t="s">
        <v>476</v>
      </c>
      <c r="C814">
        <v>10.57</v>
      </c>
    </row>
    <row r="815" spans="1:3" x14ac:dyDescent="0.25">
      <c r="A815" s="412" t="s">
        <v>50</v>
      </c>
      <c r="B815" t="s">
        <v>477</v>
      </c>
      <c r="C815" s="412" t="s">
        <v>478</v>
      </c>
    </row>
    <row r="816" spans="1:3" x14ac:dyDescent="0.25">
      <c r="A816" s="412" t="s">
        <v>49</v>
      </c>
      <c r="B816" t="s">
        <v>473</v>
      </c>
      <c r="C816" t="b">
        <v>0</v>
      </c>
    </row>
    <row r="817" spans="1:3" x14ac:dyDescent="0.25">
      <c r="A817" s="412" t="s">
        <v>49</v>
      </c>
      <c r="B817" t="s">
        <v>474</v>
      </c>
      <c r="C817" s="412" t="s">
        <v>594</v>
      </c>
    </row>
    <row r="818" spans="1:3" x14ac:dyDescent="0.25">
      <c r="A818" s="412" t="s">
        <v>49</v>
      </c>
      <c r="B818" t="s">
        <v>476</v>
      </c>
      <c r="C818">
        <v>14.86</v>
      </c>
    </row>
    <row r="819" spans="1:3" x14ac:dyDescent="0.25">
      <c r="A819" s="412" t="s">
        <v>49</v>
      </c>
      <c r="B819" t="s">
        <v>477</v>
      </c>
      <c r="C819" s="412" t="s">
        <v>478</v>
      </c>
    </row>
    <row r="820" spans="1:3" x14ac:dyDescent="0.25">
      <c r="A820" s="412" t="s">
        <v>48</v>
      </c>
      <c r="B820" t="s">
        <v>473</v>
      </c>
      <c r="C820" t="b">
        <v>0</v>
      </c>
    </row>
    <row r="821" spans="1:3" x14ac:dyDescent="0.25">
      <c r="A821" s="412" t="s">
        <v>48</v>
      </c>
      <c r="B821" t="s">
        <v>474</v>
      </c>
      <c r="C821" s="412" t="s">
        <v>595</v>
      </c>
    </row>
    <row r="822" spans="1:3" x14ac:dyDescent="0.25">
      <c r="A822" s="412" t="s">
        <v>48</v>
      </c>
      <c r="B822" t="s">
        <v>476</v>
      </c>
      <c r="C822">
        <v>10.86</v>
      </c>
    </row>
    <row r="823" spans="1:3" x14ac:dyDescent="0.25">
      <c r="A823" s="412" t="s">
        <v>48</v>
      </c>
      <c r="B823" t="s">
        <v>477</v>
      </c>
      <c r="C823" s="412" t="s">
        <v>478</v>
      </c>
    </row>
    <row r="824" spans="1:3" x14ac:dyDescent="0.25">
      <c r="A824" s="412" t="s">
        <v>47</v>
      </c>
      <c r="B824" t="s">
        <v>473</v>
      </c>
      <c r="C824" t="b">
        <v>0</v>
      </c>
    </row>
    <row r="825" spans="1:3" x14ac:dyDescent="0.25">
      <c r="A825" s="412" t="s">
        <v>47</v>
      </c>
      <c r="B825" t="s">
        <v>474</v>
      </c>
      <c r="C825" s="412" t="s">
        <v>596</v>
      </c>
    </row>
    <row r="826" spans="1:3" x14ac:dyDescent="0.25">
      <c r="A826" s="412" t="s">
        <v>47</v>
      </c>
      <c r="B826" t="s">
        <v>476</v>
      </c>
      <c r="C826">
        <v>15.86</v>
      </c>
    </row>
    <row r="827" spans="1:3" x14ac:dyDescent="0.25">
      <c r="A827" s="412" t="s">
        <v>47</v>
      </c>
      <c r="B827" t="s">
        <v>477</v>
      </c>
      <c r="C827" s="412" t="s">
        <v>478</v>
      </c>
    </row>
    <row r="828" spans="1:3" x14ac:dyDescent="0.25">
      <c r="A828" s="412" t="s">
        <v>46</v>
      </c>
      <c r="B828" t="s">
        <v>473</v>
      </c>
      <c r="C828" t="b">
        <v>0</v>
      </c>
    </row>
    <row r="829" spans="1:3" x14ac:dyDescent="0.25">
      <c r="A829" s="412" t="s">
        <v>46</v>
      </c>
      <c r="B829" t="s">
        <v>474</v>
      </c>
      <c r="C829" s="412" t="s">
        <v>597</v>
      </c>
    </row>
    <row r="830" spans="1:3" x14ac:dyDescent="0.25">
      <c r="A830" s="412" t="s">
        <v>46</v>
      </c>
      <c r="B830" t="s">
        <v>476</v>
      </c>
      <c r="C830">
        <v>9.86</v>
      </c>
    </row>
    <row r="831" spans="1:3" x14ac:dyDescent="0.25">
      <c r="A831" s="412" t="s">
        <v>46</v>
      </c>
      <c r="B831" t="s">
        <v>477</v>
      </c>
      <c r="C831" s="412" t="s">
        <v>478</v>
      </c>
    </row>
    <row r="832" spans="1:3" x14ac:dyDescent="0.25">
      <c r="A832" s="412" t="s">
        <v>45</v>
      </c>
      <c r="B832" t="s">
        <v>473</v>
      </c>
      <c r="C832" t="b">
        <v>0</v>
      </c>
    </row>
    <row r="833" spans="1:3" x14ac:dyDescent="0.25">
      <c r="A833" s="412" t="s">
        <v>45</v>
      </c>
      <c r="B833" t="s">
        <v>474</v>
      </c>
      <c r="C833" s="412" t="s">
        <v>598</v>
      </c>
    </row>
    <row r="834" spans="1:3" x14ac:dyDescent="0.25">
      <c r="A834" s="412" t="s">
        <v>45</v>
      </c>
      <c r="B834" t="s">
        <v>476</v>
      </c>
      <c r="C834">
        <v>11.43</v>
      </c>
    </row>
    <row r="835" spans="1:3" x14ac:dyDescent="0.25">
      <c r="A835" s="412" t="s">
        <v>45</v>
      </c>
      <c r="B835" t="s">
        <v>477</v>
      </c>
      <c r="C835" s="412" t="s">
        <v>478</v>
      </c>
    </row>
    <row r="836" spans="1:3" x14ac:dyDescent="0.25">
      <c r="A836" s="412" t="s">
        <v>44</v>
      </c>
      <c r="B836" t="s">
        <v>473</v>
      </c>
      <c r="C836" t="b">
        <v>0</v>
      </c>
    </row>
    <row r="837" spans="1:3" x14ac:dyDescent="0.25">
      <c r="A837" s="412" t="s">
        <v>44</v>
      </c>
      <c r="B837" t="s">
        <v>474</v>
      </c>
      <c r="C837" s="412" t="s">
        <v>599</v>
      </c>
    </row>
    <row r="838" spans="1:3" x14ac:dyDescent="0.25">
      <c r="A838" s="412" t="s">
        <v>44</v>
      </c>
      <c r="B838" t="s">
        <v>476</v>
      </c>
      <c r="C838">
        <v>17.86</v>
      </c>
    </row>
    <row r="839" spans="1:3" x14ac:dyDescent="0.25">
      <c r="A839" s="412" t="s">
        <v>44</v>
      </c>
      <c r="B839" t="s">
        <v>477</v>
      </c>
      <c r="C839" s="412" t="s">
        <v>478</v>
      </c>
    </row>
    <row r="840" spans="1:3" x14ac:dyDescent="0.25">
      <c r="A840" s="412" t="s">
        <v>43</v>
      </c>
      <c r="B840" t="s">
        <v>473</v>
      </c>
      <c r="C840" t="b">
        <v>0</v>
      </c>
    </row>
    <row r="841" spans="1:3" x14ac:dyDescent="0.25">
      <c r="A841" s="412" t="s">
        <v>43</v>
      </c>
      <c r="B841" t="s">
        <v>474</v>
      </c>
      <c r="C841" s="412" t="s">
        <v>600</v>
      </c>
    </row>
    <row r="842" spans="1:3" x14ac:dyDescent="0.25">
      <c r="A842" s="412" t="s">
        <v>43</v>
      </c>
      <c r="B842" t="s">
        <v>476</v>
      </c>
      <c r="C842">
        <v>12.57</v>
      </c>
    </row>
    <row r="843" spans="1:3" x14ac:dyDescent="0.25">
      <c r="A843" s="412" t="s">
        <v>43</v>
      </c>
      <c r="B843" t="s">
        <v>477</v>
      </c>
      <c r="C843" s="412" t="s">
        <v>478</v>
      </c>
    </row>
    <row r="844" spans="1:3" x14ac:dyDescent="0.25">
      <c r="A844" s="412" t="s">
        <v>42</v>
      </c>
      <c r="B844" t="s">
        <v>473</v>
      </c>
      <c r="C844" t="b">
        <v>0</v>
      </c>
    </row>
    <row r="845" spans="1:3" x14ac:dyDescent="0.25">
      <c r="A845" s="412" t="s">
        <v>42</v>
      </c>
      <c r="B845" t="s">
        <v>474</v>
      </c>
      <c r="C845" s="412" t="s">
        <v>601</v>
      </c>
    </row>
    <row r="846" spans="1:3" x14ac:dyDescent="0.25">
      <c r="A846" s="412" t="s">
        <v>42</v>
      </c>
      <c r="B846" t="s">
        <v>476</v>
      </c>
      <c r="C846">
        <v>15.71</v>
      </c>
    </row>
    <row r="847" spans="1:3" x14ac:dyDescent="0.25">
      <c r="A847" s="412" t="s">
        <v>42</v>
      </c>
      <c r="B847" t="s">
        <v>477</v>
      </c>
      <c r="C847" s="412" t="s">
        <v>478</v>
      </c>
    </row>
    <row r="848" spans="1:3" x14ac:dyDescent="0.25">
      <c r="A848" s="412" t="s">
        <v>41</v>
      </c>
      <c r="B848" t="s">
        <v>473</v>
      </c>
      <c r="C848" t="b">
        <v>0</v>
      </c>
    </row>
    <row r="849" spans="1:3" x14ac:dyDescent="0.25">
      <c r="A849" s="412" t="s">
        <v>41</v>
      </c>
      <c r="B849" t="s">
        <v>474</v>
      </c>
      <c r="C849" s="412" t="s">
        <v>602</v>
      </c>
    </row>
    <row r="850" spans="1:3" x14ac:dyDescent="0.25">
      <c r="A850" s="412" t="s">
        <v>41</v>
      </c>
      <c r="B850" t="s">
        <v>476</v>
      </c>
      <c r="C850">
        <v>8.57</v>
      </c>
    </row>
    <row r="851" spans="1:3" x14ac:dyDescent="0.25">
      <c r="A851" s="412" t="s">
        <v>41</v>
      </c>
      <c r="B851" t="s">
        <v>477</v>
      </c>
      <c r="C851" s="412" t="s">
        <v>478</v>
      </c>
    </row>
    <row r="852" spans="1:3" x14ac:dyDescent="0.25">
      <c r="A852" s="412" t="s">
        <v>40</v>
      </c>
      <c r="B852" t="s">
        <v>473</v>
      </c>
      <c r="C852" t="b">
        <v>0</v>
      </c>
    </row>
    <row r="853" spans="1:3" x14ac:dyDescent="0.25">
      <c r="A853" s="412" t="s">
        <v>40</v>
      </c>
      <c r="B853" t="s">
        <v>474</v>
      </c>
      <c r="C853" s="412" t="s">
        <v>603</v>
      </c>
    </row>
    <row r="854" spans="1:3" x14ac:dyDescent="0.25">
      <c r="A854" s="412" t="s">
        <v>40</v>
      </c>
      <c r="B854" t="s">
        <v>476</v>
      </c>
      <c r="C854">
        <v>15.14</v>
      </c>
    </row>
    <row r="855" spans="1:3" x14ac:dyDescent="0.25">
      <c r="A855" s="412" t="s">
        <v>40</v>
      </c>
      <c r="B855" t="s">
        <v>477</v>
      </c>
      <c r="C855" s="412" t="s">
        <v>478</v>
      </c>
    </row>
    <row r="856" spans="1:3" x14ac:dyDescent="0.25">
      <c r="A856" s="412" t="s">
        <v>39</v>
      </c>
      <c r="B856" t="s">
        <v>473</v>
      </c>
      <c r="C856" t="b">
        <v>0</v>
      </c>
    </row>
    <row r="857" spans="1:3" x14ac:dyDescent="0.25">
      <c r="A857" s="412" t="s">
        <v>39</v>
      </c>
      <c r="B857" t="s">
        <v>474</v>
      </c>
      <c r="C857" s="412" t="s">
        <v>604</v>
      </c>
    </row>
    <row r="858" spans="1:3" x14ac:dyDescent="0.25">
      <c r="A858" s="412" t="s">
        <v>39</v>
      </c>
      <c r="B858" t="s">
        <v>476</v>
      </c>
      <c r="C858">
        <v>20</v>
      </c>
    </row>
    <row r="859" spans="1:3" x14ac:dyDescent="0.25">
      <c r="A859" s="412" t="s">
        <v>39</v>
      </c>
      <c r="B859" t="s">
        <v>477</v>
      </c>
      <c r="C859" s="412" t="s">
        <v>478</v>
      </c>
    </row>
    <row r="860" spans="1:3" x14ac:dyDescent="0.25">
      <c r="A860" s="412" t="s">
        <v>38</v>
      </c>
      <c r="B860" t="s">
        <v>473</v>
      </c>
      <c r="C860" t="b">
        <v>0</v>
      </c>
    </row>
    <row r="861" spans="1:3" x14ac:dyDescent="0.25">
      <c r="A861" s="412" t="s">
        <v>38</v>
      </c>
      <c r="B861" t="s">
        <v>474</v>
      </c>
      <c r="C861" s="412" t="s">
        <v>605</v>
      </c>
    </row>
    <row r="862" spans="1:3" x14ac:dyDescent="0.25">
      <c r="A862" s="412" t="s">
        <v>38</v>
      </c>
      <c r="B862" t="s">
        <v>476</v>
      </c>
      <c r="C862">
        <v>8.2899999999999991</v>
      </c>
    </row>
    <row r="863" spans="1:3" x14ac:dyDescent="0.25">
      <c r="A863" s="412" t="s">
        <v>38</v>
      </c>
      <c r="B863" t="s">
        <v>477</v>
      </c>
      <c r="C863" s="412" t="s">
        <v>478</v>
      </c>
    </row>
    <row r="864" spans="1:3" x14ac:dyDescent="0.25">
      <c r="A864" s="412" t="s">
        <v>37</v>
      </c>
      <c r="B864" t="s">
        <v>473</v>
      </c>
      <c r="C864" t="b">
        <v>0</v>
      </c>
    </row>
    <row r="865" spans="1:3" x14ac:dyDescent="0.25">
      <c r="A865" s="412" t="s">
        <v>37</v>
      </c>
      <c r="B865" t="s">
        <v>474</v>
      </c>
      <c r="C865" s="412" t="s">
        <v>606</v>
      </c>
    </row>
    <row r="866" spans="1:3" x14ac:dyDescent="0.25">
      <c r="A866" s="412" t="s">
        <v>37</v>
      </c>
      <c r="B866" t="s">
        <v>476</v>
      </c>
      <c r="C866">
        <v>11.14</v>
      </c>
    </row>
    <row r="867" spans="1:3" x14ac:dyDescent="0.25">
      <c r="A867" s="412" t="s">
        <v>37</v>
      </c>
      <c r="B867" t="s">
        <v>477</v>
      </c>
      <c r="C867" s="412" t="s">
        <v>478</v>
      </c>
    </row>
    <row r="868" spans="1:3" x14ac:dyDescent="0.25">
      <c r="A868" s="412" t="s">
        <v>36</v>
      </c>
      <c r="B868" t="s">
        <v>473</v>
      </c>
      <c r="C868" t="b">
        <v>0</v>
      </c>
    </row>
    <row r="869" spans="1:3" x14ac:dyDescent="0.25">
      <c r="A869" s="412" t="s">
        <v>36</v>
      </c>
      <c r="B869" t="s">
        <v>474</v>
      </c>
      <c r="C869" s="412" t="s">
        <v>607</v>
      </c>
    </row>
    <row r="870" spans="1:3" x14ac:dyDescent="0.25">
      <c r="A870" s="412" t="s">
        <v>36</v>
      </c>
      <c r="B870" t="s">
        <v>476</v>
      </c>
      <c r="C870">
        <v>6.43</v>
      </c>
    </row>
    <row r="871" spans="1:3" x14ac:dyDescent="0.25">
      <c r="A871" s="412" t="s">
        <v>36</v>
      </c>
      <c r="B871" t="s">
        <v>477</v>
      </c>
      <c r="C871" s="412" t="s">
        <v>480</v>
      </c>
    </row>
    <row r="872" spans="1:3" x14ac:dyDescent="0.25">
      <c r="A872" s="412" t="s">
        <v>35</v>
      </c>
      <c r="B872" t="s">
        <v>473</v>
      </c>
      <c r="C872" t="b">
        <v>0</v>
      </c>
    </row>
    <row r="873" spans="1:3" x14ac:dyDescent="0.25">
      <c r="A873" s="412" t="s">
        <v>35</v>
      </c>
      <c r="B873" t="s">
        <v>474</v>
      </c>
      <c r="C873" s="412" t="s">
        <v>608</v>
      </c>
    </row>
    <row r="874" spans="1:3" x14ac:dyDescent="0.25">
      <c r="A874" s="412" t="s">
        <v>35</v>
      </c>
      <c r="B874" t="s">
        <v>476</v>
      </c>
      <c r="C874">
        <v>19.57</v>
      </c>
    </row>
    <row r="875" spans="1:3" x14ac:dyDescent="0.25">
      <c r="A875" s="412" t="s">
        <v>35</v>
      </c>
      <c r="B875" t="s">
        <v>477</v>
      </c>
      <c r="C875" s="412" t="s">
        <v>478</v>
      </c>
    </row>
    <row r="876" spans="1:3" x14ac:dyDescent="0.25">
      <c r="A876" s="412" t="s">
        <v>34</v>
      </c>
      <c r="B876" t="s">
        <v>473</v>
      </c>
      <c r="C876" t="b">
        <v>0</v>
      </c>
    </row>
    <row r="877" spans="1:3" x14ac:dyDescent="0.25">
      <c r="A877" s="412" t="s">
        <v>34</v>
      </c>
      <c r="B877" t="s">
        <v>474</v>
      </c>
      <c r="C877" s="412" t="s">
        <v>609</v>
      </c>
    </row>
    <row r="878" spans="1:3" x14ac:dyDescent="0.25">
      <c r="A878" s="412" t="s">
        <v>34</v>
      </c>
      <c r="B878" t="s">
        <v>476</v>
      </c>
      <c r="C878">
        <v>9.2899999999999991</v>
      </c>
    </row>
    <row r="879" spans="1:3" x14ac:dyDescent="0.25">
      <c r="A879" s="412" t="s">
        <v>34</v>
      </c>
      <c r="B879" t="s">
        <v>477</v>
      </c>
      <c r="C879" s="412" t="s">
        <v>478</v>
      </c>
    </row>
    <row r="880" spans="1:3" x14ac:dyDescent="0.25">
      <c r="A880" s="412" t="s">
        <v>33</v>
      </c>
      <c r="B880" t="s">
        <v>473</v>
      </c>
      <c r="C880" t="b">
        <v>0</v>
      </c>
    </row>
    <row r="881" spans="1:3" x14ac:dyDescent="0.25">
      <c r="A881" s="412" t="s">
        <v>33</v>
      </c>
      <c r="B881" t="s">
        <v>474</v>
      </c>
      <c r="C881" s="412" t="s">
        <v>610</v>
      </c>
    </row>
    <row r="882" spans="1:3" x14ac:dyDescent="0.25">
      <c r="A882" s="412" t="s">
        <v>33</v>
      </c>
      <c r="B882" t="s">
        <v>476</v>
      </c>
      <c r="C882">
        <v>10.14</v>
      </c>
    </row>
    <row r="883" spans="1:3" x14ac:dyDescent="0.25">
      <c r="A883" s="412" t="s">
        <v>33</v>
      </c>
      <c r="B883" t="s">
        <v>477</v>
      </c>
      <c r="C883" s="412" t="s">
        <v>478</v>
      </c>
    </row>
    <row r="884" spans="1:3" x14ac:dyDescent="0.25">
      <c r="A884" s="412" t="s">
        <v>32</v>
      </c>
      <c r="B884" t="s">
        <v>473</v>
      </c>
      <c r="C884" t="b">
        <v>0</v>
      </c>
    </row>
    <row r="885" spans="1:3" x14ac:dyDescent="0.25">
      <c r="A885" s="412" t="s">
        <v>32</v>
      </c>
      <c r="B885" t="s">
        <v>474</v>
      </c>
      <c r="C885" s="412" t="s">
        <v>611</v>
      </c>
    </row>
    <row r="886" spans="1:3" x14ac:dyDescent="0.25">
      <c r="A886" s="412" t="s">
        <v>32</v>
      </c>
      <c r="B886" t="s">
        <v>476</v>
      </c>
      <c r="C886">
        <v>7.43</v>
      </c>
    </row>
    <row r="887" spans="1:3" x14ac:dyDescent="0.25">
      <c r="A887" s="412" t="s">
        <v>32</v>
      </c>
      <c r="B887" t="s">
        <v>477</v>
      </c>
      <c r="C887" s="412" t="s">
        <v>480</v>
      </c>
    </row>
    <row r="888" spans="1:3" x14ac:dyDescent="0.25">
      <c r="A888" s="412" t="s">
        <v>31</v>
      </c>
      <c r="B888" t="s">
        <v>473</v>
      </c>
      <c r="C888" t="b">
        <v>0</v>
      </c>
    </row>
    <row r="889" spans="1:3" x14ac:dyDescent="0.25">
      <c r="A889" s="412" t="s">
        <v>31</v>
      </c>
      <c r="B889" t="s">
        <v>474</v>
      </c>
      <c r="C889" s="412" t="s">
        <v>612</v>
      </c>
    </row>
    <row r="890" spans="1:3" x14ac:dyDescent="0.25">
      <c r="A890" s="412" t="s">
        <v>31</v>
      </c>
      <c r="B890" t="s">
        <v>476</v>
      </c>
      <c r="C890">
        <v>17.57</v>
      </c>
    </row>
    <row r="891" spans="1:3" x14ac:dyDescent="0.25">
      <c r="A891" s="412" t="s">
        <v>31</v>
      </c>
      <c r="B891" t="s">
        <v>477</v>
      </c>
      <c r="C891" s="412" t="s">
        <v>478</v>
      </c>
    </row>
    <row r="892" spans="1:3" x14ac:dyDescent="0.25">
      <c r="A892" s="412" t="s">
        <v>83</v>
      </c>
      <c r="B892" t="s">
        <v>521</v>
      </c>
      <c r="C892" s="412" t="s">
        <v>640</v>
      </c>
    </row>
    <row r="893" spans="1:3" x14ac:dyDescent="0.25">
      <c r="A893" s="412" t="s">
        <v>83</v>
      </c>
      <c r="B893" t="s">
        <v>523</v>
      </c>
      <c r="C893">
        <v>2</v>
      </c>
    </row>
    <row r="894" spans="1:3" x14ac:dyDescent="0.25">
      <c r="A894" s="412" t="s">
        <v>83</v>
      </c>
      <c r="B894" t="s">
        <v>524</v>
      </c>
      <c r="C894">
        <v>1</v>
      </c>
    </row>
    <row r="895" spans="1:3" x14ac:dyDescent="0.25">
      <c r="A895" s="412" t="s">
        <v>83</v>
      </c>
      <c r="B895" t="s">
        <v>525</v>
      </c>
      <c r="C895" s="412" t="s">
        <v>526</v>
      </c>
    </row>
    <row r="896" spans="1:3" x14ac:dyDescent="0.25">
      <c r="A896" s="412" t="s">
        <v>83</v>
      </c>
      <c r="B896" t="s">
        <v>527</v>
      </c>
      <c r="C896">
        <v>65535</v>
      </c>
    </row>
    <row r="897" spans="1:15" x14ac:dyDescent="0.25">
      <c r="A897" s="412" t="s">
        <v>341</v>
      </c>
      <c r="B897" t="s">
        <v>578</v>
      </c>
      <c r="C897" t="b">
        <v>0</v>
      </c>
    </row>
    <row r="898" spans="1:15" x14ac:dyDescent="0.25">
      <c r="A898" s="412" t="s">
        <v>341</v>
      </c>
      <c r="B898" t="s">
        <v>579</v>
      </c>
      <c r="C898" t="b">
        <v>0</v>
      </c>
    </row>
    <row r="899" spans="1:15" x14ac:dyDescent="0.25">
      <c r="A899" s="412" t="s">
        <v>341</v>
      </c>
      <c r="B899" t="s">
        <v>580</v>
      </c>
      <c r="C899" t="b">
        <v>0</v>
      </c>
    </row>
    <row r="900" spans="1:15" x14ac:dyDescent="0.25">
      <c r="A900" s="412" t="s">
        <v>341</v>
      </c>
      <c r="B900" t="s">
        <v>581</v>
      </c>
      <c r="C900">
        <v>-1</v>
      </c>
    </row>
    <row r="901" spans="1:15" x14ac:dyDescent="0.25">
      <c r="A901" s="412" t="s">
        <v>341</v>
      </c>
      <c r="B901" t="s">
        <v>582</v>
      </c>
      <c r="C901">
        <v>-1</v>
      </c>
    </row>
    <row r="902" spans="1:15" x14ac:dyDescent="0.25">
      <c r="A902" s="412" t="s">
        <v>341</v>
      </c>
      <c r="B902" t="s">
        <v>583</v>
      </c>
      <c r="C902">
        <v>1</v>
      </c>
    </row>
    <row r="903" spans="1:15" x14ac:dyDescent="0.25">
      <c r="A903" s="412" t="s">
        <v>341</v>
      </c>
      <c r="B903" t="s">
        <v>584</v>
      </c>
      <c r="C903">
        <v>1</v>
      </c>
    </row>
    <row r="904" spans="1:15" x14ac:dyDescent="0.25">
      <c r="A904" s="412" t="s">
        <v>341</v>
      </c>
      <c r="B904" t="s">
        <v>585</v>
      </c>
      <c r="C904">
        <v>1</v>
      </c>
    </row>
    <row r="905" spans="1:15" x14ac:dyDescent="0.25">
      <c r="A905" t="s">
        <v>614</v>
      </c>
    </row>
    <row r="906" spans="1:15" x14ac:dyDescent="0.25">
      <c r="A906" t="s">
        <v>635</v>
      </c>
    </row>
    <row r="907" spans="1:15" x14ac:dyDescent="0.25">
      <c r="D907" t="s">
        <v>83</v>
      </c>
      <c r="E907">
        <v>1</v>
      </c>
      <c r="G907" t="b">
        <v>0</v>
      </c>
      <c r="H907" t="b">
        <v>0</v>
      </c>
      <c r="I907" t="b">
        <v>0</v>
      </c>
      <c r="J907" t="s">
        <v>333</v>
      </c>
      <c r="N907" t="b">
        <v>0</v>
      </c>
      <c r="O907" t="s">
        <v>83</v>
      </c>
    </row>
    <row r="908" spans="1:15" x14ac:dyDescent="0.25">
      <c r="D908" t="s">
        <v>82</v>
      </c>
      <c r="E908">
        <v>2</v>
      </c>
      <c r="G908" t="b">
        <v>0</v>
      </c>
      <c r="H908" t="b">
        <v>1</v>
      </c>
      <c r="I908" t="b">
        <v>0</v>
      </c>
      <c r="J908" t="s">
        <v>334</v>
      </c>
      <c r="L908">
        <v>10</v>
      </c>
      <c r="M908">
        <v>0</v>
      </c>
      <c r="N908" t="b">
        <v>1</v>
      </c>
      <c r="O908" t="s">
        <v>82</v>
      </c>
    </row>
    <row r="909" spans="1:15" x14ac:dyDescent="0.25">
      <c r="D909" t="s">
        <v>81</v>
      </c>
      <c r="E909">
        <v>3</v>
      </c>
      <c r="G909" t="b">
        <v>1</v>
      </c>
      <c r="H909" t="b">
        <v>0</v>
      </c>
      <c r="I909" t="b">
        <v>0</v>
      </c>
      <c r="J909" t="s">
        <v>335</v>
      </c>
      <c r="K909">
        <v>15</v>
      </c>
      <c r="N909" t="b">
        <v>0</v>
      </c>
      <c r="O909" t="s">
        <v>81</v>
      </c>
    </row>
    <row r="910" spans="1:15" x14ac:dyDescent="0.25">
      <c r="D910" t="s">
        <v>80</v>
      </c>
      <c r="E910">
        <v>4</v>
      </c>
      <c r="G910" t="b">
        <v>1</v>
      </c>
      <c r="H910" t="b">
        <v>0</v>
      </c>
      <c r="I910" t="b">
        <v>0</v>
      </c>
      <c r="J910" t="s">
        <v>335</v>
      </c>
      <c r="K910">
        <v>15</v>
      </c>
      <c r="N910" t="b">
        <v>0</v>
      </c>
      <c r="O910" t="s">
        <v>80</v>
      </c>
    </row>
    <row r="911" spans="1:15" x14ac:dyDescent="0.25">
      <c r="D911" t="s">
        <v>79</v>
      </c>
      <c r="E911">
        <v>5</v>
      </c>
      <c r="G911" t="b">
        <v>1</v>
      </c>
      <c r="H911" t="b">
        <v>0</v>
      </c>
      <c r="I911" t="b">
        <v>0</v>
      </c>
      <c r="J911" t="s">
        <v>335</v>
      </c>
      <c r="K911">
        <v>15</v>
      </c>
      <c r="N911" t="b">
        <v>0</v>
      </c>
      <c r="O911" t="s">
        <v>79</v>
      </c>
    </row>
    <row r="912" spans="1:15" x14ac:dyDescent="0.25">
      <c r="D912" t="s">
        <v>78</v>
      </c>
      <c r="E912">
        <v>6</v>
      </c>
      <c r="G912" t="b">
        <v>1</v>
      </c>
      <c r="H912" t="b">
        <v>0</v>
      </c>
      <c r="I912" t="b">
        <v>0</v>
      </c>
      <c r="J912" t="s">
        <v>335</v>
      </c>
      <c r="K912">
        <v>45</v>
      </c>
      <c r="N912" t="b">
        <v>0</v>
      </c>
      <c r="O912" t="s">
        <v>78</v>
      </c>
    </row>
    <row r="913" spans="4:15" x14ac:dyDescent="0.25">
      <c r="D913" t="s">
        <v>77</v>
      </c>
      <c r="E913">
        <v>7</v>
      </c>
      <c r="G913" t="b">
        <v>1</v>
      </c>
      <c r="H913" t="b">
        <v>0</v>
      </c>
      <c r="I913" t="b">
        <v>0</v>
      </c>
      <c r="J913" t="s">
        <v>333</v>
      </c>
      <c r="N913" t="b">
        <v>0</v>
      </c>
      <c r="O913" t="s">
        <v>77</v>
      </c>
    </row>
    <row r="914" spans="4:15" x14ac:dyDescent="0.25">
      <c r="D914" t="s">
        <v>76</v>
      </c>
      <c r="E914">
        <v>8</v>
      </c>
      <c r="G914" t="b">
        <v>1</v>
      </c>
      <c r="H914" t="b">
        <v>0</v>
      </c>
      <c r="I914" t="b">
        <v>0</v>
      </c>
      <c r="J914" t="s">
        <v>335</v>
      </c>
      <c r="K914">
        <v>45</v>
      </c>
      <c r="N914" t="b">
        <v>0</v>
      </c>
      <c r="O914" t="s">
        <v>76</v>
      </c>
    </row>
    <row r="915" spans="4:15" x14ac:dyDescent="0.25">
      <c r="D915" t="s">
        <v>75</v>
      </c>
      <c r="E915">
        <v>9</v>
      </c>
      <c r="G915" t="b">
        <v>1</v>
      </c>
      <c r="H915" t="b">
        <v>0</v>
      </c>
      <c r="I915" t="b">
        <v>0</v>
      </c>
      <c r="J915" t="s">
        <v>334</v>
      </c>
      <c r="L915">
        <v>10</v>
      </c>
      <c r="M915">
        <v>0</v>
      </c>
      <c r="N915" t="b">
        <v>0</v>
      </c>
      <c r="O915" t="s">
        <v>75</v>
      </c>
    </row>
    <row r="916" spans="4:15" x14ac:dyDescent="0.25">
      <c r="D916" t="s">
        <v>74</v>
      </c>
      <c r="E916">
        <v>10</v>
      </c>
      <c r="G916" t="b">
        <v>1</v>
      </c>
      <c r="H916" t="b">
        <v>0</v>
      </c>
      <c r="I916" t="b">
        <v>0</v>
      </c>
      <c r="J916" t="s">
        <v>335</v>
      </c>
      <c r="K916">
        <v>15</v>
      </c>
      <c r="N916" t="b">
        <v>0</v>
      </c>
      <c r="O916" t="s">
        <v>74</v>
      </c>
    </row>
    <row r="917" spans="4:15" x14ac:dyDescent="0.25">
      <c r="D917" t="s">
        <v>73</v>
      </c>
      <c r="E917">
        <v>11</v>
      </c>
      <c r="G917" t="b">
        <v>1</v>
      </c>
      <c r="H917" t="b">
        <v>0</v>
      </c>
      <c r="I917" t="b">
        <v>0</v>
      </c>
      <c r="J917" t="s">
        <v>335</v>
      </c>
      <c r="K917">
        <v>20</v>
      </c>
      <c r="N917" t="b">
        <v>0</v>
      </c>
      <c r="O917" t="s">
        <v>73</v>
      </c>
    </row>
    <row r="918" spans="4:15" x14ac:dyDescent="0.25">
      <c r="D918" t="s">
        <v>72</v>
      </c>
      <c r="E918">
        <v>12</v>
      </c>
      <c r="G918" t="b">
        <v>1</v>
      </c>
      <c r="H918" t="b">
        <v>0</v>
      </c>
      <c r="I918" t="b">
        <v>0</v>
      </c>
      <c r="J918" t="s">
        <v>335</v>
      </c>
      <c r="K918">
        <v>20</v>
      </c>
      <c r="N918" t="b">
        <v>0</v>
      </c>
      <c r="O918" t="s">
        <v>72</v>
      </c>
    </row>
    <row r="919" spans="4:15" x14ac:dyDescent="0.25">
      <c r="D919" t="s">
        <v>71</v>
      </c>
      <c r="E919">
        <v>13</v>
      </c>
      <c r="G919" t="b">
        <v>1</v>
      </c>
      <c r="H919" t="b">
        <v>0</v>
      </c>
      <c r="I919" t="b">
        <v>0</v>
      </c>
      <c r="J919" t="s">
        <v>335</v>
      </c>
      <c r="K919">
        <v>20</v>
      </c>
      <c r="N919" t="b">
        <v>0</v>
      </c>
      <c r="O919" t="s">
        <v>71</v>
      </c>
    </row>
    <row r="920" spans="4:15" x14ac:dyDescent="0.25">
      <c r="D920" t="s">
        <v>70</v>
      </c>
      <c r="E920">
        <v>14</v>
      </c>
      <c r="G920" t="b">
        <v>1</v>
      </c>
      <c r="H920" t="b">
        <v>0</v>
      </c>
      <c r="I920" t="b">
        <v>0</v>
      </c>
      <c r="J920" t="s">
        <v>335</v>
      </c>
      <c r="K920">
        <v>20</v>
      </c>
      <c r="N920" t="b">
        <v>0</v>
      </c>
      <c r="O920" t="s">
        <v>70</v>
      </c>
    </row>
    <row r="921" spans="4:15" x14ac:dyDescent="0.25">
      <c r="D921" t="s">
        <v>69</v>
      </c>
      <c r="E921">
        <v>15</v>
      </c>
      <c r="G921" t="b">
        <v>1</v>
      </c>
      <c r="H921" t="b">
        <v>0</v>
      </c>
      <c r="I921" t="b">
        <v>0</v>
      </c>
      <c r="J921" t="s">
        <v>335</v>
      </c>
      <c r="K921">
        <v>20</v>
      </c>
      <c r="N921" t="b">
        <v>0</v>
      </c>
      <c r="O921" t="s">
        <v>69</v>
      </c>
    </row>
    <row r="922" spans="4:15" x14ac:dyDescent="0.25">
      <c r="D922" t="s">
        <v>68</v>
      </c>
      <c r="E922">
        <v>16</v>
      </c>
      <c r="G922" t="b">
        <v>1</v>
      </c>
      <c r="H922" t="b">
        <v>0</v>
      </c>
      <c r="I922" t="b">
        <v>0</v>
      </c>
      <c r="J922" t="s">
        <v>335</v>
      </c>
      <c r="K922">
        <v>20</v>
      </c>
      <c r="N922" t="b">
        <v>0</v>
      </c>
      <c r="O922" t="s">
        <v>68</v>
      </c>
    </row>
    <row r="923" spans="4:15" x14ac:dyDescent="0.25">
      <c r="D923" t="s">
        <v>67</v>
      </c>
      <c r="E923">
        <v>17</v>
      </c>
      <c r="G923" t="b">
        <v>1</v>
      </c>
      <c r="H923" t="b">
        <v>0</v>
      </c>
      <c r="I923" t="b">
        <v>0</v>
      </c>
      <c r="J923" t="s">
        <v>335</v>
      </c>
      <c r="K923">
        <v>20</v>
      </c>
      <c r="N923" t="b">
        <v>0</v>
      </c>
      <c r="O923" t="s">
        <v>67</v>
      </c>
    </row>
    <row r="924" spans="4:15" x14ac:dyDescent="0.25">
      <c r="D924" t="s">
        <v>66</v>
      </c>
      <c r="E924">
        <v>18</v>
      </c>
      <c r="G924" t="b">
        <v>1</v>
      </c>
      <c r="H924" t="b">
        <v>0</v>
      </c>
      <c r="I924" t="b">
        <v>0</v>
      </c>
      <c r="J924" t="s">
        <v>335</v>
      </c>
      <c r="K924">
        <v>20</v>
      </c>
      <c r="N924" t="b">
        <v>0</v>
      </c>
      <c r="O924" t="s">
        <v>66</v>
      </c>
    </row>
    <row r="925" spans="4:15" x14ac:dyDescent="0.25">
      <c r="D925" t="s">
        <v>65</v>
      </c>
      <c r="E925">
        <v>19</v>
      </c>
      <c r="G925" t="b">
        <v>1</v>
      </c>
      <c r="H925" t="b">
        <v>0</v>
      </c>
      <c r="I925" t="b">
        <v>0</v>
      </c>
      <c r="J925" t="s">
        <v>335</v>
      </c>
      <c r="K925">
        <v>40</v>
      </c>
      <c r="N925" t="b">
        <v>0</v>
      </c>
      <c r="O925" t="s">
        <v>65</v>
      </c>
    </row>
    <row r="926" spans="4:15" x14ac:dyDescent="0.25">
      <c r="D926" t="s">
        <v>64</v>
      </c>
      <c r="E926">
        <v>20</v>
      </c>
      <c r="G926" t="b">
        <v>1</v>
      </c>
      <c r="H926" t="b">
        <v>0</v>
      </c>
      <c r="I926" t="b">
        <v>0</v>
      </c>
      <c r="J926" t="s">
        <v>335</v>
      </c>
      <c r="K926">
        <v>25</v>
      </c>
      <c r="N926" t="b">
        <v>0</v>
      </c>
      <c r="O926" t="s">
        <v>64</v>
      </c>
    </row>
    <row r="927" spans="4:15" x14ac:dyDescent="0.25">
      <c r="D927" t="s">
        <v>63</v>
      </c>
      <c r="E927">
        <v>21</v>
      </c>
      <c r="G927" t="b">
        <v>1</v>
      </c>
      <c r="H927" t="b">
        <v>0</v>
      </c>
      <c r="I927" t="b">
        <v>0</v>
      </c>
      <c r="J927" t="s">
        <v>335</v>
      </c>
      <c r="K927">
        <v>45</v>
      </c>
      <c r="N927" t="b">
        <v>0</v>
      </c>
      <c r="O927" t="s">
        <v>63</v>
      </c>
    </row>
    <row r="928" spans="4:15" x14ac:dyDescent="0.25">
      <c r="D928" t="s">
        <v>62</v>
      </c>
      <c r="E928">
        <v>22</v>
      </c>
      <c r="G928" t="b">
        <v>1</v>
      </c>
      <c r="H928" t="b">
        <v>0</v>
      </c>
      <c r="I928" t="b">
        <v>0</v>
      </c>
      <c r="J928" t="s">
        <v>335</v>
      </c>
      <c r="K928">
        <v>45</v>
      </c>
      <c r="N928" t="b">
        <v>0</v>
      </c>
      <c r="O928" t="s">
        <v>62</v>
      </c>
    </row>
    <row r="929" spans="4:15" x14ac:dyDescent="0.25">
      <c r="D929" t="s">
        <v>61</v>
      </c>
      <c r="E929">
        <v>23</v>
      </c>
      <c r="G929" t="b">
        <v>1</v>
      </c>
      <c r="H929" t="b">
        <v>0</v>
      </c>
      <c r="I929" t="b">
        <v>0</v>
      </c>
      <c r="J929" t="s">
        <v>335</v>
      </c>
      <c r="K929">
        <v>11</v>
      </c>
      <c r="N929" t="b">
        <v>0</v>
      </c>
      <c r="O929" t="s">
        <v>61</v>
      </c>
    </row>
    <row r="930" spans="4:15" x14ac:dyDescent="0.25">
      <c r="D930" t="s">
        <v>60</v>
      </c>
      <c r="E930">
        <v>24</v>
      </c>
      <c r="G930" t="b">
        <v>1</v>
      </c>
      <c r="H930" t="b">
        <v>0</v>
      </c>
      <c r="I930" t="b">
        <v>0</v>
      </c>
      <c r="J930" t="s">
        <v>335</v>
      </c>
      <c r="K930">
        <v>15</v>
      </c>
      <c r="N930" t="b">
        <v>0</v>
      </c>
      <c r="O930" t="s">
        <v>60</v>
      </c>
    </row>
    <row r="931" spans="4:15" x14ac:dyDescent="0.25">
      <c r="D931" t="s">
        <v>59</v>
      </c>
      <c r="E931">
        <v>25</v>
      </c>
      <c r="G931" t="b">
        <v>1</v>
      </c>
      <c r="H931" t="b">
        <v>0</v>
      </c>
      <c r="I931" t="b">
        <v>0</v>
      </c>
      <c r="J931" t="s">
        <v>335</v>
      </c>
      <c r="K931">
        <v>15</v>
      </c>
      <c r="N931" t="b">
        <v>0</v>
      </c>
      <c r="O931" t="s">
        <v>59</v>
      </c>
    </row>
    <row r="932" spans="4:15" x14ac:dyDescent="0.25">
      <c r="D932" t="s">
        <v>58</v>
      </c>
      <c r="E932">
        <v>26</v>
      </c>
      <c r="G932" t="b">
        <v>1</v>
      </c>
      <c r="H932" t="b">
        <v>0</v>
      </c>
      <c r="I932" t="b">
        <v>0</v>
      </c>
      <c r="J932" t="s">
        <v>335</v>
      </c>
      <c r="K932">
        <v>45</v>
      </c>
      <c r="N932" t="b">
        <v>0</v>
      </c>
      <c r="O932" t="s">
        <v>58</v>
      </c>
    </row>
    <row r="933" spans="4:15" x14ac:dyDescent="0.25">
      <c r="D933" t="s">
        <v>57</v>
      </c>
      <c r="E933">
        <v>27</v>
      </c>
      <c r="G933" t="b">
        <v>1</v>
      </c>
      <c r="H933" t="b">
        <v>0</v>
      </c>
      <c r="I933" t="b">
        <v>0</v>
      </c>
      <c r="J933" t="s">
        <v>335</v>
      </c>
      <c r="K933">
        <v>5</v>
      </c>
      <c r="N933" t="b">
        <v>0</v>
      </c>
      <c r="O933" t="s">
        <v>57</v>
      </c>
    </row>
    <row r="934" spans="4:15" x14ac:dyDescent="0.25">
      <c r="D934" t="s">
        <v>56</v>
      </c>
      <c r="E934">
        <v>28</v>
      </c>
      <c r="G934" t="b">
        <v>1</v>
      </c>
      <c r="H934" t="b">
        <v>0</v>
      </c>
      <c r="I934" t="b">
        <v>0</v>
      </c>
      <c r="J934" t="s">
        <v>335</v>
      </c>
      <c r="K934">
        <v>45</v>
      </c>
      <c r="N934" t="b">
        <v>0</v>
      </c>
      <c r="O934" t="s">
        <v>56</v>
      </c>
    </row>
    <row r="935" spans="4:15" x14ac:dyDescent="0.25">
      <c r="D935" t="s">
        <v>55</v>
      </c>
      <c r="E935">
        <v>29</v>
      </c>
      <c r="G935" t="b">
        <v>1</v>
      </c>
      <c r="H935" t="b">
        <v>0</v>
      </c>
      <c r="I935" t="b">
        <v>0</v>
      </c>
      <c r="J935" t="s">
        <v>335</v>
      </c>
      <c r="K935">
        <v>45</v>
      </c>
      <c r="N935" t="b">
        <v>0</v>
      </c>
      <c r="O935" t="s">
        <v>55</v>
      </c>
    </row>
    <row r="936" spans="4:15" x14ac:dyDescent="0.25">
      <c r="D936" t="s">
        <v>54</v>
      </c>
      <c r="E936">
        <v>30</v>
      </c>
      <c r="G936" t="b">
        <v>1</v>
      </c>
      <c r="H936" t="b">
        <v>0</v>
      </c>
      <c r="I936" t="b">
        <v>0</v>
      </c>
      <c r="J936" t="s">
        <v>335</v>
      </c>
      <c r="K936">
        <v>45</v>
      </c>
      <c r="N936" t="b">
        <v>0</v>
      </c>
      <c r="O936" t="s">
        <v>54</v>
      </c>
    </row>
    <row r="937" spans="4:15" x14ac:dyDescent="0.25">
      <c r="D937" t="s">
        <v>53</v>
      </c>
      <c r="E937">
        <v>31</v>
      </c>
      <c r="G937" t="b">
        <v>1</v>
      </c>
      <c r="H937" t="b">
        <v>0</v>
      </c>
      <c r="I937" t="b">
        <v>0</v>
      </c>
      <c r="J937" t="s">
        <v>335</v>
      </c>
      <c r="K937">
        <v>45</v>
      </c>
      <c r="N937" t="b">
        <v>0</v>
      </c>
      <c r="O937" t="s">
        <v>53</v>
      </c>
    </row>
    <row r="938" spans="4:15" x14ac:dyDescent="0.25">
      <c r="D938" t="s">
        <v>52</v>
      </c>
      <c r="E938">
        <v>32</v>
      </c>
      <c r="G938" t="b">
        <v>1</v>
      </c>
      <c r="H938" t="b">
        <v>0</v>
      </c>
      <c r="I938" t="b">
        <v>0</v>
      </c>
      <c r="J938" t="s">
        <v>333</v>
      </c>
      <c r="N938" t="b">
        <v>0</v>
      </c>
      <c r="O938" t="s">
        <v>52</v>
      </c>
    </row>
    <row r="939" spans="4:15" x14ac:dyDescent="0.25">
      <c r="D939" t="s">
        <v>51</v>
      </c>
      <c r="E939">
        <v>33</v>
      </c>
      <c r="G939" t="b">
        <v>1</v>
      </c>
      <c r="H939" t="b">
        <v>0</v>
      </c>
      <c r="I939" t="b">
        <v>0</v>
      </c>
      <c r="J939" t="s">
        <v>335</v>
      </c>
      <c r="K939">
        <v>45</v>
      </c>
      <c r="N939" t="b">
        <v>0</v>
      </c>
      <c r="O939" t="s">
        <v>51</v>
      </c>
    </row>
    <row r="940" spans="4:15" x14ac:dyDescent="0.25">
      <c r="D940" t="s">
        <v>50</v>
      </c>
      <c r="E940">
        <v>34</v>
      </c>
      <c r="G940" t="b">
        <v>1</v>
      </c>
      <c r="H940" t="b">
        <v>0</v>
      </c>
      <c r="I940" t="b">
        <v>0</v>
      </c>
      <c r="J940" t="s">
        <v>335</v>
      </c>
      <c r="K940">
        <v>45</v>
      </c>
      <c r="N940" t="b">
        <v>0</v>
      </c>
      <c r="O940" t="s">
        <v>50</v>
      </c>
    </row>
    <row r="941" spans="4:15" x14ac:dyDescent="0.25">
      <c r="D941" t="s">
        <v>49</v>
      </c>
      <c r="E941">
        <v>35</v>
      </c>
      <c r="G941" t="b">
        <v>1</v>
      </c>
      <c r="H941" t="b">
        <v>0</v>
      </c>
      <c r="I941" t="b">
        <v>0</v>
      </c>
      <c r="J941" t="s">
        <v>335</v>
      </c>
      <c r="K941">
        <v>25</v>
      </c>
      <c r="N941" t="b">
        <v>0</v>
      </c>
      <c r="O941" t="s">
        <v>49</v>
      </c>
    </row>
    <row r="942" spans="4:15" x14ac:dyDescent="0.25">
      <c r="D942" t="s">
        <v>48</v>
      </c>
      <c r="E942">
        <v>36</v>
      </c>
      <c r="G942" t="b">
        <v>1</v>
      </c>
      <c r="H942" t="b">
        <v>0</v>
      </c>
      <c r="I942" t="b">
        <v>0</v>
      </c>
      <c r="J942" t="s">
        <v>335</v>
      </c>
      <c r="K942">
        <v>45</v>
      </c>
      <c r="N942" t="b">
        <v>0</v>
      </c>
      <c r="O942" t="s">
        <v>48</v>
      </c>
    </row>
    <row r="943" spans="4:15" x14ac:dyDescent="0.25">
      <c r="D943" t="s">
        <v>47</v>
      </c>
      <c r="E943">
        <v>37</v>
      </c>
      <c r="G943" t="b">
        <v>1</v>
      </c>
      <c r="H943" t="b">
        <v>0</v>
      </c>
      <c r="I943" t="b">
        <v>0</v>
      </c>
      <c r="J943" t="s">
        <v>335</v>
      </c>
      <c r="K943">
        <v>45</v>
      </c>
      <c r="N943" t="b">
        <v>0</v>
      </c>
      <c r="O943" t="s">
        <v>47</v>
      </c>
    </row>
    <row r="944" spans="4:15" x14ac:dyDescent="0.25">
      <c r="D944" t="s">
        <v>46</v>
      </c>
      <c r="E944">
        <v>38</v>
      </c>
      <c r="G944" t="b">
        <v>1</v>
      </c>
      <c r="H944" t="b">
        <v>0</v>
      </c>
      <c r="I944" t="b">
        <v>0</v>
      </c>
      <c r="J944" t="s">
        <v>335</v>
      </c>
      <c r="K944">
        <v>25</v>
      </c>
      <c r="N944" t="b">
        <v>0</v>
      </c>
      <c r="O944" t="s">
        <v>46</v>
      </c>
    </row>
    <row r="945" spans="1:15" x14ac:dyDescent="0.25">
      <c r="D945" t="s">
        <v>45</v>
      </c>
      <c r="E945">
        <v>39</v>
      </c>
      <c r="G945" t="b">
        <v>1</v>
      </c>
      <c r="H945" t="b">
        <v>0</v>
      </c>
      <c r="I945" t="b">
        <v>0</v>
      </c>
      <c r="J945" t="s">
        <v>335</v>
      </c>
      <c r="K945">
        <v>450</v>
      </c>
      <c r="N945" t="b">
        <v>0</v>
      </c>
      <c r="O945" t="s">
        <v>45</v>
      </c>
    </row>
    <row r="946" spans="1:15" x14ac:dyDescent="0.25">
      <c r="D946" t="s">
        <v>44</v>
      </c>
      <c r="E946">
        <v>40</v>
      </c>
      <c r="G946" t="b">
        <v>1</v>
      </c>
      <c r="H946" t="b">
        <v>0</v>
      </c>
      <c r="I946" t="b">
        <v>0</v>
      </c>
      <c r="J946" t="s">
        <v>636</v>
      </c>
      <c r="K946">
        <v>16777215</v>
      </c>
      <c r="N946" t="b">
        <v>0</v>
      </c>
      <c r="O946" t="s">
        <v>44</v>
      </c>
    </row>
    <row r="947" spans="1:15" x14ac:dyDescent="0.25">
      <c r="D947" t="s">
        <v>43</v>
      </c>
      <c r="E947">
        <v>41</v>
      </c>
      <c r="G947" t="b">
        <v>1</v>
      </c>
      <c r="H947" t="b">
        <v>0</v>
      </c>
      <c r="I947" t="b">
        <v>0</v>
      </c>
      <c r="J947" t="s">
        <v>336</v>
      </c>
      <c r="K947">
        <v>65535</v>
      </c>
      <c r="N947" t="b">
        <v>0</v>
      </c>
      <c r="O947" t="s">
        <v>43</v>
      </c>
    </row>
    <row r="948" spans="1:15" x14ac:dyDescent="0.25">
      <c r="D948" t="s">
        <v>42</v>
      </c>
      <c r="E948">
        <v>42</v>
      </c>
      <c r="G948" t="b">
        <v>1</v>
      </c>
      <c r="H948" t="b">
        <v>0</v>
      </c>
      <c r="I948" t="b">
        <v>0</v>
      </c>
      <c r="J948" t="s">
        <v>335</v>
      </c>
      <c r="K948">
        <v>25</v>
      </c>
      <c r="N948" t="b">
        <v>0</v>
      </c>
      <c r="O948" t="s">
        <v>42</v>
      </c>
    </row>
    <row r="949" spans="1:15" x14ac:dyDescent="0.25">
      <c r="D949" t="s">
        <v>41</v>
      </c>
      <c r="E949">
        <v>43</v>
      </c>
      <c r="G949" t="b">
        <v>1</v>
      </c>
      <c r="H949" t="b">
        <v>0</v>
      </c>
      <c r="I949" t="b">
        <v>0</v>
      </c>
      <c r="J949" t="s">
        <v>335</v>
      </c>
      <c r="K949">
        <v>25</v>
      </c>
      <c r="N949" t="b">
        <v>0</v>
      </c>
      <c r="O949" t="s">
        <v>41</v>
      </c>
    </row>
    <row r="950" spans="1:15" x14ac:dyDescent="0.25">
      <c r="D950" t="s">
        <v>40</v>
      </c>
      <c r="E950">
        <v>44</v>
      </c>
      <c r="G950" t="b">
        <v>0</v>
      </c>
      <c r="H950" t="b">
        <v>0</v>
      </c>
      <c r="I950" t="b">
        <v>0</v>
      </c>
      <c r="J950" t="s">
        <v>335</v>
      </c>
      <c r="K950">
        <v>25</v>
      </c>
      <c r="N950" t="b">
        <v>0</v>
      </c>
      <c r="O950" t="s">
        <v>40</v>
      </c>
    </row>
    <row r="951" spans="1:15" x14ac:dyDescent="0.25">
      <c r="D951" t="s">
        <v>39</v>
      </c>
      <c r="E951">
        <v>45</v>
      </c>
      <c r="G951" t="b">
        <v>1</v>
      </c>
      <c r="H951" t="b">
        <v>0</v>
      </c>
      <c r="I951" t="b">
        <v>0</v>
      </c>
      <c r="J951" t="s">
        <v>335</v>
      </c>
      <c r="K951">
        <v>45</v>
      </c>
      <c r="N951" t="b">
        <v>0</v>
      </c>
      <c r="O951" t="s">
        <v>39</v>
      </c>
    </row>
    <row r="952" spans="1:15" x14ac:dyDescent="0.25">
      <c r="D952" t="s">
        <v>38</v>
      </c>
      <c r="E952">
        <v>46</v>
      </c>
      <c r="G952" t="b">
        <v>1</v>
      </c>
      <c r="H952" t="b">
        <v>0</v>
      </c>
      <c r="I952" t="b">
        <v>0</v>
      </c>
      <c r="J952" t="s">
        <v>335</v>
      </c>
      <c r="K952">
        <v>25</v>
      </c>
      <c r="N952" t="b">
        <v>0</v>
      </c>
      <c r="O952" t="s">
        <v>38</v>
      </c>
    </row>
    <row r="953" spans="1:15" x14ac:dyDescent="0.25">
      <c r="D953" t="s">
        <v>37</v>
      </c>
      <c r="E953">
        <v>47</v>
      </c>
      <c r="G953" t="b">
        <v>1</v>
      </c>
      <c r="H953" t="b">
        <v>0</v>
      </c>
      <c r="I953" t="b">
        <v>0</v>
      </c>
      <c r="J953" t="s">
        <v>335</v>
      </c>
      <c r="K953">
        <v>11</v>
      </c>
      <c r="N953" t="b">
        <v>0</v>
      </c>
      <c r="O953" t="s">
        <v>37</v>
      </c>
    </row>
    <row r="954" spans="1:15" x14ac:dyDescent="0.25">
      <c r="D954" t="s">
        <v>36</v>
      </c>
      <c r="E954">
        <v>48</v>
      </c>
      <c r="G954" t="b">
        <v>1</v>
      </c>
      <c r="H954" t="b">
        <v>0</v>
      </c>
      <c r="I954" t="b">
        <v>0</v>
      </c>
      <c r="J954" t="s">
        <v>333</v>
      </c>
      <c r="N954" t="b">
        <v>0</v>
      </c>
      <c r="O954" t="s">
        <v>36</v>
      </c>
    </row>
    <row r="955" spans="1:15" x14ac:dyDescent="0.25">
      <c r="D955" t="s">
        <v>35</v>
      </c>
      <c r="E955">
        <v>49</v>
      </c>
      <c r="G955" t="b">
        <v>1</v>
      </c>
      <c r="H955" t="b">
        <v>0</v>
      </c>
      <c r="I955" t="b">
        <v>0</v>
      </c>
      <c r="J955" t="s">
        <v>335</v>
      </c>
      <c r="K955">
        <v>25</v>
      </c>
      <c r="N955" t="b">
        <v>0</v>
      </c>
      <c r="O955" t="s">
        <v>35</v>
      </c>
    </row>
    <row r="956" spans="1:15" x14ac:dyDescent="0.25">
      <c r="D956" t="s">
        <v>34</v>
      </c>
      <c r="E956">
        <v>50</v>
      </c>
      <c r="G956" t="b">
        <v>1</v>
      </c>
      <c r="H956" t="b">
        <v>0</v>
      </c>
      <c r="I956" t="b">
        <v>0</v>
      </c>
      <c r="J956" t="s">
        <v>335</v>
      </c>
      <c r="K956">
        <v>25</v>
      </c>
      <c r="N956" t="b">
        <v>0</v>
      </c>
      <c r="O956" t="s">
        <v>34</v>
      </c>
    </row>
    <row r="957" spans="1:15" x14ac:dyDescent="0.25">
      <c r="D957" t="s">
        <v>33</v>
      </c>
      <c r="E957">
        <v>51</v>
      </c>
      <c r="G957" t="b">
        <v>1</v>
      </c>
      <c r="H957" t="b">
        <v>0</v>
      </c>
      <c r="I957" t="b">
        <v>0</v>
      </c>
      <c r="J957" t="s">
        <v>335</v>
      </c>
      <c r="K957">
        <v>11</v>
      </c>
      <c r="N957" t="b">
        <v>0</v>
      </c>
      <c r="O957" t="s">
        <v>33</v>
      </c>
    </row>
    <row r="958" spans="1:15" x14ac:dyDescent="0.25">
      <c r="D958" t="s">
        <v>32</v>
      </c>
      <c r="E958">
        <v>52</v>
      </c>
      <c r="G958" t="b">
        <v>1</v>
      </c>
      <c r="H958" t="b">
        <v>0</v>
      </c>
      <c r="I958" t="b">
        <v>0</v>
      </c>
      <c r="J958" t="s">
        <v>333</v>
      </c>
      <c r="N958" t="b">
        <v>0</v>
      </c>
      <c r="O958" t="s">
        <v>32</v>
      </c>
    </row>
    <row r="959" spans="1:15" x14ac:dyDescent="0.25">
      <c r="D959" t="s">
        <v>31</v>
      </c>
      <c r="E959">
        <v>53</v>
      </c>
      <c r="G959" t="b">
        <v>1</v>
      </c>
      <c r="H959" t="b">
        <v>0</v>
      </c>
      <c r="I959" t="b">
        <v>0</v>
      </c>
      <c r="J959" t="s">
        <v>335</v>
      </c>
      <c r="K959">
        <v>45</v>
      </c>
      <c r="N959" t="b">
        <v>0</v>
      </c>
      <c r="O959" t="s">
        <v>31</v>
      </c>
    </row>
    <row r="960" spans="1:15" x14ac:dyDescent="0.25">
      <c r="A960" t="s">
        <v>637</v>
      </c>
    </row>
    <row r="961" spans="1:15" x14ac:dyDescent="0.25">
      <c r="A961" t="s">
        <v>670</v>
      </c>
    </row>
    <row r="962" spans="1:15" x14ac:dyDescent="0.25">
      <c r="D962" t="s">
        <v>83</v>
      </c>
      <c r="E962">
        <v>1</v>
      </c>
      <c r="G962" t="b">
        <v>0</v>
      </c>
      <c r="H962" t="b">
        <v>0</v>
      </c>
      <c r="I962" t="b">
        <v>0</v>
      </c>
      <c r="J962" t="s">
        <v>333</v>
      </c>
      <c r="N962" t="b">
        <v>0</v>
      </c>
      <c r="O962" t="s">
        <v>83</v>
      </c>
    </row>
    <row r="963" spans="1:15" x14ac:dyDescent="0.25">
      <c r="D963" t="s">
        <v>105</v>
      </c>
      <c r="E963">
        <v>2</v>
      </c>
      <c r="G963" t="b">
        <v>0</v>
      </c>
      <c r="H963" t="b">
        <v>1</v>
      </c>
      <c r="I963" t="b">
        <v>0</v>
      </c>
      <c r="J963" t="s">
        <v>334</v>
      </c>
      <c r="L963">
        <v>10</v>
      </c>
      <c r="M963">
        <v>0</v>
      </c>
      <c r="N963" t="b">
        <v>1</v>
      </c>
      <c r="O963" t="s">
        <v>105</v>
      </c>
    </row>
    <row r="964" spans="1:15" x14ac:dyDescent="0.25">
      <c r="D964" t="s">
        <v>82</v>
      </c>
      <c r="E964">
        <v>3</v>
      </c>
      <c r="G964" t="b">
        <v>0</v>
      </c>
      <c r="H964" t="b">
        <v>0</v>
      </c>
      <c r="I964" t="b">
        <v>0</v>
      </c>
      <c r="J964" t="s">
        <v>334</v>
      </c>
      <c r="L964">
        <v>10</v>
      </c>
      <c r="M964">
        <v>0</v>
      </c>
      <c r="N964" t="b">
        <v>0</v>
      </c>
      <c r="O964" t="s">
        <v>82</v>
      </c>
    </row>
    <row r="965" spans="1:15" x14ac:dyDescent="0.25">
      <c r="D965" t="s">
        <v>78</v>
      </c>
      <c r="E965">
        <v>4</v>
      </c>
      <c r="G965" t="b">
        <v>0</v>
      </c>
      <c r="H965" t="b">
        <v>0</v>
      </c>
      <c r="I965" t="b">
        <v>0</v>
      </c>
      <c r="J965" t="s">
        <v>335</v>
      </c>
      <c r="K965">
        <v>45</v>
      </c>
      <c r="N965" t="b">
        <v>0</v>
      </c>
      <c r="O965" t="s">
        <v>78</v>
      </c>
    </row>
    <row r="966" spans="1:15" x14ac:dyDescent="0.25">
      <c r="D966" t="s">
        <v>75</v>
      </c>
      <c r="E966">
        <v>5</v>
      </c>
      <c r="G966" t="b">
        <v>0</v>
      </c>
      <c r="H966" t="b">
        <v>0</v>
      </c>
      <c r="I966" t="b">
        <v>0</v>
      </c>
      <c r="J966" t="s">
        <v>334</v>
      </c>
      <c r="L966">
        <v>10</v>
      </c>
      <c r="M966">
        <v>0</v>
      </c>
      <c r="N966" t="b">
        <v>0</v>
      </c>
      <c r="O966" t="s">
        <v>75</v>
      </c>
    </row>
    <row r="967" spans="1:15" x14ac:dyDescent="0.25">
      <c r="D967" t="s">
        <v>104</v>
      </c>
      <c r="E967">
        <v>6</v>
      </c>
      <c r="G967" t="b">
        <v>0</v>
      </c>
      <c r="H967" t="b">
        <v>0</v>
      </c>
      <c r="I967" t="b">
        <v>0</v>
      </c>
      <c r="J967" t="s">
        <v>335</v>
      </c>
      <c r="K967">
        <v>45</v>
      </c>
      <c r="N967" t="b">
        <v>0</v>
      </c>
      <c r="O967" t="s">
        <v>104</v>
      </c>
    </row>
    <row r="968" spans="1:15" x14ac:dyDescent="0.25">
      <c r="D968" t="s">
        <v>76</v>
      </c>
      <c r="E968">
        <v>7</v>
      </c>
      <c r="G968" t="b">
        <v>0</v>
      </c>
      <c r="H968" t="b">
        <v>0</v>
      </c>
      <c r="I968" t="b">
        <v>0</v>
      </c>
      <c r="J968" t="s">
        <v>335</v>
      </c>
      <c r="K968">
        <v>45</v>
      </c>
      <c r="N968" t="b">
        <v>0</v>
      </c>
      <c r="O968" t="s">
        <v>76</v>
      </c>
    </row>
    <row r="969" spans="1:15" x14ac:dyDescent="0.25">
      <c r="D969" t="s">
        <v>33</v>
      </c>
      <c r="E969">
        <v>8</v>
      </c>
      <c r="G969" t="b">
        <v>0</v>
      </c>
      <c r="H969" t="b">
        <v>0</v>
      </c>
      <c r="I969" t="b">
        <v>0</v>
      </c>
      <c r="J969" t="s">
        <v>335</v>
      </c>
      <c r="K969">
        <v>45</v>
      </c>
      <c r="N969" t="b">
        <v>0</v>
      </c>
      <c r="O969" t="s">
        <v>33</v>
      </c>
    </row>
    <row r="970" spans="1:15" x14ac:dyDescent="0.25">
      <c r="D970" t="s">
        <v>103</v>
      </c>
      <c r="E970">
        <v>9</v>
      </c>
      <c r="G970" t="b">
        <v>0</v>
      </c>
      <c r="H970" t="b">
        <v>0</v>
      </c>
      <c r="I970" t="b">
        <v>0</v>
      </c>
      <c r="J970" t="s">
        <v>335</v>
      </c>
      <c r="K970">
        <v>45</v>
      </c>
      <c r="N970" t="b">
        <v>0</v>
      </c>
      <c r="O970" t="s">
        <v>103</v>
      </c>
    </row>
    <row r="971" spans="1:15" x14ac:dyDescent="0.25">
      <c r="D971" t="s">
        <v>102</v>
      </c>
      <c r="E971">
        <v>10</v>
      </c>
      <c r="G971" t="b">
        <v>0</v>
      </c>
      <c r="H971" t="b">
        <v>0</v>
      </c>
      <c r="I971" t="b">
        <v>0</v>
      </c>
      <c r="J971" t="s">
        <v>335</v>
      </c>
      <c r="K971">
        <v>45</v>
      </c>
      <c r="N971" t="b">
        <v>0</v>
      </c>
      <c r="O971" t="s">
        <v>102</v>
      </c>
    </row>
    <row r="972" spans="1:15" x14ac:dyDescent="0.25">
      <c r="D972" t="s">
        <v>101</v>
      </c>
      <c r="E972">
        <v>11</v>
      </c>
      <c r="G972" t="b">
        <v>0</v>
      </c>
      <c r="H972" t="b">
        <v>0</v>
      </c>
      <c r="I972" t="b">
        <v>0</v>
      </c>
      <c r="J972" t="s">
        <v>333</v>
      </c>
      <c r="N972" t="b">
        <v>0</v>
      </c>
      <c r="O972" t="s">
        <v>101</v>
      </c>
    </row>
    <row r="973" spans="1:15" x14ac:dyDescent="0.25">
      <c r="D973" t="s">
        <v>100</v>
      </c>
      <c r="E973">
        <v>12</v>
      </c>
      <c r="G973" t="b">
        <v>0</v>
      </c>
      <c r="H973" t="b">
        <v>0</v>
      </c>
      <c r="I973" t="b">
        <v>0</v>
      </c>
      <c r="J973" t="s">
        <v>335</v>
      </c>
      <c r="K973">
        <v>45</v>
      </c>
      <c r="N973" t="b">
        <v>0</v>
      </c>
      <c r="O973" t="s">
        <v>100</v>
      </c>
    </row>
    <row r="974" spans="1:15" x14ac:dyDescent="0.25">
      <c r="D974" t="s">
        <v>99</v>
      </c>
      <c r="E974">
        <v>13</v>
      </c>
      <c r="G974" t="b">
        <v>0</v>
      </c>
      <c r="H974" t="b">
        <v>0</v>
      </c>
      <c r="I974" t="b">
        <v>0</v>
      </c>
      <c r="J974" t="s">
        <v>333</v>
      </c>
      <c r="N974" t="b">
        <v>0</v>
      </c>
      <c r="O974" t="s">
        <v>99</v>
      </c>
    </row>
    <row r="975" spans="1:15" x14ac:dyDescent="0.25">
      <c r="D975" t="s">
        <v>98</v>
      </c>
      <c r="E975">
        <v>14</v>
      </c>
      <c r="G975" t="b">
        <v>0</v>
      </c>
      <c r="H975" t="b">
        <v>0</v>
      </c>
      <c r="I975" t="b">
        <v>0</v>
      </c>
      <c r="J975" t="s">
        <v>335</v>
      </c>
      <c r="K975">
        <v>45</v>
      </c>
      <c r="N975" t="b">
        <v>0</v>
      </c>
      <c r="O975" t="s">
        <v>98</v>
      </c>
    </row>
    <row r="976" spans="1:15" x14ac:dyDescent="0.25">
      <c r="D976" t="s">
        <v>41</v>
      </c>
      <c r="E976">
        <v>15</v>
      </c>
      <c r="G976" t="b">
        <v>0</v>
      </c>
      <c r="H976" t="b">
        <v>0</v>
      </c>
      <c r="I976" t="b">
        <v>0</v>
      </c>
      <c r="J976" t="s">
        <v>335</v>
      </c>
      <c r="K976">
        <v>45</v>
      </c>
      <c r="N976" t="b">
        <v>0</v>
      </c>
      <c r="O976" t="s">
        <v>41</v>
      </c>
    </row>
    <row r="977" spans="1:15" x14ac:dyDescent="0.25">
      <c r="D977" t="s">
        <v>97</v>
      </c>
      <c r="E977">
        <v>16</v>
      </c>
      <c r="G977" t="b">
        <v>0</v>
      </c>
      <c r="H977" t="b">
        <v>0</v>
      </c>
      <c r="I977" t="b">
        <v>0</v>
      </c>
      <c r="J977" t="s">
        <v>335</v>
      </c>
      <c r="K977">
        <v>45</v>
      </c>
      <c r="N977" t="b">
        <v>0</v>
      </c>
      <c r="O977" t="s">
        <v>97</v>
      </c>
    </row>
    <row r="978" spans="1:15" x14ac:dyDescent="0.25">
      <c r="D978" t="s">
        <v>96</v>
      </c>
      <c r="E978">
        <v>17</v>
      </c>
      <c r="G978" t="b">
        <v>0</v>
      </c>
      <c r="H978" t="b">
        <v>0</v>
      </c>
      <c r="I978" t="b">
        <v>0</v>
      </c>
      <c r="J978" t="s">
        <v>335</v>
      </c>
      <c r="K978">
        <v>45</v>
      </c>
      <c r="N978" t="b">
        <v>0</v>
      </c>
      <c r="O978" t="s">
        <v>96</v>
      </c>
    </row>
    <row r="979" spans="1:15" x14ac:dyDescent="0.25">
      <c r="A979" t="s">
        <v>671</v>
      </c>
    </row>
    <row r="980" spans="1:15" x14ac:dyDescent="0.25">
      <c r="A980" t="s">
        <v>672</v>
      </c>
    </row>
    <row r="981" spans="1:15" x14ac:dyDescent="0.25">
      <c r="A981" s="412" t="s">
        <v>341</v>
      </c>
      <c r="B981" t="s">
        <v>464</v>
      </c>
      <c r="C981" s="412" t="s">
        <v>352</v>
      </c>
    </row>
    <row r="982" spans="1:15" x14ac:dyDescent="0.25">
      <c r="A982" s="412" t="s">
        <v>341</v>
      </c>
      <c r="B982" t="s">
        <v>465</v>
      </c>
      <c r="C982" t="b">
        <v>0</v>
      </c>
    </row>
    <row r="983" spans="1:15" x14ac:dyDescent="0.25">
      <c r="A983" s="412" t="s">
        <v>341</v>
      </c>
      <c r="B983" t="s">
        <v>466</v>
      </c>
      <c r="C983" s="412" t="s">
        <v>467</v>
      </c>
    </row>
    <row r="984" spans="1:15" x14ac:dyDescent="0.25">
      <c r="A984" s="412" t="s">
        <v>341</v>
      </c>
      <c r="B984" t="s">
        <v>468</v>
      </c>
      <c r="C984" t="b">
        <v>0</v>
      </c>
    </row>
    <row r="985" spans="1:15" x14ac:dyDescent="0.25">
      <c r="A985" s="412" t="s">
        <v>341</v>
      </c>
      <c r="B985" t="s">
        <v>469</v>
      </c>
      <c r="C985" t="b">
        <v>0</v>
      </c>
    </row>
    <row r="986" spans="1:15" x14ac:dyDescent="0.25">
      <c r="A986" s="412" t="s">
        <v>341</v>
      </c>
      <c r="B986" t="s">
        <v>470</v>
      </c>
      <c r="C986" t="b">
        <v>0</v>
      </c>
    </row>
    <row r="987" spans="1:15" x14ac:dyDescent="0.25">
      <c r="A987" s="412" t="s">
        <v>341</v>
      </c>
      <c r="B987" t="s">
        <v>471</v>
      </c>
      <c r="C987" t="b">
        <v>1</v>
      </c>
    </row>
    <row r="988" spans="1:15" x14ac:dyDescent="0.25">
      <c r="A988" s="412" t="s">
        <v>472</v>
      </c>
      <c r="B988" t="s">
        <v>473</v>
      </c>
      <c r="C988" t="b">
        <v>0</v>
      </c>
    </row>
    <row r="989" spans="1:15" x14ac:dyDescent="0.25">
      <c r="A989" s="412" t="s">
        <v>472</v>
      </c>
      <c r="B989" t="s">
        <v>474</v>
      </c>
      <c r="C989" s="412" t="s">
        <v>475</v>
      </c>
    </row>
    <row r="990" spans="1:15" x14ac:dyDescent="0.25">
      <c r="A990" s="412" t="s">
        <v>472</v>
      </c>
      <c r="B990" t="s">
        <v>476</v>
      </c>
      <c r="C990">
        <v>12.57</v>
      </c>
    </row>
    <row r="991" spans="1:15" x14ac:dyDescent="0.25">
      <c r="A991" s="412" t="s">
        <v>472</v>
      </c>
      <c r="B991" t="s">
        <v>477</v>
      </c>
      <c r="C991" s="412" t="s">
        <v>478</v>
      </c>
    </row>
    <row r="992" spans="1:15" x14ac:dyDescent="0.25">
      <c r="A992" s="412" t="s">
        <v>83</v>
      </c>
      <c r="B992" t="s">
        <v>473</v>
      </c>
      <c r="C992" t="b">
        <v>0</v>
      </c>
    </row>
    <row r="993" spans="1:3" x14ac:dyDescent="0.25">
      <c r="A993" s="412" t="s">
        <v>83</v>
      </c>
      <c r="B993" t="s">
        <v>474</v>
      </c>
      <c r="C993" s="412" t="s">
        <v>479</v>
      </c>
    </row>
    <row r="994" spans="1:3" x14ac:dyDescent="0.25">
      <c r="A994" s="412" t="s">
        <v>83</v>
      </c>
      <c r="B994" t="s">
        <v>476</v>
      </c>
      <c r="C994">
        <v>15.57</v>
      </c>
    </row>
    <row r="995" spans="1:3" x14ac:dyDescent="0.25">
      <c r="A995" s="412" t="s">
        <v>83</v>
      </c>
      <c r="B995" t="s">
        <v>477</v>
      </c>
      <c r="C995" s="412" t="s">
        <v>480</v>
      </c>
    </row>
    <row r="996" spans="1:3" x14ac:dyDescent="0.25">
      <c r="A996" s="412" t="s">
        <v>105</v>
      </c>
      <c r="B996" t="s">
        <v>473</v>
      </c>
      <c r="C996" t="b">
        <v>0</v>
      </c>
    </row>
    <row r="997" spans="1:3" x14ac:dyDescent="0.25">
      <c r="A997" s="412" t="s">
        <v>105</v>
      </c>
      <c r="B997" t="s">
        <v>474</v>
      </c>
      <c r="C997" s="412" t="s">
        <v>490</v>
      </c>
    </row>
    <row r="998" spans="1:3" x14ac:dyDescent="0.25">
      <c r="A998" s="412" t="s">
        <v>105</v>
      </c>
      <c r="B998" t="s">
        <v>476</v>
      </c>
      <c r="C998">
        <v>14</v>
      </c>
    </row>
    <row r="999" spans="1:3" x14ac:dyDescent="0.25">
      <c r="A999" s="412" t="s">
        <v>105</v>
      </c>
      <c r="B999" t="s">
        <v>477</v>
      </c>
      <c r="C999" s="412" t="s">
        <v>478</v>
      </c>
    </row>
    <row r="1000" spans="1:3" x14ac:dyDescent="0.25">
      <c r="A1000" s="412" t="s">
        <v>82</v>
      </c>
      <c r="B1000" t="s">
        <v>473</v>
      </c>
      <c r="C1000" t="b">
        <v>0</v>
      </c>
    </row>
    <row r="1001" spans="1:3" x14ac:dyDescent="0.25">
      <c r="A1001" s="412" t="s">
        <v>82</v>
      </c>
      <c r="B1001" t="s">
        <v>474</v>
      </c>
      <c r="C1001" s="412" t="s">
        <v>494</v>
      </c>
    </row>
    <row r="1002" spans="1:3" x14ac:dyDescent="0.25">
      <c r="A1002" s="412" t="s">
        <v>82</v>
      </c>
      <c r="B1002" t="s">
        <v>476</v>
      </c>
      <c r="C1002">
        <v>15.57</v>
      </c>
    </row>
    <row r="1003" spans="1:3" x14ac:dyDescent="0.25">
      <c r="A1003" s="412" t="s">
        <v>82</v>
      </c>
      <c r="B1003" t="s">
        <v>477</v>
      </c>
      <c r="C1003" s="412" t="s">
        <v>478</v>
      </c>
    </row>
    <row r="1004" spans="1:3" x14ac:dyDescent="0.25">
      <c r="A1004" s="412" t="s">
        <v>78</v>
      </c>
      <c r="B1004" t="s">
        <v>473</v>
      </c>
      <c r="C1004" t="b">
        <v>0</v>
      </c>
    </row>
    <row r="1005" spans="1:3" x14ac:dyDescent="0.25">
      <c r="A1005" s="412" t="s">
        <v>78</v>
      </c>
      <c r="B1005" t="s">
        <v>474</v>
      </c>
      <c r="C1005" s="412" t="s">
        <v>496</v>
      </c>
    </row>
    <row r="1006" spans="1:3" x14ac:dyDescent="0.25">
      <c r="A1006" s="412" t="s">
        <v>78</v>
      </c>
      <c r="B1006" t="s">
        <v>476</v>
      </c>
      <c r="C1006">
        <v>21.43</v>
      </c>
    </row>
    <row r="1007" spans="1:3" x14ac:dyDescent="0.25">
      <c r="A1007" s="412" t="s">
        <v>78</v>
      </c>
      <c r="B1007" t="s">
        <v>477</v>
      </c>
      <c r="C1007" s="412" t="s">
        <v>478</v>
      </c>
    </row>
    <row r="1008" spans="1:3" x14ac:dyDescent="0.25">
      <c r="A1008" s="412" t="s">
        <v>75</v>
      </c>
      <c r="B1008" t="s">
        <v>473</v>
      </c>
      <c r="C1008" t="b">
        <v>0</v>
      </c>
    </row>
    <row r="1009" spans="1:3" x14ac:dyDescent="0.25">
      <c r="A1009" s="412" t="s">
        <v>75</v>
      </c>
      <c r="B1009" t="s">
        <v>474</v>
      </c>
      <c r="C1009" s="412" t="s">
        <v>497</v>
      </c>
    </row>
    <row r="1010" spans="1:3" x14ac:dyDescent="0.25">
      <c r="A1010" s="412" t="s">
        <v>75</v>
      </c>
      <c r="B1010" t="s">
        <v>476</v>
      </c>
      <c r="C1010">
        <v>7.57</v>
      </c>
    </row>
    <row r="1011" spans="1:3" x14ac:dyDescent="0.25">
      <c r="A1011" s="412" t="s">
        <v>75</v>
      </c>
      <c r="B1011" t="s">
        <v>477</v>
      </c>
      <c r="C1011" s="412" t="s">
        <v>478</v>
      </c>
    </row>
    <row r="1012" spans="1:3" x14ac:dyDescent="0.25">
      <c r="A1012" s="412" t="s">
        <v>104</v>
      </c>
      <c r="B1012" t="s">
        <v>473</v>
      </c>
      <c r="C1012" t="b">
        <v>0</v>
      </c>
    </row>
    <row r="1013" spans="1:3" x14ac:dyDescent="0.25">
      <c r="A1013" s="412" t="s">
        <v>104</v>
      </c>
      <c r="B1013" t="s">
        <v>474</v>
      </c>
      <c r="C1013" s="412" t="s">
        <v>498</v>
      </c>
    </row>
    <row r="1014" spans="1:3" x14ac:dyDescent="0.25">
      <c r="A1014" s="412" t="s">
        <v>104</v>
      </c>
      <c r="B1014" t="s">
        <v>476</v>
      </c>
      <c r="C1014">
        <v>10.57</v>
      </c>
    </row>
    <row r="1015" spans="1:3" x14ac:dyDescent="0.25">
      <c r="A1015" s="412" t="s">
        <v>104</v>
      </c>
      <c r="B1015" t="s">
        <v>477</v>
      </c>
      <c r="C1015" s="412" t="s">
        <v>478</v>
      </c>
    </row>
    <row r="1016" spans="1:3" x14ac:dyDescent="0.25">
      <c r="A1016" s="412" t="s">
        <v>76</v>
      </c>
      <c r="B1016" t="s">
        <v>473</v>
      </c>
      <c r="C1016" t="b">
        <v>0</v>
      </c>
    </row>
    <row r="1017" spans="1:3" x14ac:dyDescent="0.25">
      <c r="A1017" s="412" t="s">
        <v>76</v>
      </c>
      <c r="B1017" t="s">
        <v>474</v>
      </c>
      <c r="C1017" s="412" t="s">
        <v>499</v>
      </c>
    </row>
    <row r="1018" spans="1:3" x14ac:dyDescent="0.25">
      <c r="A1018" s="412" t="s">
        <v>76</v>
      </c>
      <c r="B1018" t="s">
        <v>476</v>
      </c>
      <c r="C1018">
        <v>6.71</v>
      </c>
    </row>
    <row r="1019" spans="1:3" x14ac:dyDescent="0.25">
      <c r="A1019" s="412" t="s">
        <v>76</v>
      </c>
      <c r="B1019" t="s">
        <v>477</v>
      </c>
      <c r="C1019" s="412" t="s">
        <v>478</v>
      </c>
    </row>
    <row r="1020" spans="1:3" x14ac:dyDescent="0.25">
      <c r="A1020" s="412" t="s">
        <v>33</v>
      </c>
      <c r="B1020" t="s">
        <v>473</v>
      </c>
      <c r="C1020" t="b">
        <v>0</v>
      </c>
    </row>
    <row r="1021" spans="1:3" x14ac:dyDescent="0.25">
      <c r="A1021" s="412" t="s">
        <v>33</v>
      </c>
      <c r="B1021" t="s">
        <v>474</v>
      </c>
      <c r="C1021" s="412" t="s">
        <v>500</v>
      </c>
    </row>
    <row r="1022" spans="1:3" x14ac:dyDescent="0.25">
      <c r="A1022" s="412" t="s">
        <v>33</v>
      </c>
      <c r="B1022" t="s">
        <v>476</v>
      </c>
      <c r="C1022">
        <v>10.14</v>
      </c>
    </row>
    <row r="1023" spans="1:3" x14ac:dyDescent="0.25">
      <c r="A1023" s="412" t="s">
        <v>33</v>
      </c>
      <c r="B1023" t="s">
        <v>477</v>
      </c>
      <c r="C1023" s="412" t="s">
        <v>478</v>
      </c>
    </row>
    <row r="1024" spans="1:3" x14ac:dyDescent="0.25">
      <c r="A1024" s="412" t="s">
        <v>103</v>
      </c>
      <c r="B1024" t="s">
        <v>473</v>
      </c>
      <c r="C1024" t="b">
        <v>0</v>
      </c>
    </row>
    <row r="1025" spans="1:3" x14ac:dyDescent="0.25">
      <c r="A1025" s="412" t="s">
        <v>103</v>
      </c>
      <c r="B1025" t="s">
        <v>474</v>
      </c>
      <c r="C1025" s="412" t="s">
        <v>501</v>
      </c>
    </row>
    <row r="1026" spans="1:3" x14ac:dyDescent="0.25">
      <c r="A1026" s="412" t="s">
        <v>103</v>
      </c>
      <c r="B1026" t="s">
        <v>476</v>
      </c>
      <c r="C1026">
        <v>10.57</v>
      </c>
    </row>
    <row r="1027" spans="1:3" x14ac:dyDescent="0.25">
      <c r="A1027" s="412" t="s">
        <v>103</v>
      </c>
      <c r="B1027" t="s">
        <v>477</v>
      </c>
      <c r="C1027" s="412" t="s">
        <v>478</v>
      </c>
    </row>
    <row r="1028" spans="1:3" x14ac:dyDescent="0.25">
      <c r="A1028" s="412" t="s">
        <v>102</v>
      </c>
      <c r="B1028" t="s">
        <v>473</v>
      </c>
      <c r="C1028" t="b">
        <v>0</v>
      </c>
    </row>
    <row r="1029" spans="1:3" x14ac:dyDescent="0.25">
      <c r="A1029" s="412" t="s">
        <v>102</v>
      </c>
      <c r="B1029" t="s">
        <v>474</v>
      </c>
      <c r="C1029" s="412" t="s">
        <v>502</v>
      </c>
    </row>
    <row r="1030" spans="1:3" x14ac:dyDescent="0.25">
      <c r="A1030" s="412" t="s">
        <v>102</v>
      </c>
      <c r="B1030" t="s">
        <v>476</v>
      </c>
      <c r="C1030">
        <v>34.29</v>
      </c>
    </row>
    <row r="1031" spans="1:3" x14ac:dyDescent="0.25">
      <c r="A1031" s="412" t="s">
        <v>102</v>
      </c>
      <c r="B1031" t="s">
        <v>477</v>
      </c>
      <c r="C1031" s="412" t="s">
        <v>478</v>
      </c>
    </row>
    <row r="1032" spans="1:3" x14ac:dyDescent="0.25">
      <c r="A1032" s="412" t="s">
        <v>101</v>
      </c>
      <c r="B1032" t="s">
        <v>473</v>
      </c>
      <c r="C1032" t="b">
        <v>0</v>
      </c>
    </row>
    <row r="1033" spans="1:3" x14ac:dyDescent="0.25">
      <c r="A1033" s="412" t="s">
        <v>101</v>
      </c>
      <c r="B1033" t="s">
        <v>474</v>
      </c>
      <c r="C1033" s="412" t="s">
        <v>503</v>
      </c>
    </row>
    <row r="1034" spans="1:3" x14ac:dyDescent="0.25">
      <c r="A1034" s="412" t="s">
        <v>101</v>
      </c>
      <c r="B1034" t="s">
        <v>476</v>
      </c>
      <c r="C1034">
        <v>8</v>
      </c>
    </row>
    <row r="1035" spans="1:3" x14ac:dyDescent="0.25">
      <c r="A1035" s="412" t="s">
        <v>101</v>
      </c>
      <c r="B1035" t="s">
        <v>477</v>
      </c>
      <c r="C1035" s="412" t="s">
        <v>480</v>
      </c>
    </row>
    <row r="1036" spans="1:3" x14ac:dyDescent="0.25">
      <c r="A1036" s="412" t="s">
        <v>100</v>
      </c>
      <c r="B1036" t="s">
        <v>473</v>
      </c>
      <c r="C1036" t="b">
        <v>0</v>
      </c>
    </row>
    <row r="1037" spans="1:3" x14ac:dyDescent="0.25">
      <c r="A1037" s="412" t="s">
        <v>100</v>
      </c>
      <c r="B1037" t="s">
        <v>474</v>
      </c>
      <c r="C1037" s="412" t="s">
        <v>504</v>
      </c>
    </row>
    <row r="1038" spans="1:3" x14ac:dyDescent="0.25">
      <c r="A1038" s="412" t="s">
        <v>100</v>
      </c>
      <c r="B1038" t="s">
        <v>476</v>
      </c>
      <c r="C1038">
        <v>15.43</v>
      </c>
    </row>
    <row r="1039" spans="1:3" x14ac:dyDescent="0.25">
      <c r="A1039" s="412" t="s">
        <v>100</v>
      </c>
      <c r="B1039" t="s">
        <v>477</v>
      </c>
      <c r="C1039" s="412" t="s">
        <v>478</v>
      </c>
    </row>
    <row r="1040" spans="1:3" x14ac:dyDescent="0.25">
      <c r="A1040" s="412" t="s">
        <v>99</v>
      </c>
      <c r="B1040" t="s">
        <v>473</v>
      </c>
      <c r="C1040" t="b">
        <v>0</v>
      </c>
    </row>
    <row r="1041" spans="1:3" x14ac:dyDescent="0.25">
      <c r="A1041" s="412" t="s">
        <v>99</v>
      </c>
      <c r="B1041" t="s">
        <v>474</v>
      </c>
      <c r="C1041" s="412" t="s">
        <v>505</v>
      </c>
    </row>
    <row r="1042" spans="1:3" x14ac:dyDescent="0.25">
      <c r="A1042" s="412" t="s">
        <v>99</v>
      </c>
      <c r="B1042" t="s">
        <v>476</v>
      </c>
      <c r="C1042">
        <v>9</v>
      </c>
    </row>
    <row r="1043" spans="1:3" x14ac:dyDescent="0.25">
      <c r="A1043" s="412" t="s">
        <v>99</v>
      </c>
      <c r="B1043" t="s">
        <v>477</v>
      </c>
      <c r="C1043" s="412" t="s">
        <v>480</v>
      </c>
    </row>
    <row r="1044" spans="1:3" x14ac:dyDescent="0.25">
      <c r="A1044" s="412" t="s">
        <v>98</v>
      </c>
      <c r="B1044" t="s">
        <v>473</v>
      </c>
      <c r="C1044" t="b">
        <v>0</v>
      </c>
    </row>
    <row r="1045" spans="1:3" x14ac:dyDescent="0.25">
      <c r="A1045" s="412" t="s">
        <v>98</v>
      </c>
      <c r="B1045" t="s">
        <v>474</v>
      </c>
      <c r="C1045" s="412" t="s">
        <v>506</v>
      </c>
    </row>
    <row r="1046" spans="1:3" x14ac:dyDescent="0.25">
      <c r="A1046" s="412" t="s">
        <v>98</v>
      </c>
      <c r="B1046" t="s">
        <v>476</v>
      </c>
      <c r="C1046">
        <v>10.86</v>
      </c>
    </row>
    <row r="1047" spans="1:3" x14ac:dyDescent="0.25">
      <c r="A1047" s="412" t="s">
        <v>98</v>
      </c>
      <c r="B1047" t="s">
        <v>477</v>
      </c>
      <c r="C1047" s="412" t="s">
        <v>478</v>
      </c>
    </row>
    <row r="1048" spans="1:3" x14ac:dyDescent="0.25">
      <c r="A1048" s="412" t="s">
        <v>41</v>
      </c>
      <c r="B1048" t="s">
        <v>473</v>
      </c>
      <c r="C1048" t="b">
        <v>0</v>
      </c>
    </row>
    <row r="1049" spans="1:3" x14ac:dyDescent="0.25">
      <c r="A1049" s="412" t="s">
        <v>41</v>
      </c>
      <c r="B1049" t="s">
        <v>474</v>
      </c>
      <c r="C1049" s="412" t="s">
        <v>507</v>
      </c>
    </row>
    <row r="1050" spans="1:3" x14ac:dyDescent="0.25">
      <c r="A1050" s="412" t="s">
        <v>41</v>
      </c>
      <c r="B1050" t="s">
        <v>476</v>
      </c>
      <c r="C1050">
        <v>9.7100000000000009</v>
      </c>
    </row>
    <row r="1051" spans="1:3" x14ac:dyDescent="0.25">
      <c r="A1051" s="412" t="s">
        <v>41</v>
      </c>
      <c r="B1051" t="s">
        <v>477</v>
      </c>
      <c r="C1051" s="412" t="s">
        <v>478</v>
      </c>
    </row>
    <row r="1052" spans="1:3" x14ac:dyDescent="0.25">
      <c r="A1052" s="412" t="s">
        <v>97</v>
      </c>
      <c r="B1052" t="s">
        <v>473</v>
      </c>
      <c r="C1052" t="b">
        <v>0</v>
      </c>
    </row>
    <row r="1053" spans="1:3" x14ac:dyDescent="0.25">
      <c r="A1053" s="412" t="s">
        <v>97</v>
      </c>
      <c r="B1053" t="s">
        <v>474</v>
      </c>
      <c r="C1053" s="412" t="s">
        <v>508</v>
      </c>
    </row>
    <row r="1054" spans="1:3" x14ac:dyDescent="0.25">
      <c r="A1054" s="412" t="s">
        <v>97</v>
      </c>
      <c r="B1054" t="s">
        <v>476</v>
      </c>
      <c r="C1054">
        <v>11.14</v>
      </c>
    </row>
    <row r="1055" spans="1:3" x14ac:dyDescent="0.25">
      <c r="A1055" s="412" t="s">
        <v>97</v>
      </c>
      <c r="B1055" t="s">
        <v>477</v>
      </c>
      <c r="C1055" s="412" t="s">
        <v>478</v>
      </c>
    </row>
    <row r="1056" spans="1:3" x14ac:dyDescent="0.25">
      <c r="A1056" s="412" t="s">
        <v>96</v>
      </c>
      <c r="B1056" t="s">
        <v>473</v>
      </c>
      <c r="C1056" t="b">
        <v>0</v>
      </c>
    </row>
    <row r="1057" spans="1:3" x14ac:dyDescent="0.25">
      <c r="A1057" s="412" t="s">
        <v>96</v>
      </c>
      <c r="B1057" t="s">
        <v>474</v>
      </c>
      <c r="C1057" s="412" t="s">
        <v>509</v>
      </c>
    </row>
    <row r="1058" spans="1:3" x14ac:dyDescent="0.25">
      <c r="A1058" s="412" t="s">
        <v>96</v>
      </c>
      <c r="B1058" t="s">
        <v>476</v>
      </c>
      <c r="C1058">
        <v>10.71</v>
      </c>
    </row>
    <row r="1059" spans="1:3" x14ac:dyDescent="0.25">
      <c r="A1059" s="412" t="s">
        <v>96</v>
      </c>
      <c r="B1059" t="s">
        <v>477</v>
      </c>
      <c r="C1059" s="412" t="s">
        <v>478</v>
      </c>
    </row>
    <row r="1060" spans="1:3" x14ac:dyDescent="0.25">
      <c r="A1060" s="412" t="s">
        <v>83</v>
      </c>
      <c r="B1060" t="s">
        <v>521</v>
      </c>
      <c r="C1060" s="412" t="s">
        <v>673</v>
      </c>
    </row>
    <row r="1061" spans="1:3" x14ac:dyDescent="0.25">
      <c r="A1061" s="412" t="s">
        <v>83</v>
      </c>
      <c r="B1061" t="s">
        <v>523</v>
      </c>
      <c r="C1061">
        <v>2</v>
      </c>
    </row>
    <row r="1062" spans="1:3" x14ac:dyDescent="0.25">
      <c r="A1062" s="412" t="s">
        <v>83</v>
      </c>
      <c r="B1062" t="s">
        <v>524</v>
      </c>
      <c r="C1062">
        <v>1</v>
      </c>
    </row>
    <row r="1063" spans="1:3" x14ac:dyDescent="0.25">
      <c r="A1063" s="412" t="s">
        <v>83</v>
      </c>
      <c r="B1063" t="s">
        <v>525</v>
      </c>
      <c r="C1063" s="412" t="s">
        <v>526</v>
      </c>
    </row>
    <row r="1064" spans="1:3" x14ac:dyDescent="0.25">
      <c r="A1064" s="412" t="s">
        <v>83</v>
      </c>
      <c r="B1064" t="s">
        <v>527</v>
      </c>
      <c r="C1064">
        <v>65535</v>
      </c>
    </row>
    <row r="1065" spans="1:3" x14ac:dyDescent="0.25">
      <c r="A1065" s="412" t="s">
        <v>82</v>
      </c>
      <c r="B1065" t="s">
        <v>521</v>
      </c>
      <c r="C1065" s="412" t="s">
        <v>674</v>
      </c>
    </row>
    <row r="1066" spans="1:3" x14ac:dyDescent="0.25">
      <c r="A1066" s="412" t="s">
        <v>82</v>
      </c>
      <c r="B1066" t="s">
        <v>523</v>
      </c>
      <c r="C1066">
        <v>2</v>
      </c>
    </row>
    <row r="1067" spans="1:3" x14ac:dyDescent="0.25">
      <c r="A1067" s="412" t="s">
        <v>82</v>
      </c>
      <c r="B1067" t="s">
        <v>524</v>
      </c>
      <c r="C1067">
        <v>2</v>
      </c>
    </row>
    <row r="1068" spans="1:3" x14ac:dyDescent="0.25">
      <c r="A1068" s="412" t="s">
        <v>82</v>
      </c>
      <c r="B1068" t="s">
        <v>525</v>
      </c>
      <c r="C1068" s="412" t="s">
        <v>529</v>
      </c>
    </row>
    <row r="1069" spans="1:3" x14ac:dyDescent="0.25">
      <c r="A1069" s="412" t="s">
        <v>82</v>
      </c>
      <c r="B1069" t="s">
        <v>527</v>
      </c>
      <c r="C1069">
        <v>65535</v>
      </c>
    </row>
    <row r="1070" spans="1:3" x14ac:dyDescent="0.25">
      <c r="A1070" s="412" t="s">
        <v>78</v>
      </c>
      <c r="B1070" t="s">
        <v>521</v>
      </c>
      <c r="C1070" s="412" t="s">
        <v>675</v>
      </c>
    </row>
    <row r="1071" spans="1:3" x14ac:dyDescent="0.25">
      <c r="A1071" s="412" t="s">
        <v>78</v>
      </c>
      <c r="B1071" t="s">
        <v>523</v>
      </c>
      <c r="C1071">
        <v>2</v>
      </c>
    </row>
    <row r="1072" spans="1:3" x14ac:dyDescent="0.25">
      <c r="A1072" s="412" t="s">
        <v>78</v>
      </c>
      <c r="B1072" t="s">
        <v>524</v>
      </c>
      <c r="C1072">
        <v>3</v>
      </c>
    </row>
    <row r="1073" spans="1:3" x14ac:dyDescent="0.25">
      <c r="A1073" s="412" t="s">
        <v>78</v>
      </c>
      <c r="B1073" t="s">
        <v>525</v>
      </c>
      <c r="C1073" s="412" t="s">
        <v>676</v>
      </c>
    </row>
    <row r="1074" spans="1:3" x14ac:dyDescent="0.25">
      <c r="A1074" s="412" t="s">
        <v>78</v>
      </c>
      <c r="B1074" t="s">
        <v>527</v>
      </c>
      <c r="C1074">
        <v>65535</v>
      </c>
    </row>
    <row r="1075" spans="1:3" x14ac:dyDescent="0.25">
      <c r="A1075" s="412" t="s">
        <v>75</v>
      </c>
      <c r="B1075" t="s">
        <v>521</v>
      </c>
      <c r="C1075" s="412" t="s">
        <v>677</v>
      </c>
    </row>
    <row r="1076" spans="1:3" x14ac:dyDescent="0.25">
      <c r="A1076" s="412" t="s">
        <v>75</v>
      </c>
      <c r="B1076" t="s">
        <v>523</v>
      </c>
      <c r="C1076">
        <v>2</v>
      </c>
    </row>
    <row r="1077" spans="1:3" x14ac:dyDescent="0.25">
      <c r="A1077" s="412" t="s">
        <v>75</v>
      </c>
      <c r="B1077" t="s">
        <v>524</v>
      </c>
      <c r="C1077">
        <v>4</v>
      </c>
    </row>
    <row r="1078" spans="1:3" x14ac:dyDescent="0.25">
      <c r="A1078" s="412" t="s">
        <v>75</v>
      </c>
      <c r="B1078" t="s">
        <v>525</v>
      </c>
      <c r="C1078" s="412" t="s">
        <v>531</v>
      </c>
    </row>
    <row r="1079" spans="1:3" x14ac:dyDescent="0.25">
      <c r="A1079" s="412" t="s">
        <v>75</v>
      </c>
      <c r="B1079" t="s">
        <v>527</v>
      </c>
      <c r="C1079">
        <v>65535</v>
      </c>
    </row>
    <row r="1080" spans="1:3" x14ac:dyDescent="0.25">
      <c r="A1080" s="412" t="s">
        <v>104</v>
      </c>
      <c r="B1080" t="s">
        <v>521</v>
      </c>
      <c r="C1080" s="412" t="s">
        <v>678</v>
      </c>
    </row>
    <row r="1081" spans="1:3" x14ac:dyDescent="0.25">
      <c r="A1081" s="412" t="s">
        <v>104</v>
      </c>
      <c r="B1081" t="s">
        <v>523</v>
      </c>
      <c r="C1081">
        <v>2</v>
      </c>
    </row>
    <row r="1082" spans="1:3" x14ac:dyDescent="0.25">
      <c r="A1082" s="412" t="s">
        <v>104</v>
      </c>
      <c r="B1082" t="s">
        <v>524</v>
      </c>
      <c r="C1082">
        <v>5</v>
      </c>
    </row>
    <row r="1083" spans="1:3" x14ac:dyDescent="0.25">
      <c r="A1083" s="412" t="s">
        <v>104</v>
      </c>
      <c r="B1083" t="s">
        <v>525</v>
      </c>
      <c r="C1083" s="412" t="s">
        <v>533</v>
      </c>
    </row>
    <row r="1084" spans="1:3" x14ac:dyDescent="0.25">
      <c r="A1084" s="412" t="s">
        <v>104</v>
      </c>
      <c r="B1084" t="s">
        <v>527</v>
      </c>
      <c r="C1084">
        <v>65535</v>
      </c>
    </row>
    <row r="1085" spans="1:3" x14ac:dyDescent="0.25">
      <c r="A1085" s="412" t="s">
        <v>76</v>
      </c>
      <c r="B1085" t="s">
        <v>521</v>
      </c>
      <c r="C1085" s="412" t="s">
        <v>679</v>
      </c>
    </row>
    <row r="1086" spans="1:3" x14ac:dyDescent="0.25">
      <c r="A1086" s="412" t="s">
        <v>76</v>
      </c>
      <c r="B1086" t="s">
        <v>523</v>
      </c>
      <c r="C1086">
        <v>2</v>
      </c>
    </row>
    <row r="1087" spans="1:3" x14ac:dyDescent="0.25">
      <c r="A1087" s="412" t="s">
        <v>76</v>
      </c>
      <c r="B1087" t="s">
        <v>524</v>
      </c>
      <c r="C1087">
        <v>6</v>
      </c>
    </row>
    <row r="1088" spans="1:3" x14ac:dyDescent="0.25">
      <c r="A1088" s="412" t="s">
        <v>76</v>
      </c>
      <c r="B1088" t="s">
        <v>525</v>
      </c>
      <c r="C1088" s="412" t="s">
        <v>535</v>
      </c>
    </row>
    <row r="1089" spans="1:3" x14ac:dyDescent="0.25">
      <c r="A1089" s="412" t="s">
        <v>76</v>
      </c>
      <c r="B1089" t="s">
        <v>527</v>
      </c>
      <c r="C1089">
        <v>65535</v>
      </c>
    </row>
    <row r="1090" spans="1:3" x14ac:dyDescent="0.25">
      <c r="A1090" s="412" t="s">
        <v>33</v>
      </c>
      <c r="B1090" t="s">
        <v>521</v>
      </c>
      <c r="C1090" s="412" t="s">
        <v>680</v>
      </c>
    </row>
    <row r="1091" spans="1:3" x14ac:dyDescent="0.25">
      <c r="A1091" s="412" t="s">
        <v>33</v>
      </c>
      <c r="B1091" t="s">
        <v>523</v>
      </c>
      <c r="C1091">
        <v>2</v>
      </c>
    </row>
    <row r="1092" spans="1:3" x14ac:dyDescent="0.25">
      <c r="A1092" s="412" t="s">
        <v>33</v>
      </c>
      <c r="B1092" t="s">
        <v>524</v>
      </c>
      <c r="C1092">
        <v>7</v>
      </c>
    </row>
    <row r="1093" spans="1:3" x14ac:dyDescent="0.25">
      <c r="A1093" s="412" t="s">
        <v>33</v>
      </c>
      <c r="B1093" t="s">
        <v>525</v>
      </c>
      <c r="C1093" s="412" t="s">
        <v>537</v>
      </c>
    </row>
    <row r="1094" spans="1:3" x14ac:dyDescent="0.25">
      <c r="A1094" s="412" t="s">
        <v>33</v>
      </c>
      <c r="B1094" t="s">
        <v>527</v>
      </c>
      <c r="C1094">
        <v>65535</v>
      </c>
    </row>
    <row r="1095" spans="1:3" x14ac:dyDescent="0.25">
      <c r="A1095" s="412" t="s">
        <v>103</v>
      </c>
      <c r="B1095" t="s">
        <v>521</v>
      </c>
      <c r="C1095" s="412" t="s">
        <v>681</v>
      </c>
    </row>
    <row r="1096" spans="1:3" x14ac:dyDescent="0.25">
      <c r="A1096" s="412" t="s">
        <v>103</v>
      </c>
      <c r="B1096" t="s">
        <v>523</v>
      </c>
      <c r="C1096">
        <v>2</v>
      </c>
    </row>
    <row r="1097" spans="1:3" x14ac:dyDescent="0.25">
      <c r="A1097" s="412" t="s">
        <v>103</v>
      </c>
      <c r="B1097" t="s">
        <v>524</v>
      </c>
      <c r="C1097">
        <v>8</v>
      </c>
    </row>
    <row r="1098" spans="1:3" x14ac:dyDescent="0.25">
      <c r="A1098" s="412" t="s">
        <v>103</v>
      </c>
      <c r="B1098" t="s">
        <v>525</v>
      </c>
      <c r="C1098" s="412" t="s">
        <v>539</v>
      </c>
    </row>
    <row r="1099" spans="1:3" x14ac:dyDescent="0.25">
      <c r="A1099" s="412" t="s">
        <v>103</v>
      </c>
      <c r="B1099" t="s">
        <v>527</v>
      </c>
      <c r="C1099">
        <v>65535</v>
      </c>
    </row>
    <row r="1100" spans="1:3" x14ac:dyDescent="0.25">
      <c r="A1100" s="412" t="s">
        <v>102</v>
      </c>
      <c r="B1100" t="s">
        <v>521</v>
      </c>
      <c r="C1100" s="412" t="s">
        <v>682</v>
      </c>
    </row>
    <row r="1101" spans="1:3" x14ac:dyDescent="0.25">
      <c r="A1101" s="412" t="s">
        <v>102</v>
      </c>
      <c r="B1101" t="s">
        <v>523</v>
      </c>
      <c r="C1101">
        <v>2</v>
      </c>
    </row>
    <row r="1102" spans="1:3" x14ac:dyDescent="0.25">
      <c r="A1102" s="412" t="s">
        <v>102</v>
      </c>
      <c r="B1102" t="s">
        <v>524</v>
      </c>
      <c r="C1102">
        <v>9</v>
      </c>
    </row>
    <row r="1103" spans="1:3" x14ac:dyDescent="0.25">
      <c r="A1103" s="412" t="s">
        <v>102</v>
      </c>
      <c r="B1103" t="s">
        <v>525</v>
      </c>
      <c r="C1103" s="412" t="s">
        <v>541</v>
      </c>
    </row>
    <row r="1104" spans="1:3" x14ac:dyDescent="0.25">
      <c r="A1104" s="412" t="s">
        <v>102</v>
      </c>
      <c r="B1104" t="s">
        <v>527</v>
      </c>
      <c r="C1104">
        <v>65535</v>
      </c>
    </row>
    <row r="1105" spans="1:3" x14ac:dyDescent="0.25">
      <c r="A1105" s="412" t="s">
        <v>101</v>
      </c>
      <c r="B1105" t="s">
        <v>521</v>
      </c>
      <c r="C1105" s="412" t="s">
        <v>683</v>
      </c>
    </row>
    <row r="1106" spans="1:3" x14ac:dyDescent="0.25">
      <c r="A1106" s="412" t="s">
        <v>101</v>
      </c>
      <c r="B1106" t="s">
        <v>523</v>
      </c>
      <c r="C1106">
        <v>2</v>
      </c>
    </row>
    <row r="1107" spans="1:3" x14ac:dyDescent="0.25">
      <c r="A1107" s="412" t="s">
        <v>101</v>
      </c>
      <c r="B1107" t="s">
        <v>524</v>
      </c>
      <c r="C1107">
        <v>10</v>
      </c>
    </row>
    <row r="1108" spans="1:3" x14ac:dyDescent="0.25">
      <c r="A1108" s="412" t="s">
        <v>101</v>
      </c>
      <c r="B1108" t="s">
        <v>525</v>
      </c>
      <c r="C1108" s="412" t="s">
        <v>543</v>
      </c>
    </row>
    <row r="1109" spans="1:3" x14ac:dyDescent="0.25">
      <c r="A1109" s="412" t="s">
        <v>101</v>
      </c>
      <c r="B1109" t="s">
        <v>527</v>
      </c>
      <c r="C1109">
        <v>65535</v>
      </c>
    </row>
    <row r="1110" spans="1:3" x14ac:dyDescent="0.25">
      <c r="A1110" s="412" t="s">
        <v>100</v>
      </c>
      <c r="B1110" t="s">
        <v>521</v>
      </c>
      <c r="C1110" s="412" t="s">
        <v>684</v>
      </c>
    </row>
    <row r="1111" spans="1:3" x14ac:dyDescent="0.25">
      <c r="A1111" s="412" t="s">
        <v>100</v>
      </c>
      <c r="B1111" t="s">
        <v>523</v>
      </c>
      <c r="C1111">
        <v>2</v>
      </c>
    </row>
    <row r="1112" spans="1:3" x14ac:dyDescent="0.25">
      <c r="A1112" s="412" t="s">
        <v>100</v>
      </c>
      <c r="B1112" t="s">
        <v>524</v>
      </c>
      <c r="C1112">
        <v>11</v>
      </c>
    </row>
    <row r="1113" spans="1:3" x14ac:dyDescent="0.25">
      <c r="A1113" s="412" t="s">
        <v>100</v>
      </c>
      <c r="B1113" t="s">
        <v>525</v>
      </c>
      <c r="C1113" s="412" t="s">
        <v>545</v>
      </c>
    </row>
    <row r="1114" spans="1:3" x14ac:dyDescent="0.25">
      <c r="A1114" s="412" t="s">
        <v>100</v>
      </c>
      <c r="B1114" t="s">
        <v>527</v>
      </c>
      <c r="C1114">
        <v>65535</v>
      </c>
    </row>
    <row r="1115" spans="1:3" x14ac:dyDescent="0.25">
      <c r="A1115" s="412" t="s">
        <v>99</v>
      </c>
      <c r="B1115" t="s">
        <v>521</v>
      </c>
      <c r="C1115" s="412" t="s">
        <v>685</v>
      </c>
    </row>
    <row r="1116" spans="1:3" x14ac:dyDescent="0.25">
      <c r="A1116" s="412" t="s">
        <v>99</v>
      </c>
      <c r="B1116" t="s">
        <v>523</v>
      </c>
      <c r="C1116">
        <v>2</v>
      </c>
    </row>
    <row r="1117" spans="1:3" x14ac:dyDescent="0.25">
      <c r="A1117" s="412" t="s">
        <v>99</v>
      </c>
      <c r="B1117" t="s">
        <v>524</v>
      </c>
      <c r="C1117">
        <v>12</v>
      </c>
    </row>
    <row r="1118" spans="1:3" x14ac:dyDescent="0.25">
      <c r="A1118" s="412" t="s">
        <v>99</v>
      </c>
      <c r="B1118" t="s">
        <v>525</v>
      </c>
      <c r="C1118" s="412" t="s">
        <v>547</v>
      </c>
    </row>
    <row r="1119" spans="1:3" x14ac:dyDescent="0.25">
      <c r="A1119" s="412" t="s">
        <v>99</v>
      </c>
      <c r="B1119" t="s">
        <v>527</v>
      </c>
      <c r="C1119">
        <v>65535</v>
      </c>
    </row>
    <row r="1120" spans="1:3" x14ac:dyDescent="0.25">
      <c r="A1120" s="412" t="s">
        <v>98</v>
      </c>
      <c r="B1120" t="s">
        <v>521</v>
      </c>
      <c r="C1120" s="412" t="s">
        <v>686</v>
      </c>
    </row>
    <row r="1121" spans="1:3" x14ac:dyDescent="0.25">
      <c r="A1121" s="412" t="s">
        <v>98</v>
      </c>
      <c r="B1121" t="s">
        <v>523</v>
      </c>
      <c r="C1121">
        <v>2</v>
      </c>
    </row>
    <row r="1122" spans="1:3" x14ac:dyDescent="0.25">
      <c r="A1122" s="412" t="s">
        <v>98</v>
      </c>
      <c r="B1122" t="s">
        <v>524</v>
      </c>
      <c r="C1122">
        <v>13</v>
      </c>
    </row>
    <row r="1123" spans="1:3" x14ac:dyDescent="0.25">
      <c r="A1123" s="412" t="s">
        <v>98</v>
      </c>
      <c r="B1123" t="s">
        <v>525</v>
      </c>
      <c r="C1123" s="412" t="s">
        <v>549</v>
      </c>
    </row>
    <row r="1124" spans="1:3" x14ac:dyDescent="0.25">
      <c r="A1124" s="412" t="s">
        <v>98</v>
      </c>
      <c r="B1124" t="s">
        <v>527</v>
      </c>
      <c r="C1124">
        <v>65535</v>
      </c>
    </row>
    <row r="1125" spans="1:3" x14ac:dyDescent="0.25">
      <c r="A1125" s="412" t="s">
        <v>41</v>
      </c>
      <c r="B1125" t="s">
        <v>521</v>
      </c>
      <c r="C1125" s="412" t="s">
        <v>687</v>
      </c>
    </row>
    <row r="1126" spans="1:3" x14ac:dyDescent="0.25">
      <c r="A1126" s="412" t="s">
        <v>41</v>
      </c>
      <c r="B1126" t="s">
        <v>523</v>
      </c>
      <c r="C1126">
        <v>2</v>
      </c>
    </row>
    <row r="1127" spans="1:3" x14ac:dyDescent="0.25">
      <c r="A1127" s="412" t="s">
        <v>41</v>
      </c>
      <c r="B1127" t="s">
        <v>524</v>
      </c>
      <c r="C1127">
        <v>14</v>
      </c>
    </row>
    <row r="1128" spans="1:3" x14ac:dyDescent="0.25">
      <c r="A1128" s="412" t="s">
        <v>41</v>
      </c>
      <c r="B1128" t="s">
        <v>525</v>
      </c>
      <c r="C1128" s="412" t="s">
        <v>551</v>
      </c>
    </row>
    <row r="1129" spans="1:3" x14ac:dyDescent="0.25">
      <c r="A1129" s="412" t="s">
        <v>41</v>
      </c>
      <c r="B1129" t="s">
        <v>527</v>
      </c>
      <c r="C1129">
        <v>65535</v>
      </c>
    </row>
    <row r="1130" spans="1:3" x14ac:dyDescent="0.25">
      <c r="A1130" s="412" t="s">
        <v>97</v>
      </c>
      <c r="B1130" t="s">
        <v>521</v>
      </c>
      <c r="C1130" s="412" t="s">
        <v>688</v>
      </c>
    </row>
    <row r="1131" spans="1:3" x14ac:dyDescent="0.25">
      <c r="A1131" s="412" t="s">
        <v>97</v>
      </c>
      <c r="B1131" t="s">
        <v>523</v>
      </c>
      <c r="C1131">
        <v>2</v>
      </c>
    </row>
    <row r="1132" spans="1:3" x14ac:dyDescent="0.25">
      <c r="A1132" s="412" t="s">
        <v>97</v>
      </c>
      <c r="B1132" t="s">
        <v>524</v>
      </c>
      <c r="C1132">
        <v>15</v>
      </c>
    </row>
    <row r="1133" spans="1:3" x14ac:dyDescent="0.25">
      <c r="A1133" s="412" t="s">
        <v>97</v>
      </c>
      <c r="B1133" t="s">
        <v>525</v>
      </c>
      <c r="C1133" s="412" t="s">
        <v>553</v>
      </c>
    </row>
    <row r="1134" spans="1:3" x14ac:dyDescent="0.25">
      <c r="A1134" s="412" t="s">
        <v>97</v>
      </c>
      <c r="B1134" t="s">
        <v>527</v>
      </c>
      <c r="C1134">
        <v>65535</v>
      </c>
    </row>
    <row r="1135" spans="1:3" x14ac:dyDescent="0.25">
      <c r="A1135" s="412" t="s">
        <v>96</v>
      </c>
      <c r="B1135" t="s">
        <v>521</v>
      </c>
      <c r="C1135" s="412" t="s">
        <v>689</v>
      </c>
    </row>
    <row r="1136" spans="1:3" x14ac:dyDescent="0.25">
      <c r="A1136" s="412" t="s">
        <v>96</v>
      </c>
      <c r="B1136" t="s">
        <v>523</v>
      </c>
      <c r="C1136">
        <v>2</v>
      </c>
    </row>
    <row r="1137" spans="1:15" x14ac:dyDescent="0.25">
      <c r="A1137" s="412" t="s">
        <v>96</v>
      </c>
      <c r="B1137" t="s">
        <v>524</v>
      </c>
      <c r="C1137">
        <v>16</v>
      </c>
    </row>
    <row r="1138" spans="1:15" x14ac:dyDescent="0.25">
      <c r="A1138" s="412" t="s">
        <v>96</v>
      </c>
      <c r="B1138" t="s">
        <v>525</v>
      </c>
      <c r="C1138" s="412" t="s">
        <v>555</v>
      </c>
    </row>
    <row r="1139" spans="1:15" x14ac:dyDescent="0.25">
      <c r="A1139" s="412" t="s">
        <v>96</v>
      </c>
      <c r="B1139" t="s">
        <v>527</v>
      </c>
      <c r="C1139">
        <v>65535</v>
      </c>
    </row>
    <row r="1140" spans="1:15" x14ac:dyDescent="0.25">
      <c r="A1140" s="412" t="s">
        <v>341</v>
      </c>
      <c r="B1140" t="s">
        <v>578</v>
      </c>
      <c r="C1140" t="b">
        <v>0</v>
      </c>
    </row>
    <row r="1141" spans="1:15" x14ac:dyDescent="0.25">
      <c r="A1141" s="412" t="s">
        <v>341</v>
      </c>
      <c r="B1141" t="s">
        <v>579</v>
      </c>
      <c r="C1141" t="b">
        <v>0</v>
      </c>
    </row>
    <row r="1142" spans="1:15" x14ac:dyDescent="0.25">
      <c r="A1142" s="412" t="s">
        <v>341</v>
      </c>
      <c r="B1142" t="s">
        <v>580</v>
      </c>
      <c r="C1142" t="b">
        <v>0</v>
      </c>
    </row>
    <row r="1143" spans="1:15" x14ac:dyDescent="0.25">
      <c r="A1143" s="412" t="s">
        <v>341</v>
      </c>
      <c r="B1143" t="s">
        <v>581</v>
      </c>
      <c r="C1143">
        <v>-1</v>
      </c>
    </row>
    <row r="1144" spans="1:15" x14ac:dyDescent="0.25">
      <c r="A1144" s="412" t="s">
        <v>341</v>
      </c>
      <c r="B1144" t="s">
        <v>582</v>
      </c>
      <c r="C1144">
        <v>-1</v>
      </c>
    </row>
    <row r="1145" spans="1:15" x14ac:dyDescent="0.25">
      <c r="A1145" s="412" t="s">
        <v>341</v>
      </c>
      <c r="B1145" t="s">
        <v>583</v>
      </c>
      <c r="C1145">
        <v>1</v>
      </c>
    </row>
    <row r="1146" spans="1:15" x14ac:dyDescent="0.25">
      <c r="A1146" s="412" t="s">
        <v>341</v>
      </c>
      <c r="B1146" t="s">
        <v>584</v>
      </c>
      <c r="C1146">
        <v>1</v>
      </c>
    </row>
    <row r="1147" spans="1:15" x14ac:dyDescent="0.25">
      <c r="A1147" s="412" t="s">
        <v>341</v>
      </c>
      <c r="B1147" t="s">
        <v>585</v>
      </c>
      <c r="C1147">
        <v>1</v>
      </c>
    </row>
    <row r="1148" spans="1:15" x14ac:dyDescent="0.25">
      <c r="A1148" t="s">
        <v>690</v>
      </c>
    </row>
    <row r="1149" spans="1:15" x14ac:dyDescent="0.25">
      <c r="A1149" t="s">
        <v>695</v>
      </c>
    </row>
    <row r="1150" spans="1:15" x14ac:dyDescent="0.25">
      <c r="D1150" t="s">
        <v>83</v>
      </c>
      <c r="E1150">
        <v>1</v>
      </c>
      <c r="G1150" t="b">
        <v>0</v>
      </c>
      <c r="H1150" t="b">
        <v>0</v>
      </c>
      <c r="I1150" t="b">
        <v>0</v>
      </c>
      <c r="J1150" t="s">
        <v>333</v>
      </c>
      <c r="N1150" t="b">
        <v>0</v>
      </c>
      <c r="O1150" t="s">
        <v>83</v>
      </c>
    </row>
    <row r="1151" spans="1:15" x14ac:dyDescent="0.25">
      <c r="D1151" t="s">
        <v>123</v>
      </c>
      <c r="E1151">
        <v>2</v>
      </c>
      <c r="G1151" t="b">
        <v>1</v>
      </c>
      <c r="H1151" t="b">
        <v>0</v>
      </c>
      <c r="I1151" t="b">
        <v>0</v>
      </c>
      <c r="J1151" t="s">
        <v>333</v>
      </c>
      <c r="N1151" t="b">
        <v>0</v>
      </c>
      <c r="O1151" t="s">
        <v>123</v>
      </c>
    </row>
    <row r="1152" spans="1:15" x14ac:dyDescent="0.25">
      <c r="D1152" t="s">
        <v>122</v>
      </c>
      <c r="E1152">
        <v>3</v>
      </c>
      <c r="G1152" t="b">
        <v>0</v>
      </c>
      <c r="H1152" t="b">
        <v>1</v>
      </c>
      <c r="I1152" t="b">
        <v>0</v>
      </c>
      <c r="J1152" t="s">
        <v>334</v>
      </c>
      <c r="L1152">
        <v>10</v>
      </c>
      <c r="M1152">
        <v>0</v>
      </c>
      <c r="N1152" t="b">
        <v>1</v>
      </c>
      <c r="O1152" t="s">
        <v>122</v>
      </c>
    </row>
    <row r="1153" spans="4:15" x14ac:dyDescent="0.25">
      <c r="D1153" t="s">
        <v>82</v>
      </c>
      <c r="E1153">
        <v>4</v>
      </c>
      <c r="G1153" t="b">
        <v>0</v>
      </c>
      <c r="H1153" t="b">
        <v>0</v>
      </c>
      <c r="I1153" t="b">
        <v>0</v>
      </c>
      <c r="J1153" t="s">
        <v>334</v>
      </c>
      <c r="L1153">
        <v>10</v>
      </c>
      <c r="M1153">
        <v>0</v>
      </c>
      <c r="N1153" t="b">
        <v>0</v>
      </c>
      <c r="O1153" t="s">
        <v>82</v>
      </c>
    </row>
    <row r="1154" spans="4:15" x14ac:dyDescent="0.25">
      <c r="D1154" t="s">
        <v>71</v>
      </c>
      <c r="E1154">
        <v>5</v>
      </c>
      <c r="G1154" t="b">
        <v>0</v>
      </c>
      <c r="H1154" t="b">
        <v>0</v>
      </c>
      <c r="I1154" t="b">
        <v>0</v>
      </c>
      <c r="J1154" t="s">
        <v>335</v>
      </c>
      <c r="K1154">
        <v>45</v>
      </c>
      <c r="N1154" t="b">
        <v>0</v>
      </c>
      <c r="O1154" t="s">
        <v>71</v>
      </c>
    </row>
    <row r="1155" spans="4:15" x14ac:dyDescent="0.25">
      <c r="D1155" t="s">
        <v>70</v>
      </c>
      <c r="E1155">
        <v>6</v>
      </c>
      <c r="G1155" t="b">
        <v>0</v>
      </c>
      <c r="H1155" t="b">
        <v>0</v>
      </c>
      <c r="I1155" t="b">
        <v>0</v>
      </c>
      <c r="J1155" t="s">
        <v>335</v>
      </c>
      <c r="K1155">
        <v>45</v>
      </c>
      <c r="N1155" t="b">
        <v>0</v>
      </c>
      <c r="O1155" t="s">
        <v>70</v>
      </c>
    </row>
    <row r="1156" spans="4:15" x14ac:dyDescent="0.25">
      <c r="D1156" t="s">
        <v>68</v>
      </c>
      <c r="E1156">
        <v>7</v>
      </c>
      <c r="G1156" t="b">
        <v>0</v>
      </c>
      <c r="H1156" t="b">
        <v>0</v>
      </c>
      <c r="I1156" t="b">
        <v>0</v>
      </c>
      <c r="J1156" t="s">
        <v>335</v>
      </c>
      <c r="K1156">
        <v>45</v>
      </c>
      <c r="N1156" t="b">
        <v>0</v>
      </c>
      <c r="O1156" t="s">
        <v>68</v>
      </c>
    </row>
    <row r="1157" spans="4:15" x14ac:dyDescent="0.25">
      <c r="D1157" t="s">
        <v>67</v>
      </c>
      <c r="E1157">
        <v>8</v>
      </c>
      <c r="G1157" t="b">
        <v>0</v>
      </c>
      <c r="H1157" t="b">
        <v>0</v>
      </c>
      <c r="I1157" t="b">
        <v>0</v>
      </c>
      <c r="J1157" t="s">
        <v>335</v>
      </c>
      <c r="K1157">
        <v>45</v>
      </c>
      <c r="N1157" t="b">
        <v>0</v>
      </c>
      <c r="O1157" t="s">
        <v>67</v>
      </c>
    </row>
    <row r="1158" spans="4:15" x14ac:dyDescent="0.25">
      <c r="D1158" t="s">
        <v>36</v>
      </c>
      <c r="E1158">
        <v>9</v>
      </c>
      <c r="G1158" t="b">
        <v>0</v>
      </c>
      <c r="H1158" t="b">
        <v>0</v>
      </c>
      <c r="I1158" t="b">
        <v>0</v>
      </c>
      <c r="J1158" t="s">
        <v>333</v>
      </c>
      <c r="N1158" t="b">
        <v>0</v>
      </c>
      <c r="O1158" t="s">
        <v>36</v>
      </c>
    </row>
    <row r="1159" spans="4:15" x14ac:dyDescent="0.25">
      <c r="D1159" t="s">
        <v>121</v>
      </c>
      <c r="E1159">
        <v>10</v>
      </c>
      <c r="G1159" t="b">
        <v>0</v>
      </c>
      <c r="H1159" t="b">
        <v>0</v>
      </c>
      <c r="I1159" t="b">
        <v>0</v>
      </c>
      <c r="J1159" t="s">
        <v>335</v>
      </c>
      <c r="K1159">
        <v>45</v>
      </c>
      <c r="N1159" t="b">
        <v>0</v>
      </c>
      <c r="O1159" t="s">
        <v>121</v>
      </c>
    </row>
    <row r="1160" spans="4:15" x14ac:dyDescent="0.25">
      <c r="D1160" t="s">
        <v>120</v>
      </c>
      <c r="E1160">
        <v>11</v>
      </c>
      <c r="G1160" t="b">
        <v>0</v>
      </c>
      <c r="H1160" t="b">
        <v>0</v>
      </c>
      <c r="I1160" t="b">
        <v>0</v>
      </c>
      <c r="J1160" t="s">
        <v>335</v>
      </c>
      <c r="K1160">
        <v>45</v>
      </c>
      <c r="N1160" t="b">
        <v>0</v>
      </c>
      <c r="O1160" t="s">
        <v>120</v>
      </c>
    </row>
    <row r="1161" spans="4:15" x14ac:dyDescent="0.25">
      <c r="D1161" t="s">
        <v>78</v>
      </c>
      <c r="E1161">
        <v>12</v>
      </c>
      <c r="G1161" t="b">
        <v>0</v>
      </c>
      <c r="H1161" t="b">
        <v>0</v>
      </c>
      <c r="I1161" t="b">
        <v>0</v>
      </c>
      <c r="J1161" t="s">
        <v>335</v>
      </c>
      <c r="K1161">
        <v>45</v>
      </c>
      <c r="N1161" t="b">
        <v>0</v>
      </c>
      <c r="O1161" t="s">
        <v>78</v>
      </c>
    </row>
    <row r="1162" spans="4:15" x14ac:dyDescent="0.25">
      <c r="D1162" t="s">
        <v>119</v>
      </c>
      <c r="E1162">
        <v>13</v>
      </c>
      <c r="G1162" t="b">
        <v>1</v>
      </c>
      <c r="H1162" t="b">
        <v>0</v>
      </c>
      <c r="I1162" t="b">
        <v>0</v>
      </c>
      <c r="J1162" t="s">
        <v>335</v>
      </c>
      <c r="K1162">
        <v>45</v>
      </c>
      <c r="N1162" t="b">
        <v>0</v>
      </c>
      <c r="O1162" t="s">
        <v>119</v>
      </c>
    </row>
    <row r="1163" spans="4:15" x14ac:dyDescent="0.25">
      <c r="D1163" t="s">
        <v>118</v>
      </c>
      <c r="E1163">
        <v>14</v>
      </c>
      <c r="G1163" t="b">
        <v>0</v>
      </c>
      <c r="H1163" t="b">
        <v>0</v>
      </c>
      <c r="I1163" t="b">
        <v>0</v>
      </c>
      <c r="J1163" t="s">
        <v>335</v>
      </c>
      <c r="K1163">
        <v>45</v>
      </c>
      <c r="N1163" t="b">
        <v>0</v>
      </c>
      <c r="O1163" t="s">
        <v>118</v>
      </c>
    </row>
    <row r="1164" spans="4:15" x14ac:dyDescent="0.25">
      <c r="D1164" t="s">
        <v>75</v>
      </c>
      <c r="E1164">
        <v>15</v>
      </c>
      <c r="G1164" t="b">
        <v>1</v>
      </c>
      <c r="H1164" t="b">
        <v>0</v>
      </c>
      <c r="I1164" t="b">
        <v>0</v>
      </c>
      <c r="J1164" t="s">
        <v>334</v>
      </c>
      <c r="L1164">
        <v>10</v>
      </c>
      <c r="M1164">
        <v>0</v>
      </c>
      <c r="N1164" t="b">
        <v>0</v>
      </c>
      <c r="O1164" t="s">
        <v>75</v>
      </c>
    </row>
    <row r="1165" spans="4:15" x14ac:dyDescent="0.25">
      <c r="D1165" t="s">
        <v>76</v>
      </c>
      <c r="E1165">
        <v>16</v>
      </c>
      <c r="G1165" t="b">
        <v>1</v>
      </c>
      <c r="H1165" t="b">
        <v>0</v>
      </c>
      <c r="I1165" t="b">
        <v>0</v>
      </c>
      <c r="J1165" t="s">
        <v>335</v>
      </c>
      <c r="K1165">
        <v>15</v>
      </c>
      <c r="N1165" t="b">
        <v>0</v>
      </c>
      <c r="O1165" t="s">
        <v>76</v>
      </c>
    </row>
    <row r="1166" spans="4:15" x14ac:dyDescent="0.25">
      <c r="D1166" t="s">
        <v>117</v>
      </c>
      <c r="E1166">
        <v>17</v>
      </c>
      <c r="G1166" t="b">
        <v>1</v>
      </c>
      <c r="H1166" t="b">
        <v>0</v>
      </c>
      <c r="I1166" t="b">
        <v>0</v>
      </c>
      <c r="J1166" t="s">
        <v>335</v>
      </c>
      <c r="K1166">
        <v>1</v>
      </c>
      <c r="N1166" t="b">
        <v>0</v>
      </c>
      <c r="O1166" t="s">
        <v>117</v>
      </c>
    </row>
    <row r="1167" spans="4:15" x14ac:dyDescent="0.25">
      <c r="D1167" t="s">
        <v>116</v>
      </c>
      <c r="E1167">
        <v>18</v>
      </c>
      <c r="G1167" t="b">
        <v>1</v>
      </c>
      <c r="H1167" t="b">
        <v>0</v>
      </c>
      <c r="I1167" t="b">
        <v>0</v>
      </c>
      <c r="J1167" t="s">
        <v>335</v>
      </c>
      <c r="K1167">
        <v>1</v>
      </c>
      <c r="N1167" t="b">
        <v>0</v>
      </c>
      <c r="O1167" t="s">
        <v>116</v>
      </c>
    </row>
    <row r="1168" spans="4:15" x14ac:dyDescent="0.25">
      <c r="D1168" t="s">
        <v>115</v>
      </c>
      <c r="E1168">
        <v>19</v>
      </c>
      <c r="G1168" t="b">
        <v>1</v>
      </c>
      <c r="H1168" t="b">
        <v>0</v>
      </c>
      <c r="I1168" t="b">
        <v>0</v>
      </c>
      <c r="J1168" t="s">
        <v>335</v>
      </c>
      <c r="K1168">
        <v>1</v>
      </c>
      <c r="N1168" t="b">
        <v>0</v>
      </c>
      <c r="O1168" t="s">
        <v>115</v>
      </c>
    </row>
    <row r="1169" spans="1:15" x14ac:dyDescent="0.25">
      <c r="D1169" t="s">
        <v>114</v>
      </c>
      <c r="E1169">
        <v>20</v>
      </c>
      <c r="G1169" t="b">
        <v>1</v>
      </c>
      <c r="H1169" t="b">
        <v>0</v>
      </c>
      <c r="I1169" t="b">
        <v>0</v>
      </c>
      <c r="J1169" t="s">
        <v>335</v>
      </c>
      <c r="K1169">
        <v>1</v>
      </c>
      <c r="N1169" t="b">
        <v>0</v>
      </c>
      <c r="O1169" t="s">
        <v>114</v>
      </c>
    </row>
    <row r="1170" spans="1:15" x14ac:dyDescent="0.25">
      <c r="D1170" t="s">
        <v>113</v>
      </c>
      <c r="E1170">
        <v>21</v>
      </c>
      <c r="G1170" t="b">
        <v>1</v>
      </c>
      <c r="H1170" t="b">
        <v>0</v>
      </c>
      <c r="I1170" t="b">
        <v>0</v>
      </c>
      <c r="J1170" t="s">
        <v>335</v>
      </c>
      <c r="K1170">
        <v>1</v>
      </c>
      <c r="N1170" t="b">
        <v>0</v>
      </c>
      <c r="O1170" t="s">
        <v>113</v>
      </c>
    </row>
    <row r="1171" spans="1:15" x14ac:dyDescent="0.25">
      <c r="D1171" t="s">
        <v>112</v>
      </c>
      <c r="E1171">
        <v>22</v>
      </c>
      <c r="G1171" t="b">
        <v>1</v>
      </c>
      <c r="H1171" t="b">
        <v>0</v>
      </c>
      <c r="I1171" t="b">
        <v>0</v>
      </c>
      <c r="J1171" t="s">
        <v>335</v>
      </c>
      <c r="K1171">
        <v>1</v>
      </c>
      <c r="N1171" t="b">
        <v>0</v>
      </c>
      <c r="O1171" t="s">
        <v>112</v>
      </c>
    </row>
    <row r="1172" spans="1:15" x14ac:dyDescent="0.25">
      <c r="D1172" t="s">
        <v>111</v>
      </c>
      <c r="E1172">
        <v>23</v>
      </c>
      <c r="G1172" t="b">
        <v>1</v>
      </c>
      <c r="H1172" t="b">
        <v>0</v>
      </c>
      <c r="I1172" t="b">
        <v>0</v>
      </c>
      <c r="J1172" t="s">
        <v>335</v>
      </c>
      <c r="K1172">
        <v>1</v>
      </c>
      <c r="N1172" t="b">
        <v>0</v>
      </c>
      <c r="O1172" t="s">
        <v>111</v>
      </c>
    </row>
    <row r="1173" spans="1:15" x14ac:dyDescent="0.25">
      <c r="D1173" t="s">
        <v>101</v>
      </c>
      <c r="E1173">
        <v>24</v>
      </c>
      <c r="G1173" t="b">
        <v>1</v>
      </c>
      <c r="H1173" t="b">
        <v>0</v>
      </c>
      <c r="I1173" t="b">
        <v>0</v>
      </c>
      <c r="J1173" t="s">
        <v>333</v>
      </c>
      <c r="N1173" t="b">
        <v>0</v>
      </c>
      <c r="O1173" t="s">
        <v>101</v>
      </c>
    </row>
    <row r="1174" spans="1:15" x14ac:dyDescent="0.25">
      <c r="D1174" t="s">
        <v>96</v>
      </c>
      <c r="E1174">
        <v>25</v>
      </c>
      <c r="G1174" t="b">
        <v>1</v>
      </c>
      <c r="H1174" t="b">
        <v>0</v>
      </c>
      <c r="I1174" t="b">
        <v>0</v>
      </c>
      <c r="J1174" t="s">
        <v>335</v>
      </c>
      <c r="K1174">
        <v>255</v>
      </c>
      <c r="N1174" t="b">
        <v>0</v>
      </c>
      <c r="O1174" t="s">
        <v>96</v>
      </c>
    </row>
    <row r="1175" spans="1:15" x14ac:dyDescent="0.25">
      <c r="A1175" t="s">
        <v>696</v>
      </c>
    </row>
    <row r="1176" spans="1:15" x14ac:dyDescent="0.25">
      <c r="A1176" t="s">
        <v>697</v>
      </c>
    </row>
    <row r="1177" spans="1:15" x14ac:dyDescent="0.25">
      <c r="A1177" s="412" t="s">
        <v>341</v>
      </c>
      <c r="B1177" t="s">
        <v>464</v>
      </c>
      <c r="C1177" s="412" t="s">
        <v>353</v>
      </c>
    </row>
    <row r="1178" spans="1:15" x14ac:dyDescent="0.25">
      <c r="A1178" s="412" t="s">
        <v>341</v>
      </c>
      <c r="B1178" t="s">
        <v>465</v>
      </c>
      <c r="C1178" t="b">
        <v>0</v>
      </c>
    </row>
    <row r="1179" spans="1:15" x14ac:dyDescent="0.25">
      <c r="A1179" s="412" t="s">
        <v>341</v>
      </c>
      <c r="B1179" t="s">
        <v>466</v>
      </c>
      <c r="C1179" s="412" t="s">
        <v>467</v>
      </c>
    </row>
    <row r="1180" spans="1:15" x14ac:dyDescent="0.25">
      <c r="A1180" s="412" t="s">
        <v>341</v>
      </c>
      <c r="B1180" t="s">
        <v>468</v>
      </c>
      <c r="C1180" t="b">
        <v>0</v>
      </c>
    </row>
    <row r="1181" spans="1:15" x14ac:dyDescent="0.25">
      <c r="A1181" s="412" t="s">
        <v>341</v>
      </c>
      <c r="B1181" t="s">
        <v>469</v>
      </c>
      <c r="C1181" t="b">
        <v>0</v>
      </c>
    </row>
    <row r="1182" spans="1:15" x14ac:dyDescent="0.25">
      <c r="A1182" s="412" t="s">
        <v>341</v>
      </c>
      <c r="B1182" t="s">
        <v>470</v>
      </c>
      <c r="C1182" t="b">
        <v>0</v>
      </c>
    </row>
    <row r="1183" spans="1:15" x14ac:dyDescent="0.25">
      <c r="A1183" s="412" t="s">
        <v>341</v>
      </c>
      <c r="B1183" t="s">
        <v>471</v>
      </c>
      <c r="C1183" t="b">
        <v>1</v>
      </c>
    </row>
    <row r="1184" spans="1:15" x14ac:dyDescent="0.25">
      <c r="A1184" s="412" t="s">
        <v>472</v>
      </c>
      <c r="B1184" t="s">
        <v>473</v>
      </c>
      <c r="C1184" t="b">
        <v>0</v>
      </c>
    </row>
    <row r="1185" spans="1:3" x14ac:dyDescent="0.25">
      <c r="A1185" s="412" t="s">
        <v>472</v>
      </c>
      <c r="B1185" t="s">
        <v>474</v>
      </c>
      <c r="C1185" s="412" t="s">
        <v>475</v>
      </c>
    </row>
    <row r="1186" spans="1:3" x14ac:dyDescent="0.25">
      <c r="A1186" s="412" t="s">
        <v>472</v>
      </c>
      <c r="B1186" t="s">
        <v>476</v>
      </c>
      <c r="C1186">
        <v>12.57</v>
      </c>
    </row>
    <row r="1187" spans="1:3" x14ac:dyDescent="0.25">
      <c r="A1187" s="412" t="s">
        <v>472</v>
      </c>
      <c r="B1187" t="s">
        <v>477</v>
      </c>
      <c r="C1187" s="412" t="s">
        <v>478</v>
      </c>
    </row>
    <row r="1188" spans="1:3" x14ac:dyDescent="0.25">
      <c r="A1188" s="412" t="s">
        <v>83</v>
      </c>
      <c r="B1188" t="s">
        <v>473</v>
      </c>
      <c r="C1188" t="b">
        <v>0</v>
      </c>
    </row>
    <row r="1189" spans="1:3" x14ac:dyDescent="0.25">
      <c r="A1189" s="412" t="s">
        <v>83</v>
      </c>
      <c r="B1189" t="s">
        <v>474</v>
      </c>
      <c r="C1189" s="412" t="s">
        <v>479</v>
      </c>
    </row>
    <row r="1190" spans="1:3" x14ac:dyDescent="0.25">
      <c r="A1190" s="412" t="s">
        <v>83</v>
      </c>
      <c r="B1190" t="s">
        <v>476</v>
      </c>
      <c r="C1190">
        <v>15.57</v>
      </c>
    </row>
    <row r="1191" spans="1:3" x14ac:dyDescent="0.25">
      <c r="A1191" s="412" t="s">
        <v>83</v>
      </c>
      <c r="B1191" t="s">
        <v>477</v>
      </c>
      <c r="C1191" s="412" t="s">
        <v>480</v>
      </c>
    </row>
    <row r="1192" spans="1:3" x14ac:dyDescent="0.25">
      <c r="A1192" s="412" t="s">
        <v>123</v>
      </c>
      <c r="B1192" t="s">
        <v>473</v>
      </c>
      <c r="C1192" t="b">
        <v>0</v>
      </c>
    </row>
    <row r="1193" spans="1:3" x14ac:dyDescent="0.25">
      <c r="A1193" s="412" t="s">
        <v>123</v>
      </c>
      <c r="B1193" t="s">
        <v>474</v>
      </c>
      <c r="C1193" s="412" t="s">
        <v>490</v>
      </c>
    </row>
    <row r="1194" spans="1:3" x14ac:dyDescent="0.25">
      <c r="A1194" s="412" t="s">
        <v>123</v>
      </c>
      <c r="B1194" t="s">
        <v>476</v>
      </c>
      <c r="C1194">
        <v>12.57</v>
      </c>
    </row>
    <row r="1195" spans="1:3" x14ac:dyDescent="0.25">
      <c r="A1195" s="412" t="s">
        <v>123</v>
      </c>
      <c r="B1195" t="s">
        <v>477</v>
      </c>
      <c r="C1195" s="412" t="s">
        <v>480</v>
      </c>
    </row>
    <row r="1196" spans="1:3" x14ac:dyDescent="0.25">
      <c r="A1196" s="412" t="s">
        <v>122</v>
      </c>
      <c r="B1196" t="s">
        <v>473</v>
      </c>
      <c r="C1196" t="b">
        <v>0</v>
      </c>
    </row>
    <row r="1197" spans="1:3" x14ac:dyDescent="0.25">
      <c r="A1197" s="412" t="s">
        <v>122</v>
      </c>
      <c r="B1197" t="s">
        <v>474</v>
      </c>
      <c r="C1197" s="412" t="s">
        <v>494</v>
      </c>
    </row>
    <row r="1198" spans="1:3" x14ac:dyDescent="0.25">
      <c r="A1198" s="412" t="s">
        <v>122</v>
      </c>
      <c r="B1198" t="s">
        <v>476</v>
      </c>
      <c r="C1198">
        <v>17.29</v>
      </c>
    </row>
    <row r="1199" spans="1:3" x14ac:dyDescent="0.25">
      <c r="A1199" s="412" t="s">
        <v>122</v>
      </c>
      <c r="B1199" t="s">
        <v>477</v>
      </c>
      <c r="C1199" s="412" t="s">
        <v>478</v>
      </c>
    </row>
    <row r="1200" spans="1:3" x14ac:dyDescent="0.25">
      <c r="A1200" s="412" t="s">
        <v>82</v>
      </c>
      <c r="B1200" t="s">
        <v>473</v>
      </c>
      <c r="C1200" t="b">
        <v>0</v>
      </c>
    </row>
    <row r="1201" spans="1:3" x14ac:dyDescent="0.25">
      <c r="A1201" s="412" t="s">
        <v>82</v>
      </c>
      <c r="B1201" t="s">
        <v>474</v>
      </c>
      <c r="C1201" s="412" t="s">
        <v>496</v>
      </c>
    </row>
    <row r="1202" spans="1:3" x14ac:dyDescent="0.25">
      <c r="A1202" s="412" t="s">
        <v>82</v>
      </c>
      <c r="B1202" t="s">
        <v>476</v>
      </c>
      <c r="C1202">
        <v>15.57</v>
      </c>
    </row>
    <row r="1203" spans="1:3" x14ac:dyDescent="0.25">
      <c r="A1203" s="412" t="s">
        <v>82</v>
      </c>
      <c r="B1203" t="s">
        <v>477</v>
      </c>
      <c r="C1203" s="412" t="s">
        <v>478</v>
      </c>
    </row>
    <row r="1204" spans="1:3" x14ac:dyDescent="0.25">
      <c r="A1204" s="412" t="s">
        <v>71</v>
      </c>
      <c r="B1204" t="s">
        <v>473</v>
      </c>
      <c r="C1204" t="b">
        <v>0</v>
      </c>
    </row>
    <row r="1205" spans="1:3" x14ac:dyDescent="0.25">
      <c r="A1205" s="412" t="s">
        <v>71</v>
      </c>
      <c r="B1205" t="s">
        <v>474</v>
      </c>
      <c r="C1205" s="412" t="s">
        <v>497</v>
      </c>
    </row>
    <row r="1206" spans="1:3" x14ac:dyDescent="0.25">
      <c r="A1206" s="412" t="s">
        <v>71</v>
      </c>
      <c r="B1206" t="s">
        <v>476</v>
      </c>
      <c r="C1206">
        <v>10.71</v>
      </c>
    </row>
    <row r="1207" spans="1:3" x14ac:dyDescent="0.25">
      <c r="A1207" s="412" t="s">
        <v>71</v>
      </c>
      <c r="B1207" t="s">
        <v>477</v>
      </c>
      <c r="C1207" s="412" t="s">
        <v>478</v>
      </c>
    </row>
    <row r="1208" spans="1:3" x14ac:dyDescent="0.25">
      <c r="A1208" s="412" t="s">
        <v>70</v>
      </c>
      <c r="B1208" t="s">
        <v>473</v>
      </c>
      <c r="C1208" t="b">
        <v>0</v>
      </c>
    </row>
    <row r="1209" spans="1:3" x14ac:dyDescent="0.25">
      <c r="A1209" s="412" t="s">
        <v>70</v>
      </c>
      <c r="B1209" t="s">
        <v>474</v>
      </c>
      <c r="C1209" s="412" t="s">
        <v>498</v>
      </c>
    </row>
    <row r="1210" spans="1:3" x14ac:dyDescent="0.25">
      <c r="A1210" s="412" t="s">
        <v>70</v>
      </c>
      <c r="B1210" t="s">
        <v>476</v>
      </c>
      <c r="C1210">
        <v>10.14</v>
      </c>
    </row>
    <row r="1211" spans="1:3" x14ac:dyDescent="0.25">
      <c r="A1211" s="412" t="s">
        <v>70</v>
      </c>
      <c r="B1211" t="s">
        <v>477</v>
      </c>
      <c r="C1211" s="412" t="s">
        <v>478</v>
      </c>
    </row>
    <row r="1212" spans="1:3" x14ac:dyDescent="0.25">
      <c r="A1212" s="412" t="s">
        <v>68</v>
      </c>
      <c r="B1212" t="s">
        <v>473</v>
      </c>
      <c r="C1212" t="b">
        <v>0</v>
      </c>
    </row>
    <row r="1213" spans="1:3" x14ac:dyDescent="0.25">
      <c r="A1213" s="412" t="s">
        <v>68</v>
      </c>
      <c r="B1213" t="s">
        <v>474</v>
      </c>
      <c r="C1213" s="412" t="s">
        <v>499</v>
      </c>
    </row>
    <row r="1214" spans="1:3" x14ac:dyDescent="0.25">
      <c r="A1214" s="412" t="s">
        <v>68</v>
      </c>
      <c r="B1214" t="s">
        <v>476</v>
      </c>
      <c r="C1214">
        <v>11.71</v>
      </c>
    </row>
    <row r="1215" spans="1:3" x14ac:dyDescent="0.25">
      <c r="A1215" s="412" t="s">
        <v>68</v>
      </c>
      <c r="B1215" t="s">
        <v>477</v>
      </c>
      <c r="C1215" s="412" t="s">
        <v>478</v>
      </c>
    </row>
    <row r="1216" spans="1:3" x14ac:dyDescent="0.25">
      <c r="A1216" s="412" t="s">
        <v>67</v>
      </c>
      <c r="B1216" t="s">
        <v>473</v>
      </c>
      <c r="C1216" t="b">
        <v>0</v>
      </c>
    </row>
    <row r="1217" spans="1:3" x14ac:dyDescent="0.25">
      <c r="A1217" s="412" t="s">
        <v>67</v>
      </c>
      <c r="B1217" t="s">
        <v>474</v>
      </c>
      <c r="C1217" s="412" t="s">
        <v>500</v>
      </c>
    </row>
    <row r="1218" spans="1:3" x14ac:dyDescent="0.25">
      <c r="A1218" s="412" t="s">
        <v>67</v>
      </c>
      <c r="B1218" t="s">
        <v>476</v>
      </c>
      <c r="C1218">
        <v>11</v>
      </c>
    </row>
    <row r="1219" spans="1:3" x14ac:dyDescent="0.25">
      <c r="A1219" s="412" t="s">
        <v>67</v>
      </c>
      <c r="B1219" t="s">
        <v>477</v>
      </c>
      <c r="C1219" s="412" t="s">
        <v>478</v>
      </c>
    </row>
    <row r="1220" spans="1:3" x14ac:dyDescent="0.25">
      <c r="A1220" s="412" t="s">
        <v>36</v>
      </c>
      <c r="B1220" t="s">
        <v>473</v>
      </c>
      <c r="C1220" t="b">
        <v>0</v>
      </c>
    </row>
    <row r="1221" spans="1:3" x14ac:dyDescent="0.25">
      <c r="A1221" s="412" t="s">
        <v>36</v>
      </c>
      <c r="B1221" t="s">
        <v>474</v>
      </c>
      <c r="C1221" s="412" t="s">
        <v>501</v>
      </c>
    </row>
    <row r="1222" spans="1:3" x14ac:dyDescent="0.25">
      <c r="A1222" s="412" t="s">
        <v>36</v>
      </c>
      <c r="B1222" t="s">
        <v>476</v>
      </c>
      <c r="C1222">
        <v>6.43</v>
      </c>
    </row>
    <row r="1223" spans="1:3" x14ac:dyDescent="0.25">
      <c r="A1223" s="412" t="s">
        <v>36</v>
      </c>
      <c r="B1223" t="s">
        <v>477</v>
      </c>
      <c r="C1223" s="412" t="s">
        <v>480</v>
      </c>
    </row>
    <row r="1224" spans="1:3" x14ac:dyDescent="0.25">
      <c r="A1224" s="412" t="s">
        <v>121</v>
      </c>
      <c r="B1224" t="s">
        <v>473</v>
      </c>
      <c r="C1224" t="b">
        <v>0</v>
      </c>
    </row>
    <row r="1225" spans="1:3" x14ac:dyDescent="0.25">
      <c r="A1225" s="412" t="s">
        <v>121</v>
      </c>
      <c r="B1225" t="s">
        <v>474</v>
      </c>
      <c r="C1225" s="412" t="s">
        <v>502</v>
      </c>
    </row>
    <row r="1226" spans="1:3" x14ac:dyDescent="0.25">
      <c r="A1226" s="412" t="s">
        <v>121</v>
      </c>
      <c r="B1226" t="s">
        <v>476</v>
      </c>
      <c r="C1226">
        <v>9.2899999999999991</v>
      </c>
    </row>
    <row r="1227" spans="1:3" x14ac:dyDescent="0.25">
      <c r="A1227" s="412" t="s">
        <v>121</v>
      </c>
      <c r="B1227" t="s">
        <v>477</v>
      </c>
      <c r="C1227" s="412" t="s">
        <v>478</v>
      </c>
    </row>
    <row r="1228" spans="1:3" x14ac:dyDescent="0.25">
      <c r="A1228" s="412" t="s">
        <v>120</v>
      </c>
      <c r="B1228" t="s">
        <v>473</v>
      </c>
      <c r="C1228" t="b">
        <v>0</v>
      </c>
    </row>
    <row r="1229" spans="1:3" x14ac:dyDescent="0.25">
      <c r="A1229" s="412" t="s">
        <v>120</v>
      </c>
      <c r="B1229" t="s">
        <v>474</v>
      </c>
      <c r="C1229" s="412" t="s">
        <v>503</v>
      </c>
    </row>
    <row r="1230" spans="1:3" x14ac:dyDescent="0.25">
      <c r="A1230" s="412" t="s">
        <v>120</v>
      </c>
      <c r="B1230" t="s">
        <v>476</v>
      </c>
      <c r="C1230">
        <v>11.86</v>
      </c>
    </row>
    <row r="1231" spans="1:3" x14ac:dyDescent="0.25">
      <c r="A1231" s="412" t="s">
        <v>120</v>
      </c>
      <c r="B1231" t="s">
        <v>477</v>
      </c>
      <c r="C1231" s="412" t="s">
        <v>478</v>
      </c>
    </row>
    <row r="1232" spans="1:3" x14ac:dyDescent="0.25">
      <c r="A1232" s="412" t="s">
        <v>78</v>
      </c>
      <c r="B1232" t="s">
        <v>473</v>
      </c>
      <c r="C1232" t="b">
        <v>0</v>
      </c>
    </row>
    <row r="1233" spans="1:3" x14ac:dyDescent="0.25">
      <c r="A1233" s="412" t="s">
        <v>78</v>
      </c>
      <c r="B1233" t="s">
        <v>474</v>
      </c>
      <c r="C1233" s="412" t="s">
        <v>504</v>
      </c>
    </row>
    <row r="1234" spans="1:3" x14ac:dyDescent="0.25">
      <c r="A1234" s="412" t="s">
        <v>78</v>
      </c>
      <c r="B1234" t="s">
        <v>476</v>
      </c>
      <c r="C1234">
        <v>21.86</v>
      </c>
    </row>
    <row r="1235" spans="1:3" x14ac:dyDescent="0.25">
      <c r="A1235" s="412" t="s">
        <v>78</v>
      </c>
      <c r="B1235" t="s">
        <v>477</v>
      </c>
      <c r="C1235" s="412" t="s">
        <v>478</v>
      </c>
    </row>
    <row r="1236" spans="1:3" x14ac:dyDescent="0.25">
      <c r="A1236" s="412" t="s">
        <v>119</v>
      </c>
      <c r="B1236" t="s">
        <v>473</v>
      </c>
      <c r="C1236" t="b">
        <v>0</v>
      </c>
    </row>
    <row r="1237" spans="1:3" x14ac:dyDescent="0.25">
      <c r="A1237" s="412" t="s">
        <v>119</v>
      </c>
      <c r="B1237" t="s">
        <v>474</v>
      </c>
      <c r="C1237" s="412" t="s">
        <v>505</v>
      </c>
    </row>
    <row r="1238" spans="1:3" x14ac:dyDescent="0.25">
      <c r="A1238" s="412" t="s">
        <v>119</v>
      </c>
      <c r="B1238" t="s">
        <v>476</v>
      </c>
      <c r="C1238">
        <v>6.29</v>
      </c>
    </row>
    <row r="1239" spans="1:3" x14ac:dyDescent="0.25">
      <c r="A1239" s="412" t="s">
        <v>119</v>
      </c>
      <c r="B1239" t="s">
        <v>477</v>
      </c>
      <c r="C1239" s="412" t="s">
        <v>478</v>
      </c>
    </row>
    <row r="1240" spans="1:3" x14ac:dyDescent="0.25">
      <c r="A1240" s="412" t="s">
        <v>118</v>
      </c>
      <c r="B1240" t="s">
        <v>473</v>
      </c>
      <c r="C1240" t="b">
        <v>0</v>
      </c>
    </row>
    <row r="1241" spans="1:3" x14ac:dyDescent="0.25">
      <c r="A1241" s="412" t="s">
        <v>118</v>
      </c>
      <c r="B1241" t="s">
        <v>474</v>
      </c>
      <c r="C1241" s="412" t="s">
        <v>506</v>
      </c>
    </row>
    <row r="1242" spans="1:3" x14ac:dyDescent="0.25">
      <c r="A1242" s="412" t="s">
        <v>118</v>
      </c>
      <c r="B1242" t="s">
        <v>476</v>
      </c>
      <c r="C1242">
        <v>11.14</v>
      </c>
    </row>
    <row r="1243" spans="1:3" x14ac:dyDescent="0.25">
      <c r="A1243" s="412" t="s">
        <v>118</v>
      </c>
      <c r="B1243" t="s">
        <v>477</v>
      </c>
      <c r="C1243" s="412" t="s">
        <v>478</v>
      </c>
    </row>
    <row r="1244" spans="1:3" x14ac:dyDescent="0.25">
      <c r="A1244" s="412" t="s">
        <v>75</v>
      </c>
      <c r="B1244" t="s">
        <v>473</v>
      </c>
      <c r="C1244" t="b">
        <v>0</v>
      </c>
    </row>
    <row r="1245" spans="1:3" x14ac:dyDescent="0.25">
      <c r="A1245" s="412" t="s">
        <v>75</v>
      </c>
      <c r="B1245" t="s">
        <v>474</v>
      </c>
      <c r="C1245" s="412" t="s">
        <v>507</v>
      </c>
    </row>
    <row r="1246" spans="1:3" x14ac:dyDescent="0.25">
      <c r="A1246" s="412" t="s">
        <v>75</v>
      </c>
      <c r="B1246" t="s">
        <v>476</v>
      </c>
      <c r="C1246">
        <v>7.57</v>
      </c>
    </row>
    <row r="1247" spans="1:3" x14ac:dyDescent="0.25">
      <c r="A1247" s="412" t="s">
        <v>75</v>
      </c>
      <c r="B1247" t="s">
        <v>477</v>
      </c>
      <c r="C1247" s="412" t="s">
        <v>478</v>
      </c>
    </row>
    <row r="1248" spans="1:3" x14ac:dyDescent="0.25">
      <c r="A1248" s="412" t="s">
        <v>76</v>
      </c>
      <c r="B1248" t="s">
        <v>473</v>
      </c>
      <c r="C1248" t="b">
        <v>0</v>
      </c>
    </row>
    <row r="1249" spans="1:3" x14ac:dyDescent="0.25">
      <c r="A1249" s="412" t="s">
        <v>76</v>
      </c>
      <c r="B1249" t="s">
        <v>474</v>
      </c>
      <c r="C1249" s="412" t="s">
        <v>508</v>
      </c>
    </row>
    <row r="1250" spans="1:3" x14ac:dyDescent="0.25">
      <c r="A1250" s="412" t="s">
        <v>76</v>
      </c>
      <c r="B1250" t="s">
        <v>476</v>
      </c>
      <c r="C1250">
        <v>6.71</v>
      </c>
    </row>
    <row r="1251" spans="1:3" x14ac:dyDescent="0.25">
      <c r="A1251" s="412" t="s">
        <v>76</v>
      </c>
      <c r="B1251" t="s">
        <v>477</v>
      </c>
      <c r="C1251" s="412" t="s">
        <v>478</v>
      </c>
    </row>
    <row r="1252" spans="1:3" x14ac:dyDescent="0.25">
      <c r="A1252" s="412" t="s">
        <v>117</v>
      </c>
      <c r="B1252" t="s">
        <v>473</v>
      </c>
      <c r="C1252" t="b">
        <v>0</v>
      </c>
    </row>
    <row r="1253" spans="1:3" x14ac:dyDescent="0.25">
      <c r="A1253" s="412" t="s">
        <v>117</v>
      </c>
      <c r="B1253" t="s">
        <v>474</v>
      </c>
      <c r="C1253" s="412" t="s">
        <v>509</v>
      </c>
    </row>
    <row r="1254" spans="1:3" x14ac:dyDescent="0.25">
      <c r="A1254" s="412" t="s">
        <v>117</v>
      </c>
      <c r="B1254" t="s">
        <v>476</v>
      </c>
      <c r="C1254">
        <v>13.43</v>
      </c>
    </row>
    <row r="1255" spans="1:3" x14ac:dyDescent="0.25">
      <c r="A1255" s="412" t="s">
        <v>117</v>
      </c>
      <c r="B1255" t="s">
        <v>477</v>
      </c>
      <c r="C1255" s="412" t="s">
        <v>478</v>
      </c>
    </row>
    <row r="1256" spans="1:3" x14ac:dyDescent="0.25">
      <c r="A1256" s="412" t="s">
        <v>116</v>
      </c>
      <c r="B1256" t="s">
        <v>473</v>
      </c>
      <c r="C1256" t="b">
        <v>0</v>
      </c>
    </row>
    <row r="1257" spans="1:3" x14ac:dyDescent="0.25">
      <c r="A1257" s="412" t="s">
        <v>116</v>
      </c>
      <c r="B1257" t="s">
        <v>474</v>
      </c>
      <c r="C1257" s="412" t="s">
        <v>510</v>
      </c>
    </row>
    <row r="1258" spans="1:3" x14ac:dyDescent="0.25">
      <c r="A1258" s="412" t="s">
        <v>116</v>
      </c>
      <c r="B1258" t="s">
        <v>476</v>
      </c>
      <c r="C1258">
        <v>10.86</v>
      </c>
    </row>
    <row r="1259" spans="1:3" x14ac:dyDescent="0.25">
      <c r="A1259" s="412" t="s">
        <v>116</v>
      </c>
      <c r="B1259" t="s">
        <v>477</v>
      </c>
      <c r="C1259" s="412" t="s">
        <v>478</v>
      </c>
    </row>
    <row r="1260" spans="1:3" x14ac:dyDescent="0.25">
      <c r="A1260" s="412" t="s">
        <v>115</v>
      </c>
      <c r="B1260" t="s">
        <v>473</v>
      </c>
      <c r="C1260" t="b">
        <v>0</v>
      </c>
    </row>
    <row r="1261" spans="1:3" x14ac:dyDescent="0.25">
      <c r="A1261" s="412" t="s">
        <v>115</v>
      </c>
      <c r="B1261" t="s">
        <v>474</v>
      </c>
      <c r="C1261" s="412" t="s">
        <v>511</v>
      </c>
    </row>
    <row r="1262" spans="1:3" x14ac:dyDescent="0.25">
      <c r="A1262" s="412" t="s">
        <v>115</v>
      </c>
      <c r="B1262" t="s">
        <v>476</v>
      </c>
      <c r="C1262">
        <v>12.71</v>
      </c>
    </row>
    <row r="1263" spans="1:3" x14ac:dyDescent="0.25">
      <c r="A1263" s="412" t="s">
        <v>115</v>
      </c>
      <c r="B1263" t="s">
        <v>477</v>
      </c>
      <c r="C1263" s="412" t="s">
        <v>478</v>
      </c>
    </row>
    <row r="1264" spans="1:3" x14ac:dyDescent="0.25">
      <c r="A1264" s="412" t="s">
        <v>114</v>
      </c>
      <c r="B1264" t="s">
        <v>473</v>
      </c>
      <c r="C1264" t="b">
        <v>0</v>
      </c>
    </row>
    <row r="1265" spans="1:3" x14ac:dyDescent="0.25">
      <c r="A1265" s="412" t="s">
        <v>114</v>
      </c>
      <c r="B1265" t="s">
        <v>474</v>
      </c>
      <c r="C1265" s="412" t="s">
        <v>512</v>
      </c>
    </row>
    <row r="1266" spans="1:3" x14ac:dyDescent="0.25">
      <c r="A1266" s="412" t="s">
        <v>114</v>
      </c>
      <c r="B1266" t="s">
        <v>476</v>
      </c>
      <c r="C1266">
        <v>7.86</v>
      </c>
    </row>
    <row r="1267" spans="1:3" x14ac:dyDescent="0.25">
      <c r="A1267" s="412" t="s">
        <v>114</v>
      </c>
      <c r="B1267" t="s">
        <v>477</v>
      </c>
      <c r="C1267" s="412" t="s">
        <v>478</v>
      </c>
    </row>
    <row r="1268" spans="1:3" x14ac:dyDescent="0.25">
      <c r="A1268" s="412" t="s">
        <v>113</v>
      </c>
      <c r="B1268" t="s">
        <v>473</v>
      </c>
      <c r="C1268" t="b">
        <v>0</v>
      </c>
    </row>
    <row r="1269" spans="1:3" x14ac:dyDescent="0.25">
      <c r="A1269" s="412" t="s">
        <v>113</v>
      </c>
      <c r="B1269" t="s">
        <v>474</v>
      </c>
      <c r="C1269" s="412" t="s">
        <v>513</v>
      </c>
    </row>
    <row r="1270" spans="1:3" x14ac:dyDescent="0.25">
      <c r="A1270" s="412" t="s">
        <v>113</v>
      </c>
      <c r="B1270" t="s">
        <v>476</v>
      </c>
      <c r="C1270">
        <v>13.29</v>
      </c>
    </row>
    <row r="1271" spans="1:3" x14ac:dyDescent="0.25">
      <c r="A1271" s="412" t="s">
        <v>113</v>
      </c>
      <c r="B1271" t="s">
        <v>477</v>
      </c>
      <c r="C1271" s="412" t="s">
        <v>478</v>
      </c>
    </row>
    <row r="1272" spans="1:3" x14ac:dyDescent="0.25">
      <c r="A1272" s="412" t="s">
        <v>112</v>
      </c>
      <c r="B1272" t="s">
        <v>473</v>
      </c>
      <c r="C1272" t="b">
        <v>0</v>
      </c>
    </row>
    <row r="1273" spans="1:3" x14ac:dyDescent="0.25">
      <c r="A1273" s="412" t="s">
        <v>112</v>
      </c>
      <c r="B1273" t="s">
        <v>474</v>
      </c>
      <c r="C1273" s="412" t="s">
        <v>514</v>
      </c>
    </row>
    <row r="1274" spans="1:3" x14ac:dyDescent="0.25">
      <c r="A1274" s="412" t="s">
        <v>112</v>
      </c>
      <c r="B1274" t="s">
        <v>476</v>
      </c>
      <c r="C1274">
        <v>17.71</v>
      </c>
    </row>
    <row r="1275" spans="1:3" x14ac:dyDescent="0.25">
      <c r="A1275" s="412" t="s">
        <v>112</v>
      </c>
      <c r="B1275" t="s">
        <v>477</v>
      </c>
      <c r="C1275" s="412" t="s">
        <v>478</v>
      </c>
    </row>
    <row r="1276" spans="1:3" x14ac:dyDescent="0.25">
      <c r="A1276" s="412" t="s">
        <v>111</v>
      </c>
      <c r="B1276" t="s">
        <v>473</v>
      </c>
      <c r="C1276" t="b">
        <v>0</v>
      </c>
    </row>
    <row r="1277" spans="1:3" x14ac:dyDescent="0.25">
      <c r="A1277" s="412" t="s">
        <v>111</v>
      </c>
      <c r="B1277" t="s">
        <v>474</v>
      </c>
      <c r="C1277" s="412" t="s">
        <v>515</v>
      </c>
    </row>
    <row r="1278" spans="1:3" x14ac:dyDescent="0.25">
      <c r="A1278" s="412" t="s">
        <v>111</v>
      </c>
      <c r="B1278" t="s">
        <v>476</v>
      </c>
      <c r="C1278">
        <v>19.71</v>
      </c>
    </row>
    <row r="1279" spans="1:3" x14ac:dyDescent="0.25">
      <c r="A1279" s="412" t="s">
        <v>111</v>
      </c>
      <c r="B1279" t="s">
        <v>477</v>
      </c>
      <c r="C1279" s="412" t="s">
        <v>478</v>
      </c>
    </row>
    <row r="1280" spans="1:3" x14ac:dyDescent="0.25">
      <c r="A1280" s="412" t="s">
        <v>101</v>
      </c>
      <c r="B1280" t="s">
        <v>473</v>
      </c>
      <c r="C1280" t="b">
        <v>0</v>
      </c>
    </row>
    <row r="1281" spans="1:3" x14ac:dyDescent="0.25">
      <c r="A1281" s="412" t="s">
        <v>101</v>
      </c>
      <c r="B1281" t="s">
        <v>474</v>
      </c>
      <c r="C1281" s="412" t="s">
        <v>516</v>
      </c>
    </row>
    <row r="1282" spans="1:3" x14ac:dyDescent="0.25">
      <c r="A1282" s="412" t="s">
        <v>101</v>
      </c>
      <c r="B1282" t="s">
        <v>476</v>
      </c>
      <c r="C1282">
        <v>8</v>
      </c>
    </row>
    <row r="1283" spans="1:3" x14ac:dyDescent="0.25">
      <c r="A1283" s="412" t="s">
        <v>101</v>
      </c>
      <c r="B1283" t="s">
        <v>477</v>
      </c>
      <c r="C1283" s="412" t="s">
        <v>480</v>
      </c>
    </row>
    <row r="1284" spans="1:3" x14ac:dyDescent="0.25">
      <c r="A1284" s="412" t="s">
        <v>96</v>
      </c>
      <c r="B1284" t="s">
        <v>473</v>
      </c>
      <c r="C1284" t="b">
        <v>0</v>
      </c>
    </row>
    <row r="1285" spans="1:3" x14ac:dyDescent="0.25">
      <c r="A1285" s="412" t="s">
        <v>96</v>
      </c>
      <c r="B1285" t="s">
        <v>474</v>
      </c>
      <c r="C1285" s="412" t="s">
        <v>517</v>
      </c>
    </row>
    <row r="1286" spans="1:3" x14ac:dyDescent="0.25">
      <c r="A1286" s="412" t="s">
        <v>96</v>
      </c>
      <c r="B1286" t="s">
        <v>476</v>
      </c>
      <c r="C1286">
        <v>10.71</v>
      </c>
    </row>
    <row r="1287" spans="1:3" x14ac:dyDescent="0.25">
      <c r="A1287" s="412" t="s">
        <v>96</v>
      </c>
      <c r="B1287" t="s">
        <v>477</v>
      </c>
      <c r="C1287" s="412" t="s">
        <v>478</v>
      </c>
    </row>
    <row r="1288" spans="1:3" x14ac:dyDescent="0.25">
      <c r="A1288" s="412" t="s">
        <v>83</v>
      </c>
      <c r="B1288" t="s">
        <v>521</v>
      </c>
      <c r="C1288" s="412" t="s">
        <v>698</v>
      </c>
    </row>
    <row r="1289" spans="1:3" x14ac:dyDescent="0.25">
      <c r="A1289" s="412" t="s">
        <v>83</v>
      </c>
      <c r="B1289" t="s">
        <v>523</v>
      </c>
      <c r="C1289">
        <v>2</v>
      </c>
    </row>
    <row r="1290" spans="1:3" x14ac:dyDescent="0.25">
      <c r="A1290" s="412" t="s">
        <v>83</v>
      </c>
      <c r="B1290" t="s">
        <v>524</v>
      </c>
      <c r="C1290">
        <v>1</v>
      </c>
    </row>
    <row r="1291" spans="1:3" x14ac:dyDescent="0.25">
      <c r="A1291" s="412" t="s">
        <v>83</v>
      </c>
      <c r="B1291" t="s">
        <v>525</v>
      </c>
      <c r="C1291" s="412" t="s">
        <v>526</v>
      </c>
    </row>
    <row r="1292" spans="1:3" x14ac:dyDescent="0.25">
      <c r="A1292" s="412" t="s">
        <v>83</v>
      </c>
      <c r="B1292" t="s">
        <v>527</v>
      </c>
      <c r="C1292">
        <v>65535</v>
      </c>
    </row>
    <row r="1293" spans="1:3" x14ac:dyDescent="0.25">
      <c r="A1293" s="412" t="s">
        <v>82</v>
      </c>
      <c r="B1293" t="s">
        <v>521</v>
      </c>
      <c r="C1293" s="412" t="s">
        <v>699</v>
      </c>
    </row>
    <row r="1294" spans="1:3" x14ac:dyDescent="0.25">
      <c r="A1294" s="412" t="s">
        <v>82</v>
      </c>
      <c r="B1294" t="s">
        <v>523</v>
      </c>
      <c r="C1294">
        <v>2</v>
      </c>
    </row>
    <row r="1295" spans="1:3" x14ac:dyDescent="0.25">
      <c r="A1295" s="412" t="s">
        <v>82</v>
      </c>
      <c r="B1295" t="s">
        <v>524</v>
      </c>
      <c r="C1295">
        <v>2</v>
      </c>
    </row>
    <row r="1296" spans="1:3" x14ac:dyDescent="0.25">
      <c r="A1296" s="412" t="s">
        <v>82</v>
      </c>
      <c r="B1296" t="s">
        <v>525</v>
      </c>
      <c r="C1296" s="412" t="s">
        <v>676</v>
      </c>
    </row>
    <row r="1297" spans="1:3" x14ac:dyDescent="0.25">
      <c r="A1297" s="412" t="s">
        <v>82</v>
      </c>
      <c r="B1297" t="s">
        <v>527</v>
      </c>
      <c r="C1297">
        <v>65535</v>
      </c>
    </row>
    <row r="1298" spans="1:3" x14ac:dyDescent="0.25">
      <c r="A1298" s="412" t="s">
        <v>71</v>
      </c>
      <c r="B1298" t="s">
        <v>521</v>
      </c>
      <c r="C1298" s="412" t="s">
        <v>700</v>
      </c>
    </row>
    <row r="1299" spans="1:3" x14ac:dyDescent="0.25">
      <c r="A1299" s="412" t="s">
        <v>71</v>
      </c>
      <c r="B1299" t="s">
        <v>523</v>
      </c>
      <c r="C1299">
        <v>2</v>
      </c>
    </row>
    <row r="1300" spans="1:3" x14ac:dyDescent="0.25">
      <c r="A1300" s="412" t="s">
        <v>71</v>
      </c>
      <c r="B1300" t="s">
        <v>524</v>
      </c>
      <c r="C1300">
        <v>3</v>
      </c>
    </row>
    <row r="1301" spans="1:3" x14ac:dyDescent="0.25">
      <c r="A1301" s="412" t="s">
        <v>71</v>
      </c>
      <c r="B1301" t="s">
        <v>525</v>
      </c>
      <c r="C1301" s="412" t="s">
        <v>531</v>
      </c>
    </row>
    <row r="1302" spans="1:3" x14ac:dyDescent="0.25">
      <c r="A1302" s="412" t="s">
        <v>71</v>
      </c>
      <c r="B1302" t="s">
        <v>527</v>
      </c>
      <c r="C1302">
        <v>65535</v>
      </c>
    </row>
    <row r="1303" spans="1:3" x14ac:dyDescent="0.25">
      <c r="A1303" s="412" t="s">
        <v>70</v>
      </c>
      <c r="B1303" t="s">
        <v>521</v>
      </c>
      <c r="C1303" s="412" t="s">
        <v>701</v>
      </c>
    </row>
    <row r="1304" spans="1:3" x14ac:dyDescent="0.25">
      <c r="A1304" s="412" t="s">
        <v>70</v>
      </c>
      <c r="B1304" t="s">
        <v>523</v>
      </c>
      <c r="C1304">
        <v>2</v>
      </c>
    </row>
    <row r="1305" spans="1:3" x14ac:dyDescent="0.25">
      <c r="A1305" s="412" t="s">
        <v>70</v>
      </c>
      <c r="B1305" t="s">
        <v>524</v>
      </c>
      <c r="C1305">
        <v>4</v>
      </c>
    </row>
    <row r="1306" spans="1:3" x14ac:dyDescent="0.25">
      <c r="A1306" s="412" t="s">
        <v>70</v>
      </c>
      <c r="B1306" t="s">
        <v>525</v>
      </c>
      <c r="C1306" s="412" t="s">
        <v>533</v>
      </c>
    </row>
    <row r="1307" spans="1:3" x14ac:dyDescent="0.25">
      <c r="A1307" s="412" t="s">
        <v>70</v>
      </c>
      <c r="B1307" t="s">
        <v>527</v>
      </c>
      <c r="C1307">
        <v>65535</v>
      </c>
    </row>
    <row r="1308" spans="1:3" x14ac:dyDescent="0.25">
      <c r="A1308" s="412" t="s">
        <v>68</v>
      </c>
      <c r="B1308" t="s">
        <v>521</v>
      </c>
      <c r="C1308" s="412" t="s">
        <v>702</v>
      </c>
    </row>
    <row r="1309" spans="1:3" x14ac:dyDescent="0.25">
      <c r="A1309" s="412" t="s">
        <v>68</v>
      </c>
      <c r="B1309" t="s">
        <v>523</v>
      </c>
      <c r="C1309">
        <v>2</v>
      </c>
    </row>
    <row r="1310" spans="1:3" x14ac:dyDescent="0.25">
      <c r="A1310" s="412" t="s">
        <v>68</v>
      </c>
      <c r="B1310" t="s">
        <v>524</v>
      </c>
      <c r="C1310">
        <v>5</v>
      </c>
    </row>
    <row r="1311" spans="1:3" x14ac:dyDescent="0.25">
      <c r="A1311" s="412" t="s">
        <v>68</v>
      </c>
      <c r="B1311" t="s">
        <v>525</v>
      </c>
      <c r="C1311" s="412" t="s">
        <v>535</v>
      </c>
    </row>
    <row r="1312" spans="1:3" x14ac:dyDescent="0.25">
      <c r="A1312" s="412" t="s">
        <v>68</v>
      </c>
      <c r="B1312" t="s">
        <v>527</v>
      </c>
      <c r="C1312">
        <v>65535</v>
      </c>
    </row>
    <row r="1313" spans="1:3" x14ac:dyDescent="0.25">
      <c r="A1313" s="412" t="s">
        <v>67</v>
      </c>
      <c r="B1313" t="s">
        <v>521</v>
      </c>
      <c r="C1313" s="412" t="s">
        <v>703</v>
      </c>
    </row>
    <row r="1314" spans="1:3" x14ac:dyDescent="0.25">
      <c r="A1314" s="412" t="s">
        <v>67</v>
      </c>
      <c r="B1314" t="s">
        <v>523</v>
      </c>
      <c r="C1314">
        <v>2</v>
      </c>
    </row>
    <row r="1315" spans="1:3" x14ac:dyDescent="0.25">
      <c r="A1315" s="412" t="s">
        <v>67</v>
      </c>
      <c r="B1315" t="s">
        <v>524</v>
      </c>
      <c r="C1315">
        <v>6</v>
      </c>
    </row>
    <row r="1316" spans="1:3" x14ac:dyDescent="0.25">
      <c r="A1316" s="412" t="s">
        <v>67</v>
      </c>
      <c r="B1316" t="s">
        <v>525</v>
      </c>
      <c r="C1316" s="412" t="s">
        <v>537</v>
      </c>
    </row>
    <row r="1317" spans="1:3" x14ac:dyDescent="0.25">
      <c r="A1317" s="412" t="s">
        <v>67</v>
      </c>
      <c r="B1317" t="s">
        <v>527</v>
      </c>
      <c r="C1317">
        <v>65535</v>
      </c>
    </row>
    <row r="1318" spans="1:3" x14ac:dyDescent="0.25">
      <c r="A1318" s="412" t="s">
        <v>36</v>
      </c>
      <c r="B1318" t="s">
        <v>521</v>
      </c>
      <c r="C1318" s="412" t="s">
        <v>704</v>
      </c>
    </row>
    <row r="1319" spans="1:3" x14ac:dyDescent="0.25">
      <c r="A1319" s="412" t="s">
        <v>36</v>
      </c>
      <c r="B1319" t="s">
        <v>523</v>
      </c>
      <c r="C1319">
        <v>2</v>
      </c>
    </row>
    <row r="1320" spans="1:3" x14ac:dyDescent="0.25">
      <c r="A1320" s="412" t="s">
        <v>36</v>
      </c>
      <c r="B1320" t="s">
        <v>524</v>
      </c>
      <c r="C1320">
        <v>7</v>
      </c>
    </row>
    <row r="1321" spans="1:3" x14ac:dyDescent="0.25">
      <c r="A1321" s="412" t="s">
        <v>36</v>
      </c>
      <c r="B1321" t="s">
        <v>525</v>
      </c>
      <c r="C1321" s="412" t="s">
        <v>539</v>
      </c>
    </row>
    <row r="1322" spans="1:3" x14ac:dyDescent="0.25">
      <c r="A1322" s="412" t="s">
        <v>36</v>
      </c>
      <c r="B1322" t="s">
        <v>527</v>
      </c>
      <c r="C1322">
        <v>65535</v>
      </c>
    </row>
    <row r="1323" spans="1:3" x14ac:dyDescent="0.25">
      <c r="A1323" s="412" t="s">
        <v>121</v>
      </c>
      <c r="B1323" t="s">
        <v>521</v>
      </c>
      <c r="C1323" s="412" t="s">
        <v>705</v>
      </c>
    </row>
    <row r="1324" spans="1:3" x14ac:dyDescent="0.25">
      <c r="A1324" s="412" t="s">
        <v>121</v>
      </c>
      <c r="B1324" t="s">
        <v>523</v>
      </c>
      <c r="C1324">
        <v>2</v>
      </c>
    </row>
    <row r="1325" spans="1:3" x14ac:dyDescent="0.25">
      <c r="A1325" s="412" t="s">
        <v>121</v>
      </c>
      <c r="B1325" t="s">
        <v>524</v>
      </c>
      <c r="C1325">
        <v>8</v>
      </c>
    </row>
    <row r="1326" spans="1:3" x14ac:dyDescent="0.25">
      <c r="A1326" s="412" t="s">
        <v>121</v>
      </c>
      <c r="B1326" t="s">
        <v>525</v>
      </c>
      <c r="C1326" s="412" t="s">
        <v>541</v>
      </c>
    </row>
    <row r="1327" spans="1:3" x14ac:dyDescent="0.25">
      <c r="A1327" s="412" t="s">
        <v>121</v>
      </c>
      <c r="B1327" t="s">
        <v>527</v>
      </c>
      <c r="C1327">
        <v>65535</v>
      </c>
    </row>
    <row r="1328" spans="1:3" x14ac:dyDescent="0.25">
      <c r="A1328" s="412" t="s">
        <v>120</v>
      </c>
      <c r="B1328" t="s">
        <v>521</v>
      </c>
      <c r="C1328" s="412" t="s">
        <v>706</v>
      </c>
    </row>
    <row r="1329" spans="1:3" x14ac:dyDescent="0.25">
      <c r="A1329" s="412" t="s">
        <v>120</v>
      </c>
      <c r="B1329" t="s">
        <v>523</v>
      </c>
      <c r="C1329">
        <v>2</v>
      </c>
    </row>
    <row r="1330" spans="1:3" x14ac:dyDescent="0.25">
      <c r="A1330" s="412" t="s">
        <v>120</v>
      </c>
      <c r="B1330" t="s">
        <v>524</v>
      </c>
      <c r="C1330">
        <v>9</v>
      </c>
    </row>
    <row r="1331" spans="1:3" x14ac:dyDescent="0.25">
      <c r="A1331" s="412" t="s">
        <v>120</v>
      </c>
      <c r="B1331" t="s">
        <v>525</v>
      </c>
      <c r="C1331" s="412" t="s">
        <v>543</v>
      </c>
    </row>
    <row r="1332" spans="1:3" x14ac:dyDescent="0.25">
      <c r="A1332" s="412" t="s">
        <v>120</v>
      </c>
      <c r="B1332" t="s">
        <v>527</v>
      </c>
      <c r="C1332">
        <v>65535</v>
      </c>
    </row>
    <row r="1333" spans="1:3" x14ac:dyDescent="0.25">
      <c r="A1333" s="412" t="s">
        <v>78</v>
      </c>
      <c r="B1333" t="s">
        <v>521</v>
      </c>
      <c r="C1333" s="412" t="s">
        <v>707</v>
      </c>
    </row>
    <row r="1334" spans="1:3" x14ac:dyDescent="0.25">
      <c r="A1334" s="412" t="s">
        <v>78</v>
      </c>
      <c r="B1334" t="s">
        <v>523</v>
      </c>
      <c r="C1334">
        <v>2</v>
      </c>
    </row>
    <row r="1335" spans="1:3" x14ac:dyDescent="0.25">
      <c r="A1335" s="412" t="s">
        <v>78</v>
      </c>
      <c r="B1335" t="s">
        <v>524</v>
      </c>
      <c r="C1335">
        <v>10</v>
      </c>
    </row>
    <row r="1336" spans="1:3" x14ac:dyDescent="0.25">
      <c r="A1336" s="412" t="s">
        <v>78</v>
      </c>
      <c r="B1336" t="s">
        <v>525</v>
      </c>
      <c r="C1336" s="412" t="s">
        <v>545</v>
      </c>
    </row>
    <row r="1337" spans="1:3" x14ac:dyDescent="0.25">
      <c r="A1337" s="412" t="s">
        <v>78</v>
      </c>
      <c r="B1337" t="s">
        <v>527</v>
      </c>
      <c r="C1337">
        <v>65535</v>
      </c>
    </row>
    <row r="1338" spans="1:3" x14ac:dyDescent="0.25">
      <c r="A1338" s="412" t="s">
        <v>119</v>
      </c>
      <c r="B1338" t="s">
        <v>521</v>
      </c>
      <c r="C1338" s="412" t="s">
        <v>708</v>
      </c>
    </row>
    <row r="1339" spans="1:3" x14ac:dyDescent="0.25">
      <c r="A1339" s="412" t="s">
        <v>119</v>
      </c>
      <c r="B1339" t="s">
        <v>523</v>
      </c>
      <c r="C1339">
        <v>2</v>
      </c>
    </row>
    <row r="1340" spans="1:3" x14ac:dyDescent="0.25">
      <c r="A1340" s="412" t="s">
        <v>119</v>
      </c>
      <c r="B1340" t="s">
        <v>524</v>
      </c>
      <c r="C1340">
        <v>11</v>
      </c>
    </row>
    <row r="1341" spans="1:3" x14ac:dyDescent="0.25">
      <c r="A1341" s="412" t="s">
        <v>119</v>
      </c>
      <c r="B1341" t="s">
        <v>525</v>
      </c>
      <c r="C1341" s="412" t="s">
        <v>547</v>
      </c>
    </row>
    <row r="1342" spans="1:3" x14ac:dyDescent="0.25">
      <c r="A1342" s="412" t="s">
        <v>119</v>
      </c>
      <c r="B1342" t="s">
        <v>527</v>
      </c>
      <c r="C1342">
        <v>65535</v>
      </c>
    </row>
    <row r="1343" spans="1:3" x14ac:dyDescent="0.25">
      <c r="A1343" s="412" t="s">
        <v>118</v>
      </c>
      <c r="B1343" t="s">
        <v>521</v>
      </c>
      <c r="C1343" s="412" t="s">
        <v>709</v>
      </c>
    </row>
    <row r="1344" spans="1:3" x14ac:dyDescent="0.25">
      <c r="A1344" s="412" t="s">
        <v>118</v>
      </c>
      <c r="B1344" t="s">
        <v>523</v>
      </c>
      <c r="C1344">
        <v>2</v>
      </c>
    </row>
    <row r="1345" spans="1:3" x14ac:dyDescent="0.25">
      <c r="A1345" s="412" t="s">
        <v>118</v>
      </c>
      <c r="B1345" t="s">
        <v>524</v>
      </c>
      <c r="C1345">
        <v>12</v>
      </c>
    </row>
    <row r="1346" spans="1:3" x14ac:dyDescent="0.25">
      <c r="A1346" s="412" t="s">
        <v>118</v>
      </c>
      <c r="B1346" t="s">
        <v>525</v>
      </c>
      <c r="C1346" s="412" t="s">
        <v>549</v>
      </c>
    </row>
    <row r="1347" spans="1:3" x14ac:dyDescent="0.25">
      <c r="A1347" s="412" t="s">
        <v>118</v>
      </c>
      <c r="B1347" t="s">
        <v>527</v>
      </c>
      <c r="C1347">
        <v>65535</v>
      </c>
    </row>
    <row r="1348" spans="1:3" x14ac:dyDescent="0.25">
      <c r="A1348" s="412" t="s">
        <v>75</v>
      </c>
      <c r="B1348" t="s">
        <v>521</v>
      </c>
      <c r="C1348" s="412" t="s">
        <v>710</v>
      </c>
    </row>
    <row r="1349" spans="1:3" x14ac:dyDescent="0.25">
      <c r="A1349" s="412" t="s">
        <v>75</v>
      </c>
      <c r="B1349" t="s">
        <v>523</v>
      </c>
      <c r="C1349">
        <v>2</v>
      </c>
    </row>
    <row r="1350" spans="1:3" x14ac:dyDescent="0.25">
      <c r="A1350" s="412" t="s">
        <v>75</v>
      </c>
      <c r="B1350" t="s">
        <v>524</v>
      </c>
      <c r="C1350">
        <v>13</v>
      </c>
    </row>
    <row r="1351" spans="1:3" x14ac:dyDescent="0.25">
      <c r="A1351" s="412" t="s">
        <v>75</v>
      </c>
      <c r="B1351" t="s">
        <v>525</v>
      </c>
      <c r="C1351" s="412" t="s">
        <v>551</v>
      </c>
    </row>
    <row r="1352" spans="1:3" x14ac:dyDescent="0.25">
      <c r="A1352" s="412" t="s">
        <v>75</v>
      </c>
      <c r="B1352" t="s">
        <v>527</v>
      </c>
      <c r="C1352">
        <v>65535</v>
      </c>
    </row>
    <row r="1353" spans="1:3" x14ac:dyDescent="0.25">
      <c r="A1353" s="412" t="s">
        <v>76</v>
      </c>
      <c r="B1353" t="s">
        <v>521</v>
      </c>
      <c r="C1353" s="412" t="s">
        <v>711</v>
      </c>
    </row>
    <row r="1354" spans="1:3" x14ac:dyDescent="0.25">
      <c r="A1354" s="412" t="s">
        <v>76</v>
      </c>
      <c r="B1354" t="s">
        <v>523</v>
      </c>
      <c r="C1354">
        <v>2</v>
      </c>
    </row>
    <row r="1355" spans="1:3" x14ac:dyDescent="0.25">
      <c r="A1355" s="412" t="s">
        <v>76</v>
      </c>
      <c r="B1355" t="s">
        <v>524</v>
      </c>
      <c r="C1355">
        <v>14</v>
      </c>
    </row>
    <row r="1356" spans="1:3" x14ac:dyDescent="0.25">
      <c r="A1356" s="412" t="s">
        <v>76</v>
      </c>
      <c r="B1356" t="s">
        <v>525</v>
      </c>
      <c r="C1356" s="412" t="s">
        <v>553</v>
      </c>
    </row>
    <row r="1357" spans="1:3" x14ac:dyDescent="0.25">
      <c r="A1357" s="412" t="s">
        <v>76</v>
      </c>
      <c r="B1357" t="s">
        <v>527</v>
      </c>
      <c r="C1357">
        <v>65535</v>
      </c>
    </row>
    <row r="1358" spans="1:3" x14ac:dyDescent="0.25">
      <c r="A1358" s="412" t="s">
        <v>117</v>
      </c>
      <c r="B1358" t="s">
        <v>521</v>
      </c>
      <c r="C1358" s="412" t="s">
        <v>712</v>
      </c>
    </row>
    <row r="1359" spans="1:3" x14ac:dyDescent="0.25">
      <c r="A1359" s="412" t="s">
        <v>117</v>
      </c>
      <c r="B1359" t="s">
        <v>523</v>
      </c>
      <c r="C1359">
        <v>2</v>
      </c>
    </row>
    <row r="1360" spans="1:3" x14ac:dyDescent="0.25">
      <c r="A1360" s="412" t="s">
        <v>117</v>
      </c>
      <c r="B1360" t="s">
        <v>524</v>
      </c>
      <c r="C1360">
        <v>15</v>
      </c>
    </row>
    <row r="1361" spans="1:3" x14ac:dyDescent="0.25">
      <c r="A1361" s="412" t="s">
        <v>117</v>
      </c>
      <c r="B1361" t="s">
        <v>525</v>
      </c>
      <c r="C1361" s="412" t="s">
        <v>555</v>
      </c>
    </row>
    <row r="1362" spans="1:3" x14ac:dyDescent="0.25">
      <c r="A1362" s="412" t="s">
        <v>117</v>
      </c>
      <c r="B1362" t="s">
        <v>527</v>
      </c>
      <c r="C1362">
        <v>65535</v>
      </c>
    </row>
    <row r="1363" spans="1:3" x14ac:dyDescent="0.25">
      <c r="A1363" s="412" t="s">
        <v>116</v>
      </c>
      <c r="B1363" t="s">
        <v>521</v>
      </c>
      <c r="C1363" s="412" t="s">
        <v>713</v>
      </c>
    </row>
    <row r="1364" spans="1:3" x14ac:dyDescent="0.25">
      <c r="A1364" s="412" t="s">
        <v>116</v>
      </c>
      <c r="B1364" t="s">
        <v>523</v>
      </c>
      <c r="C1364">
        <v>2</v>
      </c>
    </row>
    <row r="1365" spans="1:3" x14ac:dyDescent="0.25">
      <c r="A1365" s="412" t="s">
        <v>116</v>
      </c>
      <c r="B1365" t="s">
        <v>524</v>
      </c>
      <c r="C1365">
        <v>16</v>
      </c>
    </row>
    <row r="1366" spans="1:3" x14ac:dyDescent="0.25">
      <c r="A1366" s="412" t="s">
        <v>116</v>
      </c>
      <c r="B1366" t="s">
        <v>525</v>
      </c>
      <c r="C1366" s="412" t="s">
        <v>557</v>
      </c>
    </row>
    <row r="1367" spans="1:3" x14ac:dyDescent="0.25">
      <c r="A1367" s="412" t="s">
        <v>116</v>
      </c>
      <c r="B1367" t="s">
        <v>527</v>
      </c>
      <c r="C1367">
        <v>65535</v>
      </c>
    </row>
    <row r="1368" spans="1:3" x14ac:dyDescent="0.25">
      <c r="A1368" s="412" t="s">
        <v>115</v>
      </c>
      <c r="B1368" t="s">
        <v>521</v>
      </c>
      <c r="C1368" s="412" t="s">
        <v>714</v>
      </c>
    </row>
    <row r="1369" spans="1:3" x14ac:dyDescent="0.25">
      <c r="A1369" s="412" t="s">
        <v>115</v>
      </c>
      <c r="B1369" t="s">
        <v>523</v>
      </c>
      <c r="C1369">
        <v>2</v>
      </c>
    </row>
    <row r="1370" spans="1:3" x14ac:dyDescent="0.25">
      <c r="A1370" s="412" t="s">
        <v>115</v>
      </c>
      <c r="B1370" t="s">
        <v>524</v>
      </c>
      <c r="C1370">
        <v>17</v>
      </c>
    </row>
    <row r="1371" spans="1:3" x14ac:dyDescent="0.25">
      <c r="A1371" s="412" t="s">
        <v>115</v>
      </c>
      <c r="B1371" t="s">
        <v>525</v>
      </c>
      <c r="C1371" s="412" t="s">
        <v>559</v>
      </c>
    </row>
    <row r="1372" spans="1:3" x14ac:dyDescent="0.25">
      <c r="A1372" s="412" t="s">
        <v>115</v>
      </c>
      <c r="B1372" t="s">
        <v>527</v>
      </c>
      <c r="C1372">
        <v>65535</v>
      </c>
    </row>
    <row r="1373" spans="1:3" x14ac:dyDescent="0.25">
      <c r="A1373" s="412" t="s">
        <v>114</v>
      </c>
      <c r="B1373" t="s">
        <v>521</v>
      </c>
      <c r="C1373" s="412" t="s">
        <v>715</v>
      </c>
    </row>
    <row r="1374" spans="1:3" x14ac:dyDescent="0.25">
      <c r="A1374" s="412" t="s">
        <v>114</v>
      </c>
      <c r="B1374" t="s">
        <v>523</v>
      </c>
      <c r="C1374">
        <v>2</v>
      </c>
    </row>
    <row r="1375" spans="1:3" x14ac:dyDescent="0.25">
      <c r="A1375" s="412" t="s">
        <v>114</v>
      </c>
      <c r="B1375" t="s">
        <v>524</v>
      </c>
      <c r="C1375">
        <v>18</v>
      </c>
    </row>
    <row r="1376" spans="1:3" x14ac:dyDescent="0.25">
      <c r="A1376" s="412" t="s">
        <v>114</v>
      </c>
      <c r="B1376" t="s">
        <v>525</v>
      </c>
      <c r="C1376" s="412" t="s">
        <v>561</v>
      </c>
    </row>
    <row r="1377" spans="1:3" x14ac:dyDescent="0.25">
      <c r="A1377" s="412" t="s">
        <v>114</v>
      </c>
      <c r="B1377" t="s">
        <v>527</v>
      </c>
      <c r="C1377">
        <v>65535</v>
      </c>
    </row>
    <row r="1378" spans="1:3" x14ac:dyDescent="0.25">
      <c r="A1378" s="412" t="s">
        <v>113</v>
      </c>
      <c r="B1378" t="s">
        <v>521</v>
      </c>
      <c r="C1378" s="412" t="s">
        <v>716</v>
      </c>
    </row>
    <row r="1379" spans="1:3" x14ac:dyDescent="0.25">
      <c r="A1379" s="412" t="s">
        <v>113</v>
      </c>
      <c r="B1379" t="s">
        <v>523</v>
      </c>
      <c r="C1379">
        <v>2</v>
      </c>
    </row>
    <row r="1380" spans="1:3" x14ac:dyDescent="0.25">
      <c r="A1380" s="412" t="s">
        <v>113</v>
      </c>
      <c r="B1380" t="s">
        <v>524</v>
      </c>
      <c r="C1380">
        <v>19</v>
      </c>
    </row>
    <row r="1381" spans="1:3" x14ac:dyDescent="0.25">
      <c r="A1381" s="412" t="s">
        <v>113</v>
      </c>
      <c r="B1381" t="s">
        <v>525</v>
      </c>
      <c r="C1381" s="412" t="s">
        <v>563</v>
      </c>
    </row>
    <row r="1382" spans="1:3" x14ac:dyDescent="0.25">
      <c r="A1382" s="412" t="s">
        <v>113</v>
      </c>
      <c r="B1382" t="s">
        <v>527</v>
      </c>
      <c r="C1382">
        <v>65535</v>
      </c>
    </row>
    <row r="1383" spans="1:3" x14ac:dyDescent="0.25">
      <c r="A1383" s="412" t="s">
        <v>112</v>
      </c>
      <c r="B1383" t="s">
        <v>521</v>
      </c>
      <c r="C1383" s="412" t="s">
        <v>717</v>
      </c>
    </row>
    <row r="1384" spans="1:3" x14ac:dyDescent="0.25">
      <c r="A1384" s="412" t="s">
        <v>112</v>
      </c>
      <c r="B1384" t="s">
        <v>523</v>
      </c>
      <c r="C1384">
        <v>2</v>
      </c>
    </row>
    <row r="1385" spans="1:3" x14ac:dyDescent="0.25">
      <c r="A1385" s="412" t="s">
        <v>112</v>
      </c>
      <c r="B1385" t="s">
        <v>524</v>
      </c>
      <c r="C1385">
        <v>20</v>
      </c>
    </row>
    <row r="1386" spans="1:3" x14ac:dyDescent="0.25">
      <c r="A1386" s="412" t="s">
        <v>112</v>
      </c>
      <c r="B1386" t="s">
        <v>525</v>
      </c>
      <c r="C1386" s="412" t="s">
        <v>565</v>
      </c>
    </row>
    <row r="1387" spans="1:3" x14ac:dyDescent="0.25">
      <c r="A1387" s="412" t="s">
        <v>112</v>
      </c>
      <c r="B1387" t="s">
        <v>527</v>
      </c>
      <c r="C1387">
        <v>65535</v>
      </c>
    </row>
    <row r="1388" spans="1:3" x14ac:dyDescent="0.25">
      <c r="A1388" s="412" t="s">
        <v>111</v>
      </c>
      <c r="B1388" t="s">
        <v>521</v>
      </c>
      <c r="C1388" s="412" t="s">
        <v>718</v>
      </c>
    </row>
    <row r="1389" spans="1:3" x14ac:dyDescent="0.25">
      <c r="A1389" s="412" t="s">
        <v>111</v>
      </c>
      <c r="B1389" t="s">
        <v>523</v>
      </c>
      <c r="C1389">
        <v>2</v>
      </c>
    </row>
    <row r="1390" spans="1:3" x14ac:dyDescent="0.25">
      <c r="A1390" s="412" t="s">
        <v>111</v>
      </c>
      <c r="B1390" t="s">
        <v>524</v>
      </c>
      <c r="C1390">
        <v>21</v>
      </c>
    </row>
    <row r="1391" spans="1:3" x14ac:dyDescent="0.25">
      <c r="A1391" s="412" t="s">
        <v>111</v>
      </c>
      <c r="B1391" t="s">
        <v>525</v>
      </c>
      <c r="C1391" s="412" t="s">
        <v>567</v>
      </c>
    </row>
    <row r="1392" spans="1:3" x14ac:dyDescent="0.25">
      <c r="A1392" s="412" t="s">
        <v>111</v>
      </c>
      <c r="B1392" t="s">
        <v>527</v>
      </c>
      <c r="C1392">
        <v>65535</v>
      </c>
    </row>
    <row r="1393" spans="1:15" x14ac:dyDescent="0.25">
      <c r="A1393" s="412" t="s">
        <v>101</v>
      </c>
      <c r="B1393" t="s">
        <v>521</v>
      </c>
      <c r="C1393" s="412" t="s">
        <v>719</v>
      </c>
    </row>
    <row r="1394" spans="1:15" x14ac:dyDescent="0.25">
      <c r="A1394" s="412" t="s">
        <v>101</v>
      </c>
      <c r="B1394" t="s">
        <v>523</v>
      </c>
      <c r="C1394">
        <v>2</v>
      </c>
    </row>
    <row r="1395" spans="1:15" x14ac:dyDescent="0.25">
      <c r="A1395" s="412" t="s">
        <v>101</v>
      </c>
      <c r="B1395" t="s">
        <v>524</v>
      </c>
      <c r="C1395">
        <v>22</v>
      </c>
    </row>
    <row r="1396" spans="1:15" x14ac:dyDescent="0.25">
      <c r="A1396" s="412" t="s">
        <v>101</v>
      </c>
      <c r="B1396" t="s">
        <v>525</v>
      </c>
      <c r="C1396" s="412" t="s">
        <v>569</v>
      </c>
    </row>
    <row r="1397" spans="1:15" x14ac:dyDescent="0.25">
      <c r="A1397" s="412" t="s">
        <v>101</v>
      </c>
      <c r="B1397" t="s">
        <v>527</v>
      </c>
      <c r="C1397">
        <v>65535</v>
      </c>
    </row>
    <row r="1398" spans="1:15" x14ac:dyDescent="0.25">
      <c r="A1398" s="412" t="s">
        <v>341</v>
      </c>
      <c r="B1398" t="s">
        <v>578</v>
      </c>
      <c r="C1398" t="b">
        <v>0</v>
      </c>
    </row>
    <row r="1399" spans="1:15" x14ac:dyDescent="0.25">
      <c r="A1399" s="412" t="s">
        <v>341</v>
      </c>
      <c r="B1399" t="s">
        <v>579</v>
      </c>
      <c r="C1399" t="b">
        <v>0</v>
      </c>
    </row>
    <row r="1400" spans="1:15" x14ac:dyDescent="0.25">
      <c r="A1400" s="412" t="s">
        <v>341</v>
      </c>
      <c r="B1400" t="s">
        <v>580</v>
      </c>
      <c r="C1400" t="b">
        <v>0</v>
      </c>
    </row>
    <row r="1401" spans="1:15" x14ac:dyDescent="0.25">
      <c r="A1401" s="412" t="s">
        <v>341</v>
      </c>
      <c r="B1401" t="s">
        <v>581</v>
      </c>
      <c r="C1401">
        <v>-1</v>
      </c>
    </row>
    <row r="1402" spans="1:15" x14ac:dyDescent="0.25">
      <c r="A1402" s="412" t="s">
        <v>341</v>
      </c>
      <c r="B1402" t="s">
        <v>582</v>
      </c>
      <c r="C1402">
        <v>-1</v>
      </c>
    </row>
    <row r="1403" spans="1:15" x14ac:dyDescent="0.25">
      <c r="A1403" s="412" t="s">
        <v>341</v>
      </c>
      <c r="B1403" t="s">
        <v>583</v>
      </c>
      <c r="C1403">
        <v>1</v>
      </c>
    </row>
    <row r="1404" spans="1:15" x14ac:dyDescent="0.25">
      <c r="A1404" s="412" t="s">
        <v>341</v>
      </c>
      <c r="B1404" t="s">
        <v>584</v>
      </c>
      <c r="C1404">
        <v>1</v>
      </c>
    </row>
    <row r="1405" spans="1:15" x14ac:dyDescent="0.25">
      <c r="A1405" s="412" t="s">
        <v>341</v>
      </c>
      <c r="B1405" t="s">
        <v>585</v>
      </c>
      <c r="C1405">
        <v>1</v>
      </c>
    </row>
    <row r="1406" spans="1:15" x14ac:dyDescent="0.25">
      <c r="A1406" t="s">
        <v>720</v>
      </c>
    </row>
    <row r="1407" spans="1:15" x14ac:dyDescent="0.25">
      <c r="A1407" t="s">
        <v>725</v>
      </c>
    </row>
    <row r="1408" spans="1:15" x14ac:dyDescent="0.25">
      <c r="D1408" t="s">
        <v>83</v>
      </c>
      <c r="E1408">
        <v>1</v>
      </c>
      <c r="G1408" t="b">
        <v>0</v>
      </c>
      <c r="H1408" t="b">
        <v>0</v>
      </c>
      <c r="I1408" t="b">
        <v>0</v>
      </c>
      <c r="J1408" t="s">
        <v>333</v>
      </c>
      <c r="N1408" t="b">
        <v>0</v>
      </c>
      <c r="O1408" t="s">
        <v>83</v>
      </c>
    </row>
    <row r="1409" spans="4:15" x14ac:dyDescent="0.25">
      <c r="D1409" t="s">
        <v>200</v>
      </c>
      <c r="E1409">
        <v>2</v>
      </c>
      <c r="G1409" t="b">
        <v>0</v>
      </c>
      <c r="H1409" t="b">
        <v>1</v>
      </c>
      <c r="I1409" t="b">
        <v>0</v>
      </c>
      <c r="J1409" t="s">
        <v>334</v>
      </c>
      <c r="L1409">
        <v>10</v>
      </c>
      <c r="M1409">
        <v>0</v>
      </c>
      <c r="N1409" t="b">
        <v>1</v>
      </c>
      <c r="O1409" t="s">
        <v>200</v>
      </c>
    </row>
    <row r="1410" spans="4:15" x14ac:dyDescent="0.25">
      <c r="D1410" t="s">
        <v>82</v>
      </c>
      <c r="E1410">
        <v>3</v>
      </c>
      <c r="G1410" t="b">
        <v>0</v>
      </c>
      <c r="H1410" t="b">
        <v>0</v>
      </c>
      <c r="I1410" t="b">
        <v>0</v>
      </c>
      <c r="J1410" t="s">
        <v>334</v>
      </c>
      <c r="L1410">
        <v>10</v>
      </c>
      <c r="M1410">
        <v>0</v>
      </c>
      <c r="N1410" t="b">
        <v>0</v>
      </c>
      <c r="O1410" t="s">
        <v>82</v>
      </c>
    </row>
    <row r="1411" spans="4:15" x14ac:dyDescent="0.25">
      <c r="D1411" t="s">
        <v>78</v>
      </c>
      <c r="E1411">
        <v>4</v>
      </c>
      <c r="G1411" t="b">
        <v>0</v>
      </c>
      <c r="H1411" t="b">
        <v>0</v>
      </c>
      <c r="I1411" t="b">
        <v>0</v>
      </c>
      <c r="J1411" t="s">
        <v>335</v>
      </c>
      <c r="K1411">
        <v>45</v>
      </c>
      <c r="N1411" t="b">
        <v>0</v>
      </c>
      <c r="O1411" t="s">
        <v>78</v>
      </c>
    </row>
    <row r="1412" spans="4:15" x14ac:dyDescent="0.25">
      <c r="D1412" t="s">
        <v>75</v>
      </c>
      <c r="E1412">
        <v>5</v>
      </c>
      <c r="G1412" t="b">
        <v>0</v>
      </c>
      <c r="H1412" t="b">
        <v>0</v>
      </c>
      <c r="I1412" t="b">
        <v>0</v>
      </c>
      <c r="J1412" t="s">
        <v>334</v>
      </c>
      <c r="L1412">
        <v>10</v>
      </c>
      <c r="M1412">
        <v>0</v>
      </c>
      <c r="N1412" t="b">
        <v>0</v>
      </c>
      <c r="O1412" t="s">
        <v>75</v>
      </c>
    </row>
    <row r="1413" spans="4:15" x14ac:dyDescent="0.25">
      <c r="D1413" t="s">
        <v>199</v>
      </c>
      <c r="E1413">
        <v>6</v>
      </c>
      <c r="G1413" t="b">
        <v>0</v>
      </c>
      <c r="H1413" t="b">
        <v>0</v>
      </c>
      <c r="I1413" t="b">
        <v>0</v>
      </c>
      <c r="J1413" t="s">
        <v>335</v>
      </c>
      <c r="K1413">
        <v>45</v>
      </c>
      <c r="N1413" t="b">
        <v>0</v>
      </c>
      <c r="O1413" t="s">
        <v>199</v>
      </c>
    </row>
    <row r="1414" spans="4:15" x14ac:dyDescent="0.25">
      <c r="D1414" t="s">
        <v>198</v>
      </c>
      <c r="E1414">
        <v>7</v>
      </c>
      <c r="G1414" t="b">
        <v>0</v>
      </c>
      <c r="H1414" t="b">
        <v>0</v>
      </c>
      <c r="I1414" t="b">
        <v>0</v>
      </c>
      <c r="J1414" t="s">
        <v>335</v>
      </c>
      <c r="K1414">
        <v>45</v>
      </c>
      <c r="N1414" t="b">
        <v>0</v>
      </c>
      <c r="O1414" t="s">
        <v>198</v>
      </c>
    </row>
    <row r="1415" spans="4:15" x14ac:dyDescent="0.25">
      <c r="D1415" t="s">
        <v>76</v>
      </c>
      <c r="E1415">
        <v>8</v>
      </c>
      <c r="G1415" t="b">
        <v>0</v>
      </c>
      <c r="H1415" t="b">
        <v>0</v>
      </c>
      <c r="I1415" t="b">
        <v>0</v>
      </c>
      <c r="J1415" t="s">
        <v>335</v>
      </c>
      <c r="K1415">
        <v>45</v>
      </c>
      <c r="N1415" t="b">
        <v>0</v>
      </c>
      <c r="O1415" t="s">
        <v>76</v>
      </c>
    </row>
    <row r="1416" spans="4:15" x14ac:dyDescent="0.25">
      <c r="D1416" t="s">
        <v>71</v>
      </c>
      <c r="E1416">
        <v>9</v>
      </c>
      <c r="G1416" t="b">
        <v>0</v>
      </c>
      <c r="H1416" t="b">
        <v>0</v>
      </c>
      <c r="I1416" t="b">
        <v>0</v>
      </c>
      <c r="J1416" t="s">
        <v>335</v>
      </c>
      <c r="K1416">
        <v>45</v>
      </c>
      <c r="N1416" t="b">
        <v>0</v>
      </c>
      <c r="O1416" t="s">
        <v>71</v>
      </c>
    </row>
    <row r="1417" spans="4:15" x14ac:dyDescent="0.25">
      <c r="D1417" t="s">
        <v>197</v>
      </c>
      <c r="E1417">
        <v>10</v>
      </c>
      <c r="G1417" t="b">
        <v>0</v>
      </c>
      <c r="H1417" t="b">
        <v>0</v>
      </c>
      <c r="I1417" t="b">
        <v>0</v>
      </c>
      <c r="J1417" t="s">
        <v>335</v>
      </c>
      <c r="K1417">
        <v>45</v>
      </c>
      <c r="N1417" t="b">
        <v>0</v>
      </c>
      <c r="O1417" t="s">
        <v>197</v>
      </c>
    </row>
    <row r="1418" spans="4:15" x14ac:dyDescent="0.25">
      <c r="D1418" t="s">
        <v>196</v>
      </c>
      <c r="E1418">
        <v>11</v>
      </c>
      <c r="G1418" t="b">
        <v>0</v>
      </c>
      <c r="H1418" t="b">
        <v>0</v>
      </c>
      <c r="I1418" t="b">
        <v>0</v>
      </c>
      <c r="J1418" t="s">
        <v>335</v>
      </c>
      <c r="K1418">
        <v>45</v>
      </c>
      <c r="N1418" t="b">
        <v>0</v>
      </c>
      <c r="O1418" t="s">
        <v>196</v>
      </c>
    </row>
    <row r="1419" spans="4:15" x14ac:dyDescent="0.25">
      <c r="D1419" t="s">
        <v>195</v>
      </c>
      <c r="E1419">
        <v>12</v>
      </c>
      <c r="G1419" t="b">
        <v>0</v>
      </c>
      <c r="H1419" t="b">
        <v>0</v>
      </c>
      <c r="I1419" t="b">
        <v>0</v>
      </c>
      <c r="J1419" t="s">
        <v>335</v>
      </c>
      <c r="K1419">
        <v>45</v>
      </c>
      <c r="N1419" t="b">
        <v>0</v>
      </c>
      <c r="O1419" t="s">
        <v>195</v>
      </c>
    </row>
    <row r="1420" spans="4:15" x14ac:dyDescent="0.25">
      <c r="D1420" t="s">
        <v>70</v>
      </c>
      <c r="E1420">
        <v>13</v>
      </c>
      <c r="G1420" t="b">
        <v>0</v>
      </c>
      <c r="H1420" t="b">
        <v>0</v>
      </c>
      <c r="I1420" t="b">
        <v>0</v>
      </c>
      <c r="J1420" t="s">
        <v>335</v>
      </c>
      <c r="K1420">
        <v>45</v>
      </c>
      <c r="N1420" t="b">
        <v>0</v>
      </c>
      <c r="O1420" t="s">
        <v>70</v>
      </c>
    </row>
    <row r="1421" spans="4:15" x14ac:dyDescent="0.25">
      <c r="D1421" t="s">
        <v>194</v>
      </c>
      <c r="E1421">
        <v>14</v>
      </c>
      <c r="G1421" t="b">
        <v>0</v>
      </c>
      <c r="H1421" t="b">
        <v>0</v>
      </c>
      <c r="I1421" t="b">
        <v>0</v>
      </c>
      <c r="J1421" t="s">
        <v>335</v>
      </c>
      <c r="K1421">
        <v>45</v>
      </c>
      <c r="N1421" t="b">
        <v>0</v>
      </c>
      <c r="O1421" t="s">
        <v>194</v>
      </c>
    </row>
    <row r="1422" spans="4:15" x14ac:dyDescent="0.25">
      <c r="D1422" t="s">
        <v>193</v>
      </c>
      <c r="E1422">
        <v>15</v>
      </c>
      <c r="G1422" t="b">
        <v>0</v>
      </c>
      <c r="H1422" t="b">
        <v>0</v>
      </c>
      <c r="I1422" t="b">
        <v>0</v>
      </c>
      <c r="J1422" t="s">
        <v>335</v>
      </c>
      <c r="K1422">
        <v>45</v>
      </c>
      <c r="N1422" t="b">
        <v>0</v>
      </c>
      <c r="O1422" t="s">
        <v>193</v>
      </c>
    </row>
    <row r="1423" spans="4:15" x14ac:dyDescent="0.25">
      <c r="D1423" t="s">
        <v>192</v>
      </c>
      <c r="E1423">
        <v>16</v>
      </c>
      <c r="G1423" t="b">
        <v>0</v>
      </c>
      <c r="H1423" t="b">
        <v>0</v>
      </c>
      <c r="I1423" t="b">
        <v>0</v>
      </c>
      <c r="J1423" t="s">
        <v>335</v>
      </c>
      <c r="K1423">
        <v>45</v>
      </c>
      <c r="N1423" t="b">
        <v>0</v>
      </c>
      <c r="O1423" t="s">
        <v>192</v>
      </c>
    </row>
    <row r="1424" spans="4:15" x14ac:dyDescent="0.25">
      <c r="D1424" t="s">
        <v>191</v>
      </c>
      <c r="E1424">
        <v>17</v>
      </c>
      <c r="G1424" t="b">
        <v>0</v>
      </c>
      <c r="H1424" t="b">
        <v>0</v>
      </c>
      <c r="I1424" t="b">
        <v>0</v>
      </c>
      <c r="J1424" t="s">
        <v>335</v>
      </c>
      <c r="K1424">
        <v>45</v>
      </c>
      <c r="N1424" t="b">
        <v>0</v>
      </c>
      <c r="O1424" t="s">
        <v>191</v>
      </c>
    </row>
    <row r="1425" spans="4:15" x14ac:dyDescent="0.25">
      <c r="D1425" t="s">
        <v>190</v>
      </c>
      <c r="E1425">
        <v>18</v>
      </c>
      <c r="G1425" t="b">
        <v>0</v>
      </c>
      <c r="H1425" t="b">
        <v>0</v>
      </c>
      <c r="I1425" t="b">
        <v>0</v>
      </c>
      <c r="J1425" t="s">
        <v>335</v>
      </c>
      <c r="K1425">
        <v>45</v>
      </c>
      <c r="N1425" t="b">
        <v>0</v>
      </c>
      <c r="O1425" t="s">
        <v>190</v>
      </c>
    </row>
    <row r="1426" spans="4:15" x14ac:dyDescent="0.25">
      <c r="D1426" t="s">
        <v>189</v>
      </c>
      <c r="E1426">
        <v>19</v>
      </c>
      <c r="G1426" t="b">
        <v>0</v>
      </c>
      <c r="H1426" t="b">
        <v>0</v>
      </c>
      <c r="I1426" t="b">
        <v>0</v>
      </c>
      <c r="J1426" t="s">
        <v>335</v>
      </c>
      <c r="K1426">
        <v>45</v>
      </c>
      <c r="N1426" t="b">
        <v>0</v>
      </c>
      <c r="O1426" t="s">
        <v>189</v>
      </c>
    </row>
    <row r="1427" spans="4:15" x14ac:dyDescent="0.25">
      <c r="D1427" t="s">
        <v>188</v>
      </c>
      <c r="E1427">
        <v>20</v>
      </c>
      <c r="G1427" t="b">
        <v>0</v>
      </c>
      <c r="H1427" t="b">
        <v>0</v>
      </c>
      <c r="I1427" t="b">
        <v>0</v>
      </c>
      <c r="J1427" t="s">
        <v>335</v>
      </c>
      <c r="K1427">
        <v>45</v>
      </c>
      <c r="N1427" t="b">
        <v>0</v>
      </c>
      <c r="O1427" t="s">
        <v>188</v>
      </c>
    </row>
    <row r="1428" spans="4:15" x14ac:dyDescent="0.25">
      <c r="D1428" t="s">
        <v>187</v>
      </c>
      <c r="E1428">
        <v>21</v>
      </c>
      <c r="G1428" t="b">
        <v>0</v>
      </c>
      <c r="H1428" t="b">
        <v>0</v>
      </c>
      <c r="I1428" t="b">
        <v>0</v>
      </c>
      <c r="J1428" t="s">
        <v>335</v>
      </c>
      <c r="K1428">
        <v>45</v>
      </c>
      <c r="N1428" t="b">
        <v>0</v>
      </c>
      <c r="O1428" t="s">
        <v>187</v>
      </c>
    </row>
    <row r="1429" spans="4:15" x14ac:dyDescent="0.25">
      <c r="D1429" t="s">
        <v>186</v>
      </c>
      <c r="E1429">
        <v>22</v>
      </c>
      <c r="G1429" t="b">
        <v>0</v>
      </c>
      <c r="H1429" t="b">
        <v>0</v>
      </c>
      <c r="I1429" t="b">
        <v>0</v>
      </c>
      <c r="J1429" t="s">
        <v>335</v>
      </c>
      <c r="K1429">
        <v>45</v>
      </c>
      <c r="N1429" t="b">
        <v>0</v>
      </c>
      <c r="O1429" t="s">
        <v>186</v>
      </c>
    </row>
    <row r="1430" spans="4:15" x14ac:dyDescent="0.25">
      <c r="D1430" t="s">
        <v>185</v>
      </c>
      <c r="E1430">
        <v>23</v>
      </c>
      <c r="G1430" t="b">
        <v>0</v>
      </c>
      <c r="H1430" t="b">
        <v>0</v>
      </c>
      <c r="I1430" t="b">
        <v>0</v>
      </c>
      <c r="J1430" t="s">
        <v>335</v>
      </c>
      <c r="K1430">
        <v>45</v>
      </c>
      <c r="N1430" t="b">
        <v>0</v>
      </c>
      <c r="O1430" t="s">
        <v>185</v>
      </c>
    </row>
    <row r="1431" spans="4:15" x14ac:dyDescent="0.25">
      <c r="D1431" t="s">
        <v>184</v>
      </c>
      <c r="E1431">
        <v>24</v>
      </c>
      <c r="G1431" t="b">
        <v>0</v>
      </c>
      <c r="H1431" t="b">
        <v>0</v>
      </c>
      <c r="I1431" t="b">
        <v>0</v>
      </c>
      <c r="J1431" t="s">
        <v>335</v>
      </c>
      <c r="K1431">
        <v>45</v>
      </c>
      <c r="N1431" t="b">
        <v>0</v>
      </c>
      <c r="O1431" t="s">
        <v>184</v>
      </c>
    </row>
    <row r="1432" spans="4:15" x14ac:dyDescent="0.25">
      <c r="D1432" t="s">
        <v>183</v>
      </c>
      <c r="E1432">
        <v>25</v>
      </c>
      <c r="G1432" t="b">
        <v>0</v>
      </c>
      <c r="H1432" t="b">
        <v>0</v>
      </c>
      <c r="I1432" t="b">
        <v>0</v>
      </c>
      <c r="J1432" t="s">
        <v>335</v>
      </c>
      <c r="K1432">
        <v>45</v>
      </c>
      <c r="N1432" t="b">
        <v>0</v>
      </c>
      <c r="O1432" t="s">
        <v>183</v>
      </c>
    </row>
    <row r="1433" spans="4:15" x14ac:dyDescent="0.25">
      <c r="D1433" t="s">
        <v>182</v>
      </c>
      <c r="E1433">
        <v>26</v>
      </c>
      <c r="G1433" t="b">
        <v>0</v>
      </c>
      <c r="H1433" t="b">
        <v>0</v>
      </c>
      <c r="I1433" t="b">
        <v>0</v>
      </c>
      <c r="J1433" t="s">
        <v>335</v>
      </c>
      <c r="K1433">
        <v>45</v>
      </c>
      <c r="N1433" t="b">
        <v>0</v>
      </c>
      <c r="O1433" t="s">
        <v>182</v>
      </c>
    </row>
    <row r="1434" spans="4:15" x14ac:dyDescent="0.25">
      <c r="D1434" t="s">
        <v>181</v>
      </c>
      <c r="E1434">
        <v>27</v>
      </c>
      <c r="G1434" t="b">
        <v>0</v>
      </c>
      <c r="H1434" t="b">
        <v>0</v>
      </c>
      <c r="I1434" t="b">
        <v>0</v>
      </c>
      <c r="J1434" t="s">
        <v>335</v>
      </c>
      <c r="K1434">
        <v>45</v>
      </c>
      <c r="N1434" t="b">
        <v>0</v>
      </c>
      <c r="O1434" t="s">
        <v>181</v>
      </c>
    </row>
    <row r="1435" spans="4:15" x14ac:dyDescent="0.25">
      <c r="D1435" t="s">
        <v>180</v>
      </c>
      <c r="E1435">
        <v>28</v>
      </c>
      <c r="G1435" t="b">
        <v>0</v>
      </c>
      <c r="H1435" t="b">
        <v>0</v>
      </c>
      <c r="I1435" t="b">
        <v>0</v>
      </c>
      <c r="J1435" t="s">
        <v>335</v>
      </c>
      <c r="K1435">
        <v>45</v>
      </c>
      <c r="N1435" t="b">
        <v>0</v>
      </c>
      <c r="O1435" t="s">
        <v>180</v>
      </c>
    </row>
    <row r="1436" spans="4:15" x14ac:dyDescent="0.25">
      <c r="D1436" t="s">
        <v>179</v>
      </c>
      <c r="E1436">
        <v>29</v>
      </c>
      <c r="G1436" t="b">
        <v>0</v>
      </c>
      <c r="H1436" t="b">
        <v>0</v>
      </c>
      <c r="I1436" t="b">
        <v>0</v>
      </c>
      <c r="J1436" t="s">
        <v>335</v>
      </c>
      <c r="K1436">
        <v>45</v>
      </c>
      <c r="N1436" t="b">
        <v>0</v>
      </c>
      <c r="O1436" t="s">
        <v>179</v>
      </c>
    </row>
    <row r="1437" spans="4:15" x14ac:dyDescent="0.25">
      <c r="D1437" t="s">
        <v>178</v>
      </c>
      <c r="E1437">
        <v>30</v>
      </c>
      <c r="G1437" t="b">
        <v>0</v>
      </c>
      <c r="H1437" t="b">
        <v>0</v>
      </c>
      <c r="I1437" t="b">
        <v>0</v>
      </c>
      <c r="J1437" t="s">
        <v>335</v>
      </c>
      <c r="K1437">
        <v>45</v>
      </c>
      <c r="N1437" t="b">
        <v>0</v>
      </c>
      <c r="O1437" t="s">
        <v>178</v>
      </c>
    </row>
    <row r="1438" spans="4:15" x14ac:dyDescent="0.25">
      <c r="D1438" t="s">
        <v>177</v>
      </c>
      <c r="E1438">
        <v>31</v>
      </c>
      <c r="G1438" t="b">
        <v>0</v>
      </c>
      <c r="H1438" t="b">
        <v>0</v>
      </c>
      <c r="I1438" t="b">
        <v>0</v>
      </c>
      <c r="J1438" t="s">
        <v>335</v>
      </c>
      <c r="K1438">
        <v>45</v>
      </c>
      <c r="N1438" t="b">
        <v>0</v>
      </c>
      <c r="O1438" t="s">
        <v>177</v>
      </c>
    </row>
    <row r="1439" spans="4:15" x14ac:dyDescent="0.25">
      <c r="D1439" t="s">
        <v>176</v>
      </c>
      <c r="E1439">
        <v>32</v>
      </c>
      <c r="G1439" t="b">
        <v>0</v>
      </c>
      <c r="H1439" t="b">
        <v>0</v>
      </c>
      <c r="I1439" t="b">
        <v>0</v>
      </c>
      <c r="J1439" t="s">
        <v>335</v>
      </c>
      <c r="K1439">
        <v>45</v>
      </c>
      <c r="N1439" t="b">
        <v>0</v>
      </c>
      <c r="O1439" t="s">
        <v>176</v>
      </c>
    </row>
    <row r="1440" spans="4:15" x14ac:dyDescent="0.25">
      <c r="D1440" t="s">
        <v>175</v>
      </c>
      <c r="E1440">
        <v>33</v>
      </c>
      <c r="G1440" t="b">
        <v>0</v>
      </c>
      <c r="H1440" t="b">
        <v>0</v>
      </c>
      <c r="I1440" t="b">
        <v>0</v>
      </c>
      <c r="J1440" t="s">
        <v>335</v>
      </c>
      <c r="K1440">
        <v>45</v>
      </c>
      <c r="N1440" t="b">
        <v>0</v>
      </c>
      <c r="O1440" t="s">
        <v>175</v>
      </c>
    </row>
    <row r="1441" spans="4:15" x14ac:dyDescent="0.25">
      <c r="D1441" t="s">
        <v>174</v>
      </c>
      <c r="E1441">
        <v>34</v>
      </c>
      <c r="G1441" t="b">
        <v>0</v>
      </c>
      <c r="H1441" t="b">
        <v>0</v>
      </c>
      <c r="I1441" t="b">
        <v>0</v>
      </c>
      <c r="J1441" t="s">
        <v>335</v>
      </c>
      <c r="K1441">
        <v>45</v>
      </c>
      <c r="N1441" t="b">
        <v>0</v>
      </c>
      <c r="O1441" t="s">
        <v>174</v>
      </c>
    </row>
    <row r="1442" spans="4:15" x14ac:dyDescent="0.25">
      <c r="D1442" t="s">
        <v>173</v>
      </c>
      <c r="E1442">
        <v>35</v>
      </c>
      <c r="G1442" t="b">
        <v>0</v>
      </c>
      <c r="H1442" t="b">
        <v>0</v>
      </c>
      <c r="I1442" t="b">
        <v>0</v>
      </c>
      <c r="J1442" t="s">
        <v>335</v>
      </c>
      <c r="K1442">
        <v>45</v>
      </c>
      <c r="N1442" t="b">
        <v>0</v>
      </c>
      <c r="O1442" t="s">
        <v>173</v>
      </c>
    </row>
    <row r="1443" spans="4:15" x14ac:dyDescent="0.25">
      <c r="D1443" t="s">
        <v>172</v>
      </c>
      <c r="E1443">
        <v>36</v>
      </c>
      <c r="G1443" t="b">
        <v>0</v>
      </c>
      <c r="H1443" t="b">
        <v>0</v>
      </c>
      <c r="I1443" t="b">
        <v>0</v>
      </c>
      <c r="J1443" t="s">
        <v>335</v>
      </c>
      <c r="K1443">
        <v>45</v>
      </c>
      <c r="N1443" t="b">
        <v>0</v>
      </c>
      <c r="O1443" t="s">
        <v>172</v>
      </c>
    </row>
    <row r="1444" spans="4:15" x14ac:dyDescent="0.25">
      <c r="D1444" t="s">
        <v>171</v>
      </c>
      <c r="E1444">
        <v>37</v>
      </c>
      <c r="G1444" t="b">
        <v>0</v>
      </c>
      <c r="H1444" t="b">
        <v>0</v>
      </c>
      <c r="I1444" t="b">
        <v>0</v>
      </c>
      <c r="J1444" t="s">
        <v>335</v>
      </c>
      <c r="K1444">
        <v>45</v>
      </c>
      <c r="N1444" t="b">
        <v>0</v>
      </c>
      <c r="O1444" t="s">
        <v>171</v>
      </c>
    </row>
    <row r="1445" spans="4:15" x14ac:dyDescent="0.25">
      <c r="D1445" t="s">
        <v>170</v>
      </c>
      <c r="E1445">
        <v>38</v>
      </c>
      <c r="G1445" t="b">
        <v>0</v>
      </c>
      <c r="H1445" t="b">
        <v>0</v>
      </c>
      <c r="I1445" t="b">
        <v>0</v>
      </c>
      <c r="J1445" t="s">
        <v>335</v>
      </c>
      <c r="K1445">
        <v>45</v>
      </c>
      <c r="N1445" t="b">
        <v>0</v>
      </c>
      <c r="O1445" t="s">
        <v>170</v>
      </c>
    </row>
    <row r="1446" spans="4:15" x14ac:dyDescent="0.25">
      <c r="D1446" t="s">
        <v>169</v>
      </c>
      <c r="E1446">
        <v>39</v>
      </c>
      <c r="G1446" t="b">
        <v>0</v>
      </c>
      <c r="H1446" t="b">
        <v>0</v>
      </c>
      <c r="I1446" t="b">
        <v>0</v>
      </c>
      <c r="J1446" t="s">
        <v>335</v>
      </c>
      <c r="K1446">
        <v>45</v>
      </c>
      <c r="N1446" t="b">
        <v>0</v>
      </c>
      <c r="O1446" t="s">
        <v>169</v>
      </c>
    </row>
    <row r="1447" spans="4:15" x14ac:dyDescent="0.25">
      <c r="D1447" t="s">
        <v>168</v>
      </c>
      <c r="E1447">
        <v>40</v>
      </c>
      <c r="G1447" t="b">
        <v>0</v>
      </c>
      <c r="H1447" t="b">
        <v>0</v>
      </c>
      <c r="I1447" t="b">
        <v>0</v>
      </c>
      <c r="J1447" t="s">
        <v>335</v>
      </c>
      <c r="K1447">
        <v>45</v>
      </c>
      <c r="N1447" t="b">
        <v>0</v>
      </c>
      <c r="O1447" t="s">
        <v>168</v>
      </c>
    </row>
    <row r="1448" spans="4:15" x14ac:dyDescent="0.25">
      <c r="D1448" t="s">
        <v>167</v>
      </c>
      <c r="E1448">
        <v>41</v>
      </c>
      <c r="G1448" t="b">
        <v>0</v>
      </c>
      <c r="H1448" t="b">
        <v>0</v>
      </c>
      <c r="I1448" t="b">
        <v>0</v>
      </c>
      <c r="J1448" t="s">
        <v>335</v>
      </c>
      <c r="K1448">
        <v>45</v>
      </c>
      <c r="N1448" t="b">
        <v>0</v>
      </c>
      <c r="O1448" t="s">
        <v>167</v>
      </c>
    </row>
    <row r="1449" spans="4:15" x14ac:dyDescent="0.25">
      <c r="D1449" t="s">
        <v>166</v>
      </c>
      <c r="E1449">
        <v>42</v>
      </c>
      <c r="G1449" t="b">
        <v>0</v>
      </c>
      <c r="H1449" t="b">
        <v>0</v>
      </c>
      <c r="I1449" t="b">
        <v>0</v>
      </c>
      <c r="J1449" t="s">
        <v>335</v>
      </c>
      <c r="K1449">
        <v>45</v>
      </c>
      <c r="N1449" t="b">
        <v>0</v>
      </c>
      <c r="O1449" t="s">
        <v>166</v>
      </c>
    </row>
    <row r="1450" spans="4:15" x14ac:dyDescent="0.25">
      <c r="D1450" t="s">
        <v>165</v>
      </c>
      <c r="E1450">
        <v>43</v>
      </c>
      <c r="G1450" t="b">
        <v>0</v>
      </c>
      <c r="H1450" t="b">
        <v>0</v>
      </c>
      <c r="I1450" t="b">
        <v>0</v>
      </c>
      <c r="J1450" t="s">
        <v>335</v>
      </c>
      <c r="K1450">
        <v>45</v>
      </c>
      <c r="N1450" t="b">
        <v>0</v>
      </c>
      <c r="O1450" t="s">
        <v>165</v>
      </c>
    </row>
    <row r="1451" spans="4:15" x14ac:dyDescent="0.25">
      <c r="D1451" t="s">
        <v>164</v>
      </c>
      <c r="E1451">
        <v>44</v>
      </c>
      <c r="G1451" t="b">
        <v>0</v>
      </c>
      <c r="H1451" t="b">
        <v>0</v>
      </c>
      <c r="I1451" t="b">
        <v>0</v>
      </c>
      <c r="J1451" t="s">
        <v>335</v>
      </c>
      <c r="K1451">
        <v>45</v>
      </c>
      <c r="N1451" t="b">
        <v>0</v>
      </c>
      <c r="O1451" t="s">
        <v>164</v>
      </c>
    </row>
    <row r="1452" spans="4:15" x14ac:dyDescent="0.25">
      <c r="D1452" t="s">
        <v>163</v>
      </c>
      <c r="E1452">
        <v>45</v>
      </c>
      <c r="G1452" t="b">
        <v>0</v>
      </c>
      <c r="H1452" t="b">
        <v>0</v>
      </c>
      <c r="I1452" t="b">
        <v>0</v>
      </c>
      <c r="J1452" t="s">
        <v>335</v>
      </c>
      <c r="K1452">
        <v>45</v>
      </c>
      <c r="N1452" t="b">
        <v>0</v>
      </c>
      <c r="O1452" t="s">
        <v>163</v>
      </c>
    </row>
    <row r="1453" spans="4:15" x14ac:dyDescent="0.25">
      <c r="D1453" t="s">
        <v>162</v>
      </c>
      <c r="E1453">
        <v>46</v>
      </c>
      <c r="G1453" t="b">
        <v>0</v>
      </c>
      <c r="H1453" t="b">
        <v>0</v>
      </c>
      <c r="I1453" t="b">
        <v>0</v>
      </c>
      <c r="J1453" t="s">
        <v>335</v>
      </c>
      <c r="K1453">
        <v>45</v>
      </c>
      <c r="N1453" t="b">
        <v>0</v>
      </c>
      <c r="O1453" t="s">
        <v>162</v>
      </c>
    </row>
    <row r="1454" spans="4:15" x14ac:dyDescent="0.25">
      <c r="D1454" t="s">
        <v>161</v>
      </c>
      <c r="E1454">
        <v>47</v>
      </c>
      <c r="G1454" t="b">
        <v>0</v>
      </c>
      <c r="H1454" t="b">
        <v>0</v>
      </c>
      <c r="I1454" t="b">
        <v>0</v>
      </c>
      <c r="J1454" t="s">
        <v>335</v>
      </c>
      <c r="K1454">
        <v>45</v>
      </c>
      <c r="N1454" t="b">
        <v>0</v>
      </c>
      <c r="O1454" t="s">
        <v>161</v>
      </c>
    </row>
    <row r="1455" spans="4:15" x14ac:dyDescent="0.25">
      <c r="D1455" t="s">
        <v>160</v>
      </c>
      <c r="E1455">
        <v>48</v>
      </c>
      <c r="G1455" t="b">
        <v>0</v>
      </c>
      <c r="H1455" t="b">
        <v>0</v>
      </c>
      <c r="I1455" t="b">
        <v>0</v>
      </c>
      <c r="J1455" t="s">
        <v>335</v>
      </c>
      <c r="K1455">
        <v>45</v>
      </c>
      <c r="N1455" t="b">
        <v>0</v>
      </c>
      <c r="O1455" t="s">
        <v>160</v>
      </c>
    </row>
    <row r="1456" spans="4:15" x14ac:dyDescent="0.25">
      <c r="D1456" t="s">
        <v>159</v>
      </c>
      <c r="E1456">
        <v>49</v>
      </c>
      <c r="G1456" t="b">
        <v>0</v>
      </c>
      <c r="H1456" t="b">
        <v>0</v>
      </c>
      <c r="I1456" t="b">
        <v>0</v>
      </c>
      <c r="J1456" t="s">
        <v>335</v>
      </c>
      <c r="K1456">
        <v>45</v>
      </c>
      <c r="N1456" t="b">
        <v>0</v>
      </c>
      <c r="O1456" t="s">
        <v>159</v>
      </c>
    </row>
    <row r="1457" spans="1:15" x14ac:dyDescent="0.25">
      <c r="D1457" t="s">
        <v>114</v>
      </c>
      <c r="E1457">
        <v>50</v>
      </c>
      <c r="G1457" t="b">
        <v>0</v>
      </c>
      <c r="H1457" t="b">
        <v>0</v>
      </c>
      <c r="I1457" t="b">
        <v>0</v>
      </c>
      <c r="J1457" t="s">
        <v>336</v>
      </c>
      <c r="K1457">
        <v>65535</v>
      </c>
      <c r="N1457" t="b">
        <v>0</v>
      </c>
      <c r="O1457" t="s">
        <v>114</v>
      </c>
    </row>
    <row r="1458" spans="1:15" x14ac:dyDescent="0.25">
      <c r="D1458" t="s">
        <v>158</v>
      </c>
      <c r="E1458">
        <v>51</v>
      </c>
      <c r="G1458" t="b">
        <v>0</v>
      </c>
      <c r="H1458" t="b">
        <v>0</v>
      </c>
      <c r="I1458" t="b">
        <v>0</v>
      </c>
      <c r="J1458" t="s">
        <v>336</v>
      </c>
      <c r="K1458">
        <v>65535</v>
      </c>
      <c r="N1458" t="b">
        <v>0</v>
      </c>
      <c r="O1458" t="s">
        <v>158</v>
      </c>
    </row>
    <row r="1459" spans="1:15" x14ac:dyDescent="0.25">
      <c r="D1459" t="s">
        <v>116</v>
      </c>
      <c r="E1459">
        <v>52</v>
      </c>
      <c r="G1459" t="b">
        <v>0</v>
      </c>
      <c r="H1459" t="b">
        <v>0</v>
      </c>
      <c r="I1459" t="b">
        <v>0</v>
      </c>
      <c r="J1459" t="s">
        <v>336</v>
      </c>
      <c r="K1459">
        <v>65535</v>
      </c>
      <c r="N1459" t="b">
        <v>0</v>
      </c>
      <c r="O1459" t="s">
        <v>116</v>
      </c>
    </row>
    <row r="1460" spans="1:15" x14ac:dyDescent="0.25">
      <c r="D1460" t="s">
        <v>157</v>
      </c>
      <c r="E1460">
        <v>53</v>
      </c>
      <c r="G1460" t="b">
        <v>0</v>
      </c>
      <c r="H1460" t="b">
        <v>0</v>
      </c>
      <c r="I1460" t="b">
        <v>0</v>
      </c>
      <c r="J1460" t="s">
        <v>336</v>
      </c>
      <c r="K1460">
        <v>65535</v>
      </c>
      <c r="N1460" t="b">
        <v>0</v>
      </c>
      <c r="O1460" t="s">
        <v>157</v>
      </c>
    </row>
    <row r="1461" spans="1:15" x14ac:dyDescent="0.25">
      <c r="D1461" t="s">
        <v>156</v>
      </c>
      <c r="E1461">
        <v>54</v>
      </c>
      <c r="G1461" t="b">
        <v>0</v>
      </c>
      <c r="H1461" t="b">
        <v>0</v>
      </c>
      <c r="I1461" t="b">
        <v>0</v>
      </c>
      <c r="J1461" t="s">
        <v>336</v>
      </c>
      <c r="K1461">
        <v>65535</v>
      </c>
      <c r="N1461" t="b">
        <v>0</v>
      </c>
      <c r="O1461" t="s">
        <v>156</v>
      </c>
    </row>
    <row r="1462" spans="1:15" x14ac:dyDescent="0.25">
      <c r="D1462" t="s">
        <v>155</v>
      </c>
      <c r="E1462">
        <v>55</v>
      </c>
      <c r="G1462" t="b">
        <v>0</v>
      </c>
      <c r="H1462" t="b">
        <v>0</v>
      </c>
      <c r="I1462" t="b">
        <v>0</v>
      </c>
      <c r="J1462" t="s">
        <v>336</v>
      </c>
      <c r="K1462">
        <v>65535</v>
      </c>
      <c r="N1462" t="b">
        <v>0</v>
      </c>
      <c r="O1462" t="s">
        <v>155</v>
      </c>
    </row>
    <row r="1463" spans="1:15" x14ac:dyDescent="0.25">
      <c r="D1463" t="s">
        <v>154</v>
      </c>
      <c r="E1463">
        <v>56</v>
      </c>
      <c r="G1463" t="b">
        <v>0</v>
      </c>
      <c r="H1463" t="b">
        <v>0</v>
      </c>
      <c r="I1463" t="b">
        <v>0</v>
      </c>
      <c r="J1463" t="s">
        <v>336</v>
      </c>
      <c r="K1463">
        <v>65535</v>
      </c>
      <c r="N1463" t="b">
        <v>0</v>
      </c>
      <c r="O1463" t="s">
        <v>154</v>
      </c>
    </row>
    <row r="1464" spans="1:15" x14ac:dyDescent="0.25">
      <c r="D1464" t="s">
        <v>153</v>
      </c>
      <c r="E1464">
        <v>57</v>
      </c>
      <c r="G1464" t="b">
        <v>1</v>
      </c>
      <c r="H1464" t="b">
        <v>0</v>
      </c>
      <c r="I1464" t="b">
        <v>0</v>
      </c>
      <c r="J1464" t="s">
        <v>335</v>
      </c>
      <c r="K1464">
        <v>45</v>
      </c>
      <c r="N1464" t="b">
        <v>0</v>
      </c>
      <c r="O1464" t="s">
        <v>153</v>
      </c>
    </row>
    <row r="1465" spans="1:15" x14ac:dyDescent="0.25">
      <c r="D1465" t="s">
        <v>152</v>
      </c>
      <c r="E1465">
        <v>58</v>
      </c>
      <c r="G1465" t="b">
        <v>0</v>
      </c>
      <c r="H1465" t="b">
        <v>0</v>
      </c>
      <c r="I1465" t="b">
        <v>0</v>
      </c>
      <c r="J1465" t="s">
        <v>333</v>
      </c>
      <c r="N1465" t="b">
        <v>0</v>
      </c>
      <c r="O1465" t="s">
        <v>152</v>
      </c>
    </row>
    <row r="1466" spans="1:15" x14ac:dyDescent="0.25">
      <c r="A1466" t="s">
        <v>726</v>
      </c>
    </row>
    <row r="1467" spans="1:15" x14ac:dyDescent="0.25">
      <c r="A1467" t="s">
        <v>727</v>
      </c>
    </row>
    <row r="1468" spans="1:15" x14ac:dyDescent="0.25">
      <c r="A1468" s="412" t="s">
        <v>341</v>
      </c>
      <c r="B1468" t="s">
        <v>464</v>
      </c>
      <c r="C1468" s="412" t="s">
        <v>355</v>
      </c>
    </row>
    <row r="1469" spans="1:15" x14ac:dyDescent="0.25">
      <c r="A1469" s="412" t="s">
        <v>341</v>
      </c>
      <c r="B1469" t="s">
        <v>465</v>
      </c>
      <c r="C1469" t="b">
        <v>0</v>
      </c>
    </row>
    <row r="1470" spans="1:15" x14ac:dyDescent="0.25">
      <c r="A1470" s="412" t="s">
        <v>341</v>
      </c>
      <c r="B1470" t="s">
        <v>466</v>
      </c>
      <c r="C1470" s="412" t="s">
        <v>467</v>
      </c>
    </row>
    <row r="1471" spans="1:15" x14ac:dyDescent="0.25">
      <c r="A1471" s="412" t="s">
        <v>341</v>
      </c>
      <c r="B1471" t="s">
        <v>468</v>
      </c>
      <c r="C1471" t="b">
        <v>0</v>
      </c>
    </row>
    <row r="1472" spans="1:15" x14ac:dyDescent="0.25">
      <c r="A1472" s="412" t="s">
        <v>341</v>
      </c>
      <c r="B1472" t="s">
        <v>469</v>
      </c>
      <c r="C1472" t="b">
        <v>0</v>
      </c>
    </row>
    <row r="1473" spans="1:3" x14ac:dyDescent="0.25">
      <c r="A1473" s="412" t="s">
        <v>341</v>
      </c>
      <c r="B1473" t="s">
        <v>470</v>
      </c>
      <c r="C1473" t="b">
        <v>0</v>
      </c>
    </row>
    <row r="1474" spans="1:3" x14ac:dyDescent="0.25">
      <c r="A1474" s="412" t="s">
        <v>341</v>
      </c>
      <c r="B1474" t="s">
        <v>471</v>
      </c>
      <c r="C1474" t="b">
        <v>1</v>
      </c>
    </row>
    <row r="1475" spans="1:3" x14ac:dyDescent="0.25">
      <c r="A1475" s="412" t="s">
        <v>472</v>
      </c>
      <c r="B1475" t="s">
        <v>473</v>
      </c>
      <c r="C1475" t="b">
        <v>0</v>
      </c>
    </row>
    <row r="1476" spans="1:3" x14ac:dyDescent="0.25">
      <c r="A1476" s="412" t="s">
        <v>472</v>
      </c>
      <c r="B1476" t="s">
        <v>474</v>
      </c>
      <c r="C1476" s="412" t="s">
        <v>475</v>
      </c>
    </row>
    <row r="1477" spans="1:3" x14ac:dyDescent="0.25">
      <c r="A1477" s="412" t="s">
        <v>472</v>
      </c>
      <c r="B1477" t="s">
        <v>476</v>
      </c>
      <c r="C1477">
        <v>12.57</v>
      </c>
    </row>
    <row r="1478" spans="1:3" x14ac:dyDescent="0.25">
      <c r="A1478" s="412" t="s">
        <v>472</v>
      </c>
      <c r="B1478" t="s">
        <v>477</v>
      </c>
      <c r="C1478" s="412" t="s">
        <v>478</v>
      </c>
    </row>
    <row r="1479" spans="1:3" x14ac:dyDescent="0.25">
      <c r="A1479" s="412" t="s">
        <v>83</v>
      </c>
      <c r="B1479" t="s">
        <v>473</v>
      </c>
      <c r="C1479" t="b">
        <v>0</v>
      </c>
    </row>
    <row r="1480" spans="1:3" x14ac:dyDescent="0.25">
      <c r="A1480" s="412" t="s">
        <v>83</v>
      </c>
      <c r="B1480" t="s">
        <v>474</v>
      </c>
      <c r="C1480" s="412" t="s">
        <v>479</v>
      </c>
    </row>
    <row r="1481" spans="1:3" x14ac:dyDescent="0.25">
      <c r="A1481" s="412" t="s">
        <v>83</v>
      </c>
      <c r="B1481" t="s">
        <v>476</v>
      </c>
      <c r="C1481">
        <v>15.57</v>
      </c>
    </row>
    <row r="1482" spans="1:3" x14ac:dyDescent="0.25">
      <c r="A1482" s="412" t="s">
        <v>83</v>
      </c>
      <c r="B1482" t="s">
        <v>477</v>
      </c>
      <c r="C1482" s="412" t="s">
        <v>480</v>
      </c>
    </row>
    <row r="1483" spans="1:3" x14ac:dyDescent="0.25">
      <c r="A1483" s="412" t="s">
        <v>200</v>
      </c>
      <c r="B1483" t="s">
        <v>473</v>
      </c>
      <c r="C1483" t="b">
        <v>0</v>
      </c>
    </row>
    <row r="1484" spans="1:3" x14ac:dyDescent="0.25">
      <c r="A1484" s="412" t="s">
        <v>200</v>
      </c>
      <c r="B1484" t="s">
        <v>474</v>
      </c>
      <c r="C1484" s="412" t="s">
        <v>490</v>
      </c>
    </row>
    <row r="1485" spans="1:3" x14ac:dyDescent="0.25">
      <c r="A1485" s="412" t="s">
        <v>200</v>
      </c>
      <c r="B1485" t="s">
        <v>476</v>
      </c>
      <c r="C1485">
        <v>9.57</v>
      </c>
    </row>
    <row r="1486" spans="1:3" x14ac:dyDescent="0.25">
      <c r="A1486" s="412" t="s">
        <v>200</v>
      </c>
      <c r="B1486" t="s">
        <v>477</v>
      </c>
      <c r="C1486" s="412" t="s">
        <v>478</v>
      </c>
    </row>
    <row r="1487" spans="1:3" x14ac:dyDescent="0.25">
      <c r="A1487" s="412" t="s">
        <v>82</v>
      </c>
      <c r="B1487" t="s">
        <v>473</v>
      </c>
      <c r="C1487" t="b">
        <v>0</v>
      </c>
    </row>
    <row r="1488" spans="1:3" x14ac:dyDescent="0.25">
      <c r="A1488" s="412" t="s">
        <v>82</v>
      </c>
      <c r="B1488" t="s">
        <v>474</v>
      </c>
      <c r="C1488" s="412" t="s">
        <v>494</v>
      </c>
    </row>
    <row r="1489" spans="1:3" x14ac:dyDescent="0.25">
      <c r="A1489" s="412" t="s">
        <v>82</v>
      </c>
      <c r="B1489" t="s">
        <v>476</v>
      </c>
      <c r="C1489">
        <v>15.57</v>
      </c>
    </row>
    <row r="1490" spans="1:3" x14ac:dyDescent="0.25">
      <c r="A1490" s="412" t="s">
        <v>82</v>
      </c>
      <c r="B1490" t="s">
        <v>477</v>
      </c>
      <c r="C1490" s="412" t="s">
        <v>478</v>
      </c>
    </row>
    <row r="1491" spans="1:3" x14ac:dyDescent="0.25">
      <c r="A1491" s="412" t="s">
        <v>78</v>
      </c>
      <c r="B1491" t="s">
        <v>473</v>
      </c>
      <c r="C1491" t="b">
        <v>0</v>
      </c>
    </row>
    <row r="1492" spans="1:3" x14ac:dyDescent="0.25">
      <c r="A1492" s="412" t="s">
        <v>78</v>
      </c>
      <c r="B1492" t="s">
        <v>474</v>
      </c>
      <c r="C1492" s="412" t="s">
        <v>496</v>
      </c>
    </row>
    <row r="1493" spans="1:3" x14ac:dyDescent="0.25">
      <c r="A1493" s="412" t="s">
        <v>78</v>
      </c>
      <c r="B1493" t="s">
        <v>476</v>
      </c>
      <c r="C1493">
        <v>18.29</v>
      </c>
    </row>
    <row r="1494" spans="1:3" x14ac:dyDescent="0.25">
      <c r="A1494" s="412" t="s">
        <v>78</v>
      </c>
      <c r="B1494" t="s">
        <v>477</v>
      </c>
      <c r="C1494" s="412" t="s">
        <v>478</v>
      </c>
    </row>
    <row r="1495" spans="1:3" x14ac:dyDescent="0.25">
      <c r="A1495" s="412" t="s">
        <v>75</v>
      </c>
      <c r="B1495" t="s">
        <v>473</v>
      </c>
      <c r="C1495" t="b">
        <v>0</v>
      </c>
    </row>
    <row r="1496" spans="1:3" x14ac:dyDescent="0.25">
      <c r="A1496" s="412" t="s">
        <v>75</v>
      </c>
      <c r="B1496" t="s">
        <v>474</v>
      </c>
      <c r="C1496" s="412" t="s">
        <v>497</v>
      </c>
    </row>
    <row r="1497" spans="1:3" x14ac:dyDescent="0.25">
      <c r="A1497" s="412" t="s">
        <v>75</v>
      </c>
      <c r="B1497" t="s">
        <v>476</v>
      </c>
      <c r="C1497">
        <v>7.57</v>
      </c>
    </row>
    <row r="1498" spans="1:3" x14ac:dyDescent="0.25">
      <c r="A1498" s="412" t="s">
        <v>75</v>
      </c>
      <c r="B1498" t="s">
        <v>477</v>
      </c>
      <c r="C1498" s="412" t="s">
        <v>478</v>
      </c>
    </row>
    <row r="1499" spans="1:3" x14ac:dyDescent="0.25">
      <c r="A1499" s="412" t="s">
        <v>199</v>
      </c>
      <c r="B1499" t="s">
        <v>473</v>
      </c>
      <c r="C1499" t="b">
        <v>0</v>
      </c>
    </row>
    <row r="1500" spans="1:3" x14ac:dyDescent="0.25">
      <c r="A1500" s="412" t="s">
        <v>199</v>
      </c>
      <c r="B1500" t="s">
        <v>474</v>
      </c>
      <c r="C1500" s="412" t="s">
        <v>498</v>
      </c>
    </row>
    <row r="1501" spans="1:3" x14ac:dyDescent="0.25">
      <c r="A1501" s="412" t="s">
        <v>199</v>
      </c>
      <c r="B1501" t="s">
        <v>476</v>
      </c>
      <c r="C1501">
        <v>10.29</v>
      </c>
    </row>
    <row r="1502" spans="1:3" x14ac:dyDescent="0.25">
      <c r="A1502" s="412" t="s">
        <v>199</v>
      </c>
      <c r="B1502" t="s">
        <v>477</v>
      </c>
      <c r="C1502" s="412" t="s">
        <v>478</v>
      </c>
    </row>
    <row r="1503" spans="1:3" x14ac:dyDescent="0.25">
      <c r="A1503" s="412" t="s">
        <v>198</v>
      </c>
      <c r="B1503" t="s">
        <v>473</v>
      </c>
      <c r="C1503" t="b">
        <v>0</v>
      </c>
    </row>
    <row r="1504" spans="1:3" x14ac:dyDescent="0.25">
      <c r="A1504" s="412" t="s">
        <v>198</v>
      </c>
      <c r="B1504" t="s">
        <v>474</v>
      </c>
      <c r="C1504" s="412" t="s">
        <v>499</v>
      </c>
    </row>
    <row r="1505" spans="1:3" x14ac:dyDescent="0.25">
      <c r="A1505" s="412" t="s">
        <v>198</v>
      </c>
      <c r="B1505" t="s">
        <v>476</v>
      </c>
      <c r="C1505">
        <v>16.57</v>
      </c>
    </row>
    <row r="1506" spans="1:3" x14ac:dyDescent="0.25">
      <c r="A1506" s="412" t="s">
        <v>198</v>
      </c>
      <c r="B1506" t="s">
        <v>477</v>
      </c>
      <c r="C1506" s="412" t="s">
        <v>478</v>
      </c>
    </row>
    <row r="1507" spans="1:3" x14ac:dyDescent="0.25">
      <c r="A1507" s="412" t="s">
        <v>76</v>
      </c>
      <c r="B1507" t="s">
        <v>473</v>
      </c>
      <c r="C1507" t="b">
        <v>0</v>
      </c>
    </row>
    <row r="1508" spans="1:3" x14ac:dyDescent="0.25">
      <c r="A1508" s="412" t="s">
        <v>76</v>
      </c>
      <c r="B1508" t="s">
        <v>474</v>
      </c>
      <c r="C1508" s="412" t="s">
        <v>500</v>
      </c>
    </row>
    <row r="1509" spans="1:3" x14ac:dyDescent="0.25">
      <c r="A1509" s="412" t="s">
        <v>76</v>
      </c>
      <c r="B1509" t="s">
        <v>476</v>
      </c>
      <c r="C1509">
        <v>6.71</v>
      </c>
    </row>
    <row r="1510" spans="1:3" x14ac:dyDescent="0.25">
      <c r="A1510" s="412" t="s">
        <v>76</v>
      </c>
      <c r="B1510" t="s">
        <v>477</v>
      </c>
      <c r="C1510" s="412" t="s">
        <v>478</v>
      </c>
    </row>
    <row r="1511" spans="1:3" x14ac:dyDescent="0.25">
      <c r="A1511" s="412" t="s">
        <v>71</v>
      </c>
      <c r="B1511" t="s">
        <v>473</v>
      </c>
      <c r="C1511" t="b">
        <v>0</v>
      </c>
    </row>
    <row r="1512" spans="1:3" x14ac:dyDescent="0.25">
      <c r="A1512" s="412" t="s">
        <v>71</v>
      </c>
      <c r="B1512" t="s">
        <v>474</v>
      </c>
      <c r="C1512" s="412" t="s">
        <v>501</v>
      </c>
    </row>
    <row r="1513" spans="1:3" x14ac:dyDescent="0.25">
      <c r="A1513" s="412" t="s">
        <v>71</v>
      </c>
      <c r="B1513" t="s">
        <v>476</v>
      </c>
      <c r="C1513">
        <v>10.71</v>
      </c>
    </row>
    <row r="1514" spans="1:3" x14ac:dyDescent="0.25">
      <c r="A1514" s="412" t="s">
        <v>71</v>
      </c>
      <c r="B1514" t="s">
        <v>477</v>
      </c>
      <c r="C1514" s="412" t="s">
        <v>478</v>
      </c>
    </row>
    <row r="1515" spans="1:3" x14ac:dyDescent="0.25">
      <c r="A1515" s="412" t="s">
        <v>197</v>
      </c>
      <c r="B1515" t="s">
        <v>473</v>
      </c>
      <c r="C1515" t="b">
        <v>0</v>
      </c>
    </row>
    <row r="1516" spans="1:3" x14ac:dyDescent="0.25">
      <c r="A1516" s="412" t="s">
        <v>197</v>
      </c>
      <c r="B1516" t="s">
        <v>474</v>
      </c>
      <c r="C1516" s="412" t="s">
        <v>502</v>
      </c>
    </row>
    <row r="1517" spans="1:3" x14ac:dyDescent="0.25">
      <c r="A1517" s="412" t="s">
        <v>197</v>
      </c>
      <c r="B1517" t="s">
        <v>476</v>
      </c>
      <c r="C1517">
        <v>18</v>
      </c>
    </row>
    <row r="1518" spans="1:3" x14ac:dyDescent="0.25">
      <c r="A1518" s="412" t="s">
        <v>197</v>
      </c>
      <c r="B1518" t="s">
        <v>477</v>
      </c>
      <c r="C1518" s="412" t="s">
        <v>478</v>
      </c>
    </row>
    <row r="1519" spans="1:3" x14ac:dyDescent="0.25">
      <c r="A1519" s="412" t="s">
        <v>196</v>
      </c>
      <c r="B1519" t="s">
        <v>473</v>
      </c>
      <c r="C1519" t="b">
        <v>0</v>
      </c>
    </row>
    <row r="1520" spans="1:3" x14ac:dyDescent="0.25">
      <c r="A1520" s="412" t="s">
        <v>196</v>
      </c>
      <c r="B1520" t="s">
        <v>474</v>
      </c>
      <c r="C1520" s="412" t="s">
        <v>503</v>
      </c>
    </row>
    <row r="1521" spans="1:3" x14ac:dyDescent="0.25">
      <c r="A1521" s="412" t="s">
        <v>196</v>
      </c>
      <c r="B1521" t="s">
        <v>476</v>
      </c>
      <c r="C1521">
        <v>12.86</v>
      </c>
    </row>
    <row r="1522" spans="1:3" x14ac:dyDescent="0.25">
      <c r="A1522" s="412" t="s">
        <v>196</v>
      </c>
      <c r="B1522" t="s">
        <v>477</v>
      </c>
      <c r="C1522" s="412" t="s">
        <v>478</v>
      </c>
    </row>
    <row r="1523" spans="1:3" x14ac:dyDescent="0.25">
      <c r="A1523" s="412" t="s">
        <v>195</v>
      </c>
      <c r="B1523" t="s">
        <v>473</v>
      </c>
      <c r="C1523" t="b">
        <v>0</v>
      </c>
    </row>
    <row r="1524" spans="1:3" x14ac:dyDescent="0.25">
      <c r="A1524" s="412" t="s">
        <v>195</v>
      </c>
      <c r="B1524" t="s">
        <v>474</v>
      </c>
      <c r="C1524" s="412" t="s">
        <v>504</v>
      </c>
    </row>
    <row r="1525" spans="1:3" x14ac:dyDescent="0.25">
      <c r="A1525" s="412" t="s">
        <v>195</v>
      </c>
      <c r="B1525" t="s">
        <v>476</v>
      </c>
      <c r="C1525">
        <v>11.86</v>
      </c>
    </row>
    <row r="1526" spans="1:3" x14ac:dyDescent="0.25">
      <c r="A1526" s="412" t="s">
        <v>195</v>
      </c>
      <c r="B1526" t="s">
        <v>477</v>
      </c>
      <c r="C1526" s="412" t="s">
        <v>478</v>
      </c>
    </row>
    <row r="1527" spans="1:3" x14ac:dyDescent="0.25">
      <c r="A1527" s="412" t="s">
        <v>70</v>
      </c>
      <c r="B1527" t="s">
        <v>473</v>
      </c>
      <c r="C1527" t="b">
        <v>0</v>
      </c>
    </row>
    <row r="1528" spans="1:3" x14ac:dyDescent="0.25">
      <c r="A1528" s="412" t="s">
        <v>70</v>
      </c>
      <c r="B1528" t="s">
        <v>474</v>
      </c>
      <c r="C1528" s="412" t="s">
        <v>505</v>
      </c>
    </row>
    <row r="1529" spans="1:3" x14ac:dyDescent="0.25">
      <c r="A1529" s="412" t="s">
        <v>70</v>
      </c>
      <c r="B1529" t="s">
        <v>476</v>
      </c>
      <c r="C1529">
        <v>9.57</v>
      </c>
    </row>
    <row r="1530" spans="1:3" x14ac:dyDescent="0.25">
      <c r="A1530" s="412" t="s">
        <v>70</v>
      </c>
      <c r="B1530" t="s">
        <v>477</v>
      </c>
      <c r="C1530" s="412" t="s">
        <v>478</v>
      </c>
    </row>
    <row r="1531" spans="1:3" x14ac:dyDescent="0.25">
      <c r="A1531" s="412" t="s">
        <v>194</v>
      </c>
      <c r="B1531" t="s">
        <v>473</v>
      </c>
      <c r="C1531" t="b">
        <v>0</v>
      </c>
    </row>
    <row r="1532" spans="1:3" x14ac:dyDescent="0.25">
      <c r="A1532" s="412" t="s">
        <v>194</v>
      </c>
      <c r="B1532" t="s">
        <v>474</v>
      </c>
      <c r="C1532" s="412" t="s">
        <v>506</v>
      </c>
    </row>
    <row r="1533" spans="1:3" x14ac:dyDescent="0.25">
      <c r="A1533" s="412" t="s">
        <v>194</v>
      </c>
      <c r="B1533" t="s">
        <v>476</v>
      </c>
      <c r="C1533">
        <v>8</v>
      </c>
    </row>
    <row r="1534" spans="1:3" x14ac:dyDescent="0.25">
      <c r="A1534" s="412" t="s">
        <v>194</v>
      </c>
      <c r="B1534" t="s">
        <v>477</v>
      </c>
      <c r="C1534" s="412" t="s">
        <v>478</v>
      </c>
    </row>
    <row r="1535" spans="1:3" x14ac:dyDescent="0.25">
      <c r="A1535" s="412" t="s">
        <v>193</v>
      </c>
      <c r="B1535" t="s">
        <v>473</v>
      </c>
      <c r="C1535" t="b">
        <v>0</v>
      </c>
    </row>
    <row r="1536" spans="1:3" x14ac:dyDescent="0.25">
      <c r="A1536" s="412" t="s">
        <v>193</v>
      </c>
      <c r="B1536" t="s">
        <v>474</v>
      </c>
      <c r="C1536" s="412" t="s">
        <v>507</v>
      </c>
    </row>
    <row r="1537" spans="1:3" x14ac:dyDescent="0.25">
      <c r="A1537" s="412" t="s">
        <v>193</v>
      </c>
      <c r="B1537" t="s">
        <v>476</v>
      </c>
      <c r="C1537">
        <v>6</v>
      </c>
    </row>
    <row r="1538" spans="1:3" x14ac:dyDescent="0.25">
      <c r="A1538" s="412" t="s">
        <v>193</v>
      </c>
      <c r="B1538" t="s">
        <v>477</v>
      </c>
      <c r="C1538" s="412" t="s">
        <v>478</v>
      </c>
    </row>
    <row r="1539" spans="1:3" x14ac:dyDescent="0.25">
      <c r="A1539" s="412" t="s">
        <v>192</v>
      </c>
      <c r="B1539" t="s">
        <v>473</v>
      </c>
      <c r="C1539" t="b">
        <v>0</v>
      </c>
    </row>
    <row r="1540" spans="1:3" x14ac:dyDescent="0.25">
      <c r="A1540" s="412" t="s">
        <v>192</v>
      </c>
      <c r="B1540" t="s">
        <v>474</v>
      </c>
      <c r="C1540" s="412" t="s">
        <v>508</v>
      </c>
    </row>
    <row r="1541" spans="1:3" x14ac:dyDescent="0.25">
      <c r="A1541" s="412" t="s">
        <v>192</v>
      </c>
      <c r="B1541" t="s">
        <v>476</v>
      </c>
      <c r="C1541">
        <v>17.14</v>
      </c>
    </row>
    <row r="1542" spans="1:3" x14ac:dyDescent="0.25">
      <c r="A1542" s="412" t="s">
        <v>192</v>
      </c>
      <c r="B1542" t="s">
        <v>477</v>
      </c>
      <c r="C1542" s="412" t="s">
        <v>478</v>
      </c>
    </row>
    <row r="1543" spans="1:3" x14ac:dyDescent="0.25">
      <c r="A1543" s="412" t="s">
        <v>191</v>
      </c>
      <c r="B1543" t="s">
        <v>473</v>
      </c>
      <c r="C1543" t="b">
        <v>0</v>
      </c>
    </row>
    <row r="1544" spans="1:3" x14ac:dyDescent="0.25">
      <c r="A1544" s="412" t="s">
        <v>191</v>
      </c>
      <c r="B1544" t="s">
        <v>474</v>
      </c>
      <c r="C1544" s="412" t="s">
        <v>509</v>
      </c>
    </row>
    <row r="1545" spans="1:3" x14ac:dyDescent="0.25">
      <c r="A1545" s="412" t="s">
        <v>191</v>
      </c>
      <c r="B1545" t="s">
        <v>476</v>
      </c>
      <c r="C1545">
        <v>12.14</v>
      </c>
    </row>
    <row r="1546" spans="1:3" x14ac:dyDescent="0.25">
      <c r="A1546" s="412" t="s">
        <v>191</v>
      </c>
      <c r="B1546" t="s">
        <v>477</v>
      </c>
      <c r="C1546" s="412" t="s">
        <v>478</v>
      </c>
    </row>
    <row r="1547" spans="1:3" x14ac:dyDescent="0.25">
      <c r="A1547" s="412" t="s">
        <v>190</v>
      </c>
      <c r="B1547" t="s">
        <v>473</v>
      </c>
      <c r="C1547" t="b">
        <v>0</v>
      </c>
    </row>
    <row r="1548" spans="1:3" x14ac:dyDescent="0.25">
      <c r="A1548" s="412" t="s">
        <v>190</v>
      </c>
      <c r="B1548" t="s">
        <v>474</v>
      </c>
      <c r="C1548" s="412" t="s">
        <v>510</v>
      </c>
    </row>
    <row r="1549" spans="1:3" x14ac:dyDescent="0.25">
      <c r="A1549" s="412" t="s">
        <v>190</v>
      </c>
      <c r="B1549" t="s">
        <v>476</v>
      </c>
      <c r="C1549">
        <v>12.14</v>
      </c>
    </row>
    <row r="1550" spans="1:3" x14ac:dyDescent="0.25">
      <c r="A1550" s="412" t="s">
        <v>190</v>
      </c>
      <c r="B1550" t="s">
        <v>477</v>
      </c>
      <c r="C1550" s="412" t="s">
        <v>478</v>
      </c>
    </row>
    <row r="1551" spans="1:3" x14ac:dyDescent="0.25">
      <c r="A1551" s="412" t="s">
        <v>189</v>
      </c>
      <c r="B1551" t="s">
        <v>473</v>
      </c>
      <c r="C1551" t="b">
        <v>0</v>
      </c>
    </row>
    <row r="1552" spans="1:3" x14ac:dyDescent="0.25">
      <c r="A1552" s="412" t="s">
        <v>189</v>
      </c>
      <c r="B1552" t="s">
        <v>474</v>
      </c>
      <c r="C1552" s="412" t="s">
        <v>511</v>
      </c>
    </row>
    <row r="1553" spans="1:3" x14ac:dyDescent="0.25">
      <c r="A1553" s="412" t="s">
        <v>189</v>
      </c>
      <c r="B1553" t="s">
        <v>476</v>
      </c>
      <c r="C1553">
        <v>12.14</v>
      </c>
    </row>
    <row r="1554" spans="1:3" x14ac:dyDescent="0.25">
      <c r="A1554" s="412" t="s">
        <v>189</v>
      </c>
      <c r="B1554" t="s">
        <v>477</v>
      </c>
      <c r="C1554" s="412" t="s">
        <v>478</v>
      </c>
    </row>
    <row r="1555" spans="1:3" x14ac:dyDescent="0.25">
      <c r="A1555" s="412" t="s">
        <v>188</v>
      </c>
      <c r="B1555" t="s">
        <v>473</v>
      </c>
      <c r="C1555" t="b">
        <v>0</v>
      </c>
    </row>
    <row r="1556" spans="1:3" x14ac:dyDescent="0.25">
      <c r="A1556" s="412" t="s">
        <v>188</v>
      </c>
      <c r="B1556" t="s">
        <v>474</v>
      </c>
      <c r="C1556" s="412" t="s">
        <v>512</v>
      </c>
    </row>
    <row r="1557" spans="1:3" x14ac:dyDescent="0.25">
      <c r="A1557" s="412" t="s">
        <v>188</v>
      </c>
      <c r="B1557" t="s">
        <v>476</v>
      </c>
      <c r="C1557">
        <v>12.14</v>
      </c>
    </row>
    <row r="1558" spans="1:3" x14ac:dyDescent="0.25">
      <c r="A1558" s="412" t="s">
        <v>188</v>
      </c>
      <c r="B1558" t="s">
        <v>477</v>
      </c>
      <c r="C1558" s="412" t="s">
        <v>478</v>
      </c>
    </row>
    <row r="1559" spans="1:3" x14ac:dyDescent="0.25">
      <c r="A1559" s="412" t="s">
        <v>187</v>
      </c>
      <c r="B1559" t="s">
        <v>473</v>
      </c>
      <c r="C1559" t="b">
        <v>0</v>
      </c>
    </row>
    <row r="1560" spans="1:3" x14ac:dyDescent="0.25">
      <c r="A1560" s="412" t="s">
        <v>187</v>
      </c>
      <c r="B1560" t="s">
        <v>474</v>
      </c>
      <c r="C1560" s="412" t="s">
        <v>513</v>
      </c>
    </row>
    <row r="1561" spans="1:3" x14ac:dyDescent="0.25">
      <c r="A1561" s="412" t="s">
        <v>187</v>
      </c>
      <c r="B1561" t="s">
        <v>476</v>
      </c>
      <c r="C1561">
        <v>12.14</v>
      </c>
    </row>
    <row r="1562" spans="1:3" x14ac:dyDescent="0.25">
      <c r="A1562" s="412" t="s">
        <v>187</v>
      </c>
      <c r="B1562" t="s">
        <v>477</v>
      </c>
      <c r="C1562" s="412" t="s">
        <v>478</v>
      </c>
    </row>
    <row r="1563" spans="1:3" x14ac:dyDescent="0.25">
      <c r="A1563" s="412" t="s">
        <v>186</v>
      </c>
      <c r="B1563" t="s">
        <v>473</v>
      </c>
      <c r="C1563" t="b">
        <v>0</v>
      </c>
    </row>
    <row r="1564" spans="1:3" x14ac:dyDescent="0.25">
      <c r="A1564" s="412" t="s">
        <v>186</v>
      </c>
      <c r="B1564" t="s">
        <v>474</v>
      </c>
      <c r="C1564" s="412" t="s">
        <v>514</v>
      </c>
    </row>
    <row r="1565" spans="1:3" x14ac:dyDescent="0.25">
      <c r="A1565" s="412" t="s">
        <v>186</v>
      </c>
      <c r="B1565" t="s">
        <v>476</v>
      </c>
      <c r="C1565">
        <v>12.14</v>
      </c>
    </row>
    <row r="1566" spans="1:3" x14ac:dyDescent="0.25">
      <c r="A1566" s="412" t="s">
        <v>186</v>
      </c>
      <c r="B1566" t="s">
        <v>477</v>
      </c>
      <c r="C1566" s="412" t="s">
        <v>478</v>
      </c>
    </row>
    <row r="1567" spans="1:3" x14ac:dyDescent="0.25">
      <c r="A1567" s="412" t="s">
        <v>185</v>
      </c>
      <c r="B1567" t="s">
        <v>473</v>
      </c>
      <c r="C1567" t="b">
        <v>0</v>
      </c>
    </row>
    <row r="1568" spans="1:3" x14ac:dyDescent="0.25">
      <c r="A1568" s="412" t="s">
        <v>185</v>
      </c>
      <c r="B1568" t="s">
        <v>474</v>
      </c>
      <c r="C1568" s="412" t="s">
        <v>515</v>
      </c>
    </row>
    <row r="1569" spans="1:3" x14ac:dyDescent="0.25">
      <c r="A1569" s="412" t="s">
        <v>185</v>
      </c>
      <c r="B1569" t="s">
        <v>476</v>
      </c>
      <c r="C1569">
        <v>12.14</v>
      </c>
    </row>
    <row r="1570" spans="1:3" x14ac:dyDescent="0.25">
      <c r="A1570" s="412" t="s">
        <v>185</v>
      </c>
      <c r="B1570" t="s">
        <v>477</v>
      </c>
      <c r="C1570" s="412" t="s">
        <v>478</v>
      </c>
    </row>
    <row r="1571" spans="1:3" x14ac:dyDescent="0.25">
      <c r="A1571" s="412" t="s">
        <v>184</v>
      </c>
      <c r="B1571" t="s">
        <v>473</v>
      </c>
      <c r="C1571" t="b">
        <v>0</v>
      </c>
    </row>
    <row r="1572" spans="1:3" x14ac:dyDescent="0.25">
      <c r="A1572" s="412" t="s">
        <v>184</v>
      </c>
      <c r="B1572" t="s">
        <v>474</v>
      </c>
      <c r="C1572" s="412" t="s">
        <v>516</v>
      </c>
    </row>
    <row r="1573" spans="1:3" x14ac:dyDescent="0.25">
      <c r="A1573" s="412" t="s">
        <v>184</v>
      </c>
      <c r="B1573" t="s">
        <v>476</v>
      </c>
      <c r="C1573">
        <v>24.14</v>
      </c>
    </row>
    <row r="1574" spans="1:3" x14ac:dyDescent="0.25">
      <c r="A1574" s="412" t="s">
        <v>184</v>
      </c>
      <c r="B1574" t="s">
        <v>477</v>
      </c>
      <c r="C1574" s="412" t="s">
        <v>478</v>
      </c>
    </row>
    <row r="1575" spans="1:3" x14ac:dyDescent="0.25">
      <c r="A1575" s="412" t="s">
        <v>183</v>
      </c>
      <c r="B1575" t="s">
        <v>473</v>
      </c>
      <c r="C1575" t="b">
        <v>0</v>
      </c>
    </row>
    <row r="1576" spans="1:3" x14ac:dyDescent="0.25">
      <c r="A1576" s="412" t="s">
        <v>183</v>
      </c>
      <c r="B1576" t="s">
        <v>474</v>
      </c>
      <c r="C1576" s="412" t="s">
        <v>517</v>
      </c>
    </row>
    <row r="1577" spans="1:3" x14ac:dyDescent="0.25">
      <c r="A1577" s="412" t="s">
        <v>183</v>
      </c>
      <c r="B1577" t="s">
        <v>476</v>
      </c>
      <c r="C1577">
        <v>24.14</v>
      </c>
    </row>
    <row r="1578" spans="1:3" x14ac:dyDescent="0.25">
      <c r="A1578" s="412" t="s">
        <v>183</v>
      </c>
      <c r="B1578" t="s">
        <v>477</v>
      </c>
      <c r="C1578" s="412" t="s">
        <v>478</v>
      </c>
    </row>
    <row r="1579" spans="1:3" x14ac:dyDescent="0.25">
      <c r="A1579" s="412" t="s">
        <v>182</v>
      </c>
      <c r="B1579" t="s">
        <v>473</v>
      </c>
      <c r="C1579" t="b">
        <v>0</v>
      </c>
    </row>
    <row r="1580" spans="1:3" x14ac:dyDescent="0.25">
      <c r="A1580" s="412" t="s">
        <v>182</v>
      </c>
      <c r="B1580" t="s">
        <v>474</v>
      </c>
      <c r="C1580" s="412" t="s">
        <v>518</v>
      </c>
    </row>
    <row r="1581" spans="1:3" x14ac:dyDescent="0.25">
      <c r="A1581" s="412" t="s">
        <v>182</v>
      </c>
      <c r="B1581" t="s">
        <v>476</v>
      </c>
      <c r="C1581">
        <v>13.86</v>
      </c>
    </row>
    <row r="1582" spans="1:3" x14ac:dyDescent="0.25">
      <c r="A1582" s="412" t="s">
        <v>182</v>
      </c>
      <c r="B1582" t="s">
        <v>477</v>
      </c>
      <c r="C1582" s="412" t="s">
        <v>478</v>
      </c>
    </row>
    <row r="1583" spans="1:3" x14ac:dyDescent="0.25">
      <c r="A1583" s="412" t="s">
        <v>181</v>
      </c>
      <c r="B1583" t="s">
        <v>473</v>
      </c>
      <c r="C1583" t="b">
        <v>0</v>
      </c>
    </row>
    <row r="1584" spans="1:3" x14ac:dyDescent="0.25">
      <c r="A1584" s="412" t="s">
        <v>181</v>
      </c>
      <c r="B1584" t="s">
        <v>474</v>
      </c>
      <c r="C1584" s="412" t="s">
        <v>519</v>
      </c>
    </row>
    <row r="1585" spans="1:3" x14ac:dyDescent="0.25">
      <c r="A1585" s="412" t="s">
        <v>181</v>
      </c>
      <c r="B1585" t="s">
        <v>476</v>
      </c>
      <c r="C1585">
        <v>13.86</v>
      </c>
    </row>
    <row r="1586" spans="1:3" x14ac:dyDescent="0.25">
      <c r="A1586" s="412" t="s">
        <v>181</v>
      </c>
      <c r="B1586" t="s">
        <v>477</v>
      </c>
      <c r="C1586" s="412" t="s">
        <v>478</v>
      </c>
    </row>
    <row r="1587" spans="1:3" x14ac:dyDescent="0.25">
      <c r="A1587" s="412" t="s">
        <v>180</v>
      </c>
      <c r="B1587" t="s">
        <v>473</v>
      </c>
      <c r="C1587" t="b">
        <v>0</v>
      </c>
    </row>
    <row r="1588" spans="1:3" x14ac:dyDescent="0.25">
      <c r="A1588" s="412" t="s">
        <v>180</v>
      </c>
      <c r="B1588" t="s">
        <v>474</v>
      </c>
      <c r="C1588" s="412" t="s">
        <v>520</v>
      </c>
    </row>
    <row r="1589" spans="1:3" x14ac:dyDescent="0.25">
      <c r="A1589" s="412" t="s">
        <v>180</v>
      </c>
      <c r="B1589" t="s">
        <v>476</v>
      </c>
      <c r="C1589">
        <v>13.86</v>
      </c>
    </row>
    <row r="1590" spans="1:3" x14ac:dyDescent="0.25">
      <c r="A1590" s="412" t="s">
        <v>180</v>
      </c>
      <c r="B1590" t="s">
        <v>477</v>
      </c>
      <c r="C1590" s="412" t="s">
        <v>478</v>
      </c>
    </row>
    <row r="1591" spans="1:3" x14ac:dyDescent="0.25">
      <c r="A1591" s="412" t="s">
        <v>179</v>
      </c>
      <c r="B1591" t="s">
        <v>473</v>
      </c>
      <c r="C1591" t="b">
        <v>0</v>
      </c>
    </row>
    <row r="1592" spans="1:3" x14ac:dyDescent="0.25">
      <c r="A1592" s="412" t="s">
        <v>179</v>
      </c>
      <c r="B1592" t="s">
        <v>474</v>
      </c>
      <c r="C1592" s="412" t="s">
        <v>588</v>
      </c>
    </row>
    <row r="1593" spans="1:3" x14ac:dyDescent="0.25">
      <c r="A1593" s="412" t="s">
        <v>179</v>
      </c>
      <c r="B1593" t="s">
        <v>476</v>
      </c>
      <c r="C1593">
        <v>13.86</v>
      </c>
    </row>
    <row r="1594" spans="1:3" x14ac:dyDescent="0.25">
      <c r="A1594" s="412" t="s">
        <v>179</v>
      </c>
      <c r="B1594" t="s">
        <v>477</v>
      </c>
      <c r="C1594" s="412" t="s">
        <v>478</v>
      </c>
    </row>
    <row r="1595" spans="1:3" x14ac:dyDescent="0.25">
      <c r="A1595" s="412" t="s">
        <v>178</v>
      </c>
      <c r="B1595" t="s">
        <v>473</v>
      </c>
      <c r="C1595" t="b">
        <v>0</v>
      </c>
    </row>
    <row r="1596" spans="1:3" x14ac:dyDescent="0.25">
      <c r="A1596" s="412" t="s">
        <v>178</v>
      </c>
      <c r="B1596" t="s">
        <v>474</v>
      </c>
      <c r="C1596" s="412" t="s">
        <v>589</v>
      </c>
    </row>
    <row r="1597" spans="1:3" x14ac:dyDescent="0.25">
      <c r="A1597" s="412" t="s">
        <v>178</v>
      </c>
      <c r="B1597" t="s">
        <v>476</v>
      </c>
      <c r="C1597">
        <v>13.86</v>
      </c>
    </row>
    <row r="1598" spans="1:3" x14ac:dyDescent="0.25">
      <c r="A1598" s="412" t="s">
        <v>178</v>
      </c>
      <c r="B1598" t="s">
        <v>477</v>
      </c>
      <c r="C1598" s="412" t="s">
        <v>478</v>
      </c>
    </row>
    <row r="1599" spans="1:3" x14ac:dyDescent="0.25">
      <c r="A1599" s="412" t="s">
        <v>177</v>
      </c>
      <c r="B1599" t="s">
        <v>473</v>
      </c>
      <c r="C1599" t="b">
        <v>0</v>
      </c>
    </row>
    <row r="1600" spans="1:3" x14ac:dyDescent="0.25">
      <c r="A1600" s="412" t="s">
        <v>177</v>
      </c>
      <c r="B1600" t="s">
        <v>474</v>
      </c>
      <c r="C1600" s="412" t="s">
        <v>590</v>
      </c>
    </row>
    <row r="1601" spans="1:3" x14ac:dyDescent="0.25">
      <c r="A1601" s="412" t="s">
        <v>177</v>
      </c>
      <c r="B1601" t="s">
        <v>476</v>
      </c>
      <c r="C1601">
        <v>13.86</v>
      </c>
    </row>
    <row r="1602" spans="1:3" x14ac:dyDescent="0.25">
      <c r="A1602" s="412" t="s">
        <v>177</v>
      </c>
      <c r="B1602" t="s">
        <v>477</v>
      </c>
      <c r="C1602" s="412" t="s">
        <v>478</v>
      </c>
    </row>
    <row r="1603" spans="1:3" x14ac:dyDescent="0.25">
      <c r="A1603" s="412" t="s">
        <v>176</v>
      </c>
      <c r="B1603" t="s">
        <v>473</v>
      </c>
      <c r="C1603" t="b">
        <v>0</v>
      </c>
    </row>
    <row r="1604" spans="1:3" x14ac:dyDescent="0.25">
      <c r="A1604" s="412" t="s">
        <v>176</v>
      </c>
      <c r="B1604" t="s">
        <v>474</v>
      </c>
      <c r="C1604" s="412" t="s">
        <v>591</v>
      </c>
    </row>
    <row r="1605" spans="1:3" x14ac:dyDescent="0.25">
      <c r="A1605" s="412" t="s">
        <v>176</v>
      </c>
      <c r="B1605" t="s">
        <v>476</v>
      </c>
      <c r="C1605">
        <v>13.86</v>
      </c>
    </row>
    <row r="1606" spans="1:3" x14ac:dyDescent="0.25">
      <c r="A1606" s="412" t="s">
        <v>176</v>
      </c>
      <c r="B1606" t="s">
        <v>477</v>
      </c>
      <c r="C1606" s="412" t="s">
        <v>478</v>
      </c>
    </row>
    <row r="1607" spans="1:3" x14ac:dyDescent="0.25">
      <c r="A1607" s="412" t="s">
        <v>175</v>
      </c>
      <c r="B1607" t="s">
        <v>473</v>
      </c>
      <c r="C1607" t="b">
        <v>0</v>
      </c>
    </row>
    <row r="1608" spans="1:3" x14ac:dyDescent="0.25">
      <c r="A1608" s="412" t="s">
        <v>175</v>
      </c>
      <c r="B1608" t="s">
        <v>474</v>
      </c>
      <c r="C1608" s="412" t="s">
        <v>592</v>
      </c>
    </row>
    <row r="1609" spans="1:3" x14ac:dyDescent="0.25">
      <c r="A1609" s="412" t="s">
        <v>175</v>
      </c>
      <c r="B1609" t="s">
        <v>476</v>
      </c>
      <c r="C1609">
        <v>13.86</v>
      </c>
    </row>
    <row r="1610" spans="1:3" x14ac:dyDescent="0.25">
      <c r="A1610" s="412" t="s">
        <v>175</v>
      </c>
      <c r="B1610" t="s">
        <v>477</v>
      </c>
      <c r="C1610" s="412" t="s">
        <v>478</v>
      </c>
    </row>
    <row r="1611" spans="1:3" x14ac:dyDescent="0.25">
      <c r="A1611" s="412" t="s">
        <v>174</v>
      </c>
      <c r="B1611" t="s">
        <v>473</v>
      </c>
      <c r="C1611" t="b">
        <v>0</v>
      </c>
    </row>
    <row r="1612" spans="1:3" x14ac:dyDescent="0.25">
      <c r="A1612" s="412" t="s">
        <v>174</v>
      </c>
      <c r="B1612" t="s">
        <v>474</v>
      </c>
      <c r="C1612" s="412" t="s">
        <v>593</v>
      </c>
    </row>
    <row r="1613" spans="1:3" x14ac:dyDescent="0.25">
      <c r="A1613" s="412" t="s">
        <v>174</v>
      </c>
      <c r="B1613" t="s">
        <v>476</v>
      </c>
      <c r="C1613">
        <v>19.71</v>
      </c>
    </row>
    <row r="1614" spans="1:3" x14ac:dyDescent="0.25">
      <c r="A1614" s="412" t="s">
        <v>174</v>
      </c>
      <c r="B1614" t="s">
        <v>477</v>
      </c>
      <c r="C1614" s="412" t="s">
        <v>478</v>
      </c>
    </row>
    <row r="1615" spans="1:3" x14ac:dyDescent="0.25">
      <c r="A1615" s="412" t="s">
        <v>173</v>
      </c>
      <c r="B1615" t="s">
        <v>473</v>
      </c>
      <c r="C1615" t="b">
        <v>0</v>
      </c>
    </row>
    <row r="1616" spans="1:3" x14ac:dyDescent="0.25">
      <c r="A1616" s="412" t="s">
        <v>173</v>
      </c>
      <c r="B1616" t="s">
        <v>474</v>
      </c>
      <c r="C1616" s="412" t="s">
        <v>594</v>
      </c>
    </row>
    <row r="1617" spans="1:3" x14ac:dyDescent="0.25">
      <c r="A1617" s="412" t="s">
        <v>173</v>
      </c>
      <c r="B1617" t="s">
        <v>476</v>
      </c>
      <c r="C1617">
        <v>19.71</v>
      </c>
    </row>
    <row r="1618" spans="1:3" x14ac:dyDescent="0.25">
      <c r="A1618" s="412" t="s">
        <v>173</v>
      </c>
      <c r="B1618" t="s">
        <v>477</v>
      </c>
      <c r="C1618" s="412" t="s">
        <v>478</v>
      </c>
    </row>
    <row r="1619" spans="1:3" x14ac:dyDescent="0.25">
      <c r="A1619" s="412" t="s">
        <v>172</v>
      </c>
      <c r="B1619" t="s">
        <v>473</v>
      </c>
      <c r="C1619" t="b">
        <v>0</v>
      </c>
    </row>
    <row r="1620" spans="1:3" x14ac:dyDescent="0.25">
      <c r="A1620" s="412" t="s">
        <v>172</v>
      </c>
      <c r="B1620" t="s">
        <v>474</v>
      </c>
      <c r="C1620" s="412" t="s">
        <v>595</v>
      </c>
    </row>
    <row r="1621" spans="1:3" x14ac:dyDescent="0.25">
      <c r="A1621" s="412" t="s">
        <v>172</v>
      </c>
      <c r="B1621" t="s">
        <v>476</v>
      </c>
      <c r="C1621">
        <v>19.71</v>
      </c>
    </row>
    <row r="1622" spans="1:3" x14ac:dyDescent="0.25">
      <c r="A1622" s="412" t="s">
        <v>172</v>
      </c>
      <c r="B1622" t="s">
        <v>477</v>
      </c>
      <c r="C1622" s="412" t="s">
        <v>478</v>
      </c>
    </row>
    <row r="1623" spans="1:3" x14ac:dyDescent="0.25">
      <c r="A1623" s="412" t="s">
        <v>171</v>
      </c>
      <c r="B1623" t="s">
        <v>473</v>
      </c>
      <c r="C1623" t="b">
        <v>0</v>
      </c>
    </row>
    <row r="1624" spans="1:3" x14ac:dyDescent="0.25">
      <c r="A1624" s="412" t="s">
        <v>171</v>
      </c>
      <c r="B1624" t="s">
        <v>474</v>
      </c>
      <c r="C1624" s="412" t="s">
        <v>596</v>
      </c>
    </row>
    <row r="1625" spans="1:3" x14ac:dyDescent="0.25">
      <c r="A1625" s="412" t="s">
        <v>171</v>
      </c>
      <c r="B1625" t="s">
        <v>476</v>
      </c>
      <c r="C1625">
        <v>19.71</v>
      </c>
    </row>
    <row r="1626" spans="1:3" x14ac:dyDescent="0.25">
      <c r="A1626" s="412" t="s">
        <v>171</v>
      </c>
      <c r="B1626" t="s">
        <v>477</v>
      </c>
      <c r="C1626" s="412" t="s">
        <v>478</v>
      </c>
    </row>
    <row r="1627" spans="1:3" x14ac:dyDescent="0.25">
      <c r="A1627" s="412" t="s">
        <v>170</v>
      </c>
      <c r="B1627" t="s">
        <v>473</v>
      </c>
      <c r="C1627" t="b">
        <v>0</v>
      </c>
    </row>
    <row r="1628" spans="1:3" x14ac:dyDescent="0.25">
      <c r="A1628" s="412" t="s">
        <v>170</v>
      </c>
      <c r="B1628" t="s">
        <v>474</v>
      </c>
      <c r="C1628" s="412" t="s">
        <v>597</v>
      </c>
    </row>
    <row r="1629" spans="1:3" x14ac:dyDescent="0.25">
      <c r="A1629" s="412" t="s">
        <v>170</v>
      </c>
      <c r="B1629" t="s">
        <v>476</v>
      </c>
      <c r="C1629">
        <v>14.14</v>
      </c>
    </row>
    <row r="1630" spans="1:3" x14ac:dyDescent="0.25">
      <c r="A1630" s="412" t="s">
        <v>170</v>
      </c>
      <c r="B1630" t="s">
        <v>477</v>
      </c>
      <c r="C1630" s="412" t="s">
        <v>478</v>
      </c>
    </row>
    <row r="1631" spans="1:3" x14ac:dyDescent="0.25">
      <c r="A1631" s="412" t="s">
        <v>169</v>
      </c>
      <c r="B1631" t="s">
        <v>473</v>
      </c>
      <c r="C1631" t="b">
        <v>0</v>
      </c>
    </row>
    <row r="1632" spans="1:3" x14ac:dyDescent="0.25">
      <c r="A1632" s="412" t="s">
        <v>169</v>
      </c>
      <c r="B1632" t="s">
        <v>474</v>
      </c>
      <c r="C1632" s="412" t="s">
        <v>598</v>
      </c>
    </row>
    <row r="1633" spans="1:3" x14ac:dyDescent="0.25">
      <c r="A1633" s="412" t="s">
        <v>169</v>
      </c>
      <c r="B1633" t="s">
        <v>476</v>
      </c>
      <c r="C1633">
        <v>16.71</v>
      </c>
    </row>
    <row r="1634" spans="1:3" x14ac:dyDescent="0.25">
      <c r="A1634" s="412" t="s">
        <v>169</v>
      </c>
      <c r="B1634" t="s">
        <v>477</v>
      </c>
      <c r="C1634" s="412" t="s">
        <v>478</v>
      </c>
    </row>
    <row r="1635" spans="1:3" x14ac:dyDescent="0.25">
      <c r="A1635" s="412" t="s">
        <v>168</v>
      </c>
      <c r="B1635" t="s">
        <v>473</v>
      </c>
      <c r="C1635" t="b">
        <v>0</v>
      </c>
    </row>
    <row r="1636" spans="1:3" x14ac:dyDescent="0.25">
      <c r="A1636" s="412" t="s">
        <v>168</v>
      </c>
      <c r="B1636" t="s">
        <v>474</v>
      </c>
      <c r="C1636" s="412" t="s">
        <v>599</v>
      </c>
    </row>
    <row r="1637" spans="1:3" x14ac:dyDescent="0.25">
      <c r="A1637" s="412" t="s">
        <v>168</v>
      </c>
      <c r="B1637" t="s">
        <v>476</v>
      </c>
      <c r="C1637">
        <v>16.71</v>
      </c>
    </row>
    <row r="1638" spans="1:3" x14ac:dyDescent="0.25">
      <c r="A1638" s="412" t="s">
        <v>168</v>
      </c>
      <c r="B1638" t="s">
        <v>477</v>
      </c>
      <c r="C1638" s="412" t="s">
        <v>478</v>
      </c>
    </row>
    <row r="1639" spans="1:3" x14ac:dyDescent="0.25">
      <c r="A1639" s="412" t="s">
        <v>167</v>
      </c>
      <c r="B1639" t="s">
        <v>473</v>
      </c>
      <c r="C1639" t="b">
        <v>0</v>
      </c>
    </row>
    <row r="1640" spans="1:3" x14ac:dyDescent="0.25">
      <c r="A1640" s="412" t="s">
        <v>167</v>
      </c>
      <c r="B1640" t="s">
        <v>474</v>
      </c>
      <c r="C1640" s="412" t="s">
        <v>600</v>
      </c>
    </row>
    <row r="1641" spans="1:3" x14ac:dyDescent="0.25">
      <c r="A1641" s="412" t="s">
        <v>167</v>
      </c>
      <c r="B1641" t="s">
        <v>476</v>
      </c>
      <c r="C1641">
        <v>16.71</v>
      </c>
    </row>
    <row r="1642" spans="1:3" x14ac:dyDescent="0.25">
      <c r="A1642" s="412" t="s">
        <v>167</v>
      </c>
      <c r="B1642" t="s">
        <v>477</v>
      </c>
      <c r="C1642" s="412" t="s">
        <v>478</v>
      </c>
    </row>
    <row r="1643" spans="1:3" x14ac:dyDescent="0.25">
      <c r="A1643" s="412" t="s">
        <v>166</v>
      </c>
      <c r="B1643" t="s">
        <v>473</v>
      </c>
      <c r="C1643" t="b">
        <v>0</v>
      </c>
    </row>
    <row r="1644" spans="1:3" x14ac:dyDescent="0.25">
      <c r="A1644" s="412" t="s">
        <v>166</v>
      </c>
      <c r="B1644" t="s">
        <v>474</v>
      </c>
      <c r="C1644" s="412" t="s">
        <v>601</v>
      </c>
    </row>
    <row r="1645" spans="1:3" x14ac:dyDescent="0.25">
      <c r="A1645" s="412" t="s">
        <v>166</v>
      </c>
      <c r="B1645" t="s">
        <v>476</v>
      </c>
      <c r="C1645">
        <v>16.71</v>
      </c>
    </row>
    <row r="1646" spans="1:3" x14ac:dyDescent="0.25">
      <c r="A1646" s="412" t="s">
        <v>166</v>
      </c>
      <c r="B1646" t="s">
        <v>477</v>
      </c>
      <c r="C1646" s="412" t="s">
        <v>478</v>
      </c>
    </row>
    <row r="1647" spans="1:3" x14ac:dyDescent="0.25">
      <c r="A1647" s="412" t="s">
        <v>165</v>
      </c>
      <c r="B1647" t="s">
        <v>473</v>
      </c>
      <c r="C1647" t="b">
        <v>0</v>
      </c>
    </row>
    <row r="1648" spans="1:3" x14ac:dyDescent="0.25">
      <c r="A1648" s="412" t="s">
        <v>165</v>
      </c>
      <c r="B1648" t="s">
        <v>474</v>
      </c>
      <c r="C1648" s="412" t="s">
        <v>602</v>
      </c>
    </row>
    <row r="1649" spans="1:3" x14ac:dyDescent="0.25">
      <c r="A1649" s="412" t="s">
        <v>165</v>
      </c>
      <c r="B1649" t="s">
        <v>476</v>
      </c>
      <c r="C1649">
        <v>16.71</v>
      </c>
    </row>
    <row r="1650" spans="1:3" x14ac:dyDescent="0.25">
      <c r="A1650" s="412" t="s">
        <v>165</v>
      </c>
      <c r="B1650" t="s">
        <v>477</v>
      </c>
      <c r="C1650" s="412" t="s">
        <v>478</v>
      </c>
    </row>
    <row r="1651" spans="1:3" x14ac:dyDescent="0.25">
      <c r="A1651" s="412" t="s">
        <v>164</v>
      </c>
      <c r="B1651" t="s">
        <v>473</v>
      </c>
      <c r="C1651" t="b">
        <v>0</v>
      </c>
    </row>
    <row r="1652" spans="1:3" x14ac:dyDescent="0.25">
      <c r="A1652" s="412" t="s">
        <v>164</v>
      </c>
      <c r="B1652" t="s">
        <v>474</v>
      </c>
      <c r="C1652" s="412" t="s">
        <v>603</v>
      </c>
    </row>
    <row r="1653" spans="1:3" x14ac:dyDescent="0.25">
      <c r="A1653" s="412" t="s">
        <v>164</v>
      </c>
      <c r="B1653" t="s">
        <v>476</v>
      </c>
      <c r="C1653">
        <v>16.71</v>
      </c>
    </row>
    <row r="1654" spans="1:3" x14ac:dyDescent="0.25">
      <c r="A1654" s="412" t="s">
        <v>164</v>
      </c>
      <c r="B1654" t="s">
        <v>477</v>
      </c>
      <c r="C1654" s="412" t="s">
        <v>478</v>
      </c>
    </row>
    <row r="1655" spans="1:3" x14ac:dyDescent="0.25">
      <c r="A1655" s="412" t="s">
        <v>163</v>
      </c>
      <c r="B1655" t="s">
        <v>473</v>
      </c>
      <c r="C1655" t="b">
        <v>0</v>
      </c>
    </row>
    <row r="1656" spans="1:3" x14ac:dyDescent="0.25">
      <c r="A1656" s="412" t="s">
        <v>163</v>
      </c>
      <c r="B1656" t="s">
        <v>474</v>
      </c>
      <c r="C1656" s="412" t="s">
        <v>604</v>
      </c>
    </row>
    <row r="1657" spans="1:3" x14ac:dyDescent="0.25">
      <c r="A1657" s="412" t="s">
        <v>163</v>
      </c>
      <c r="B1657" t="s">
        <v>476</v>
      </c>
      <c r="C1657">
        <v>16.71</v>
      </c>
    </row>
    <row r="1658" spans="1:3" x14ac:dyDescent="0.25">
      <c r="A1658" s="412" t="s">
        <v>163</v>
      </c>
      <c r="B1658" t="s">
        <v>477</v>
      </c>
      <c r="C1658" s="412" t="s">
        <v>478</v>
      </c>
    </row>
    <row r="1659" spans="1:3" x14ac:dyDescent="0.25">
      <c r="A1659" s="412" t="s">
        <v>162</v>
      </c>
      <c r="B1659" t="s">
        <v>473</v>
      </c>
      <c r="C1659" t="b">
        <v>0</v>
      </c>
    </row>
    <row r="1660" spans="1:3" x14ac:dyDescent="0.25">
      <c r="A1660" s="412" t="s">
        <v>162</v>
      </c>
      <c r="B1660" t="s">
        <v>474</v>
      </c>
      <c r="C1660" s="412" t="s">
        <v>605</v>
      </c>
    </row>
    <row r="1661" spans="1:3" x14ac:dyDescent="0.25">
      <c r="A1661" s="412" t="s">
        <v>162</v>
      </c>
      <c r="B1661" t="s">
        <v>476</v>
      </c>
      <c r="C1661">
        <v>16.71</v>
      </c>
    </row>
    <row r="1662" spans="1:3" x14ac:dyDescent="0.25">
      <c r="A1662" s="412" t="s">
        <v>162</v>
      </c>
      <c r="B1662" t="s">
        <v>477</v>
      </c>
      <c r="C1662" s="412" t="s">
        <v>478</v>
      </c>
    </row>
    <row r="1663" spans="1:3" x14ac:dyDescent="0.25">
      <c r="A1663" s="412" t="s">
        <v>161</v>
      </c>
      <c r="B1663" t="s">
        <v>473</v>
      </c>
      <c r="C1663" t="b">
        <v>0</v>
      </c>
    </row>
    <row r="1664" spans="1:3" x14ac:dyDescent="0.25">
      <c r="A1664" s="412" t="s">
        <v>161</v>
      </c>
      <c r="B1664" t="s">
        <v>474</v>
      </c>
      <c r="C1664" s="412" t="s">
        <v>606</v>
      </c>
    </row>
    <row r="1665" spans="1:3" x14ac:dyDescent="0.25">
      <c r="A1665" s="412" t="s">
        <v>161</v>
      </c>
      <c r="B1665" t="s">
        <v>476</v>
      </c>
      <c r="C1665">
        <v>16.71</v>
      </c>
    </row>
    <row r="1666" spans="1:3" x14ac:dyDescent="0.25">
      <c r="A1666" s="412" t="s">
        <v>161</v>
      </c>
      <c r="B1666" t="s">
        <v>477</v>
      </c>
      <c r="C1666" s="412" t="s">
        <v>478</v>
      </c>
    </row>
    <row r="1667" spans="1:3" x14ac:dyDescent="0.25">
      <c r="A1667" s="412" t="s">
        <v>160</v>
      </c>
      <c r="B1667" t="s">
        <v>473</v>
      </c>
      <c r="C1667" t="b">
        <v>0</v>
      </c>
    </row>
    <row r="1668" spans="1:3" x14ac:dyDescent="0.25">
      <c r="A1668" s="412" t="s">
        <v>160</v>
      </c>
      <c r="B1668" t="s">
        <v>474</v>
      </c>
      <c r="C1668" s="412" t="s">
        <v>607</v>
      </c>
    </row>
    <row r="1669" spans="1:3" x14ac:dyDescent="0.25">
      <c r="A1669" s="412" t="s">
        <v>160</v>
      </c>
      <c r="B1669" t="s">
        <v>476</v>
      </c>
      <c r="C1669">
        <v>19.86</v>
      </c>
    </row>
    <row r="1670" spans="1:3" x14ac:dyDescent="0.25">
      <c r="A1670" s="412" t="s">
        <v>160</v>
      </c>
      <c r="B1670" t="s">
        <v>477</v>
      </c>
      <c r="C1670" s="412" t="s">
        <v>478</v>
      </c>
    </row>
    <row r="1671" spans="1:3" x14ac:dyDescent="0.25">
      <c r="A1671" s="412" t="s">
        <v>159</v>
      </c>
      <c r="B1671" t="s">
        <v>473</v>
      </c>
      <c r="C1671" t="b">
        <v>0</v>
      </c>
    </row>
    <row r="1672" spans="1:3" x14ac:dyDescent="0.25">
      <c r="A1672" s="412" t="s">
        <v>159</v>
      </c>
      <c r="B1672" t="s">
        <v>474</v>
      </c>
      <c r="C1672" s="412" t="s">
        <v>608</v>
      </c>
    </row>
    <row r="1673" spans="1:3" x14ac:dyDescent="0.25">
      <c r="A1673" s="412" t="s">
        <v>159</v>
      </c>
      <c r="B1673" t="s">
        <v>476</v>
      </c>
      <c r="C1673">
        <v>19.86</v>
      </c>
    </row>
    <row r="1674" spans="1:3" x14ac:dyDescent="0.25">
      <c r="A1674" s="412" t="s">
        <v>159</v>
      </c>
      <c r="B1674" t="s">
        <v>477</v>
      </c>
      <c r="C1674" s="412" t="s">
        <v>478</v>
      </c>
    </row>
    <row r="1675" spans="1:3" x14ac:dyDescent="0.25">
      <c r="A1675" s="412" t="s">
        <v>114</v>
      </c>
      <c r="B1675" t="s">
        <v>473</v>
      </c>
      <c r="C1675" t="b">
        <v>0</v>
      </c>
    </row>
    <row r="1676" spans="1:3" x14ac:dyDescent="0.25">
      <c r="A1676" s="412" t="s">
        <v>114</v>
      </c>
      <c r="B1676" t="s">
        <v>474</v>
      </c>
      <c r="C1676" s="412" t="s">
        <v>609</v>
      </c>
    </row>
    <row r="1677" spans="1:3" x14ac:dyDescent="0.25">
      <c r="A1677" s="412" t="s">
        <v>114</v>
      </c>
      <c r="B1677" t="s">
        <v>476</v>
      </c>
      <c r="C1677">
        <v>7.86</v>
      </c>
    </row>
    <row r="1678" spans="1:3" x14ac:dyDescent="0.25">
      <c r="A1678" s="412" t="s">
        <v>114</v>
      </c>
      <c r="B1678" t="s">
        <v>477</v>
      </c>
      <c r="C1678" s="412" t="s">
        <v>478</v>
      </c>
    </row>
    <row r="1679" spans="1:3" x14ac:dyDescent="0.25">
      <c r="A1679" s="412" t="s">
        <v>158</v>
      </c>
      <c r="B1679" t="s">
        <v>473</v>
      </c>
      <c r="C1679" t="b">
        <v>0</v>
      </c>
    </row>
    <row r="1680" spans="1:3" x14ac:dyDescent="0.25">
      <c r="A1680" s="412" t="s">
        <v>158</v>
      </c>
      <c r="B1680" t="s">
        <v>474</v>
      </c>
      <c r="C1680" s="412" t="s">
        <v>610</v>
      </c>
    </row>
    <row r="1681" spans="1:3" x14ac:dyDescent="0.25">
      <c r="A1681" s="412" t="s">
        <v>158</v>
      </c>
      <c r="B1681" t="s">
        <v>476</v>
      </c>
      <c r="C1681">
        <v>17.86</v>
      </c>
    </row>
    <row r="1682" spans="1:3" x14ac:dyDescent="0.25">
      <c r="A1682" s="412" t="s">
        <v>158</v>
      </c>
      <c r="B1682" t="s">
        <v>477</v>
      </c>
      <c r="C1682" s="412" t="s">
        <v>478</v>
      </c>
    </row>
    <row r="1683" spans="1:3" x14ac:dyDescent="0.25">
      <c r="A1683" s="412" t="s">
        <v>116</v>
      </c>
      <c r="B1683" t="s">
        <v>473</v>
      </c>
      <c r="C1683" t="b">
        <v>0</v>
      </c>
    </row>
    <row r="1684" spans="1:3" x14ac:dyDescent="0.25">
      <c r="A1684" s="412" t="s">
        <v>116</v>
      </c>
      <c r="B1684" t="s">
        <v>474</v>
      </c>
      <c r="C1684" s="412" t="s">
        <v>611</v>
      </c>
    </row>
    <row r="1685" spans="1:3" x14ac:dyDescent="0.25">
      <c r="A1685" s="412" t="s">
        <v>116</v>
      </c>
      <c r="B1685" t="s">
        <v>476</v>
      </c>
      <c r="C1685">
        <v>10.86</v>
      </c>
    </row>
    <row r="1686" spans="1:3" x14ac:dyDescent="0.25">
      <c r="A1686" s="412" t="s">
        <v>116</v>
      </c>
      <c r="B1686" t="s">
        <v>477</v>
      </c>
      <c r="C1686" s="412" t="s">
        <v>478</v>
      </c>
    </row>
    <row r="1687" spans="1:3" x14ac:dyDescent="0.25">
      <c r="A1687" s="412" t="s">
        <v>157</v>
      </c>
      <c r="B1687" t="s">
        <v>473</v>
      </c>
      <c r="C1687" t="b">
        <v>0</v>
      </c>
    </row>
    <row r="1688" spans="1:3" x14ac:dyDescent="0.25">
      <c r="A1688" s="412" t="s">
        <v>157</v>
      </c>
      <c r="B1688" t="s">
        <v>474</v>
      </c>
      <c r="C1688" s="412" t="s">
        <v>612</v>
      </c>
    </row>
    <row r="1689" spans="1:3" x14ac:dyDescent="0.25">
      <c r="A1689" s="412" t="s">
        <v>157</v>
      </c>
      <c r="B1689" t="s">
        <v>476</v>
      </c>
      <c r="C1689">
        <v>15.86</v>
      </c>
    </row>
    <row r="1690" spans="1:3" x14ac:dyDescent="0.25">
      <c r="A1690" s="412" t="s">
        <v>157</v>
      </c>
      <c r="B1690" t="s">
        <v>477</v>
      </c>
      <c r="C1690" s="412" t="s">
        <v>478</v>
      </c>
    </row>
    <row r="1691" spans="1:3" x14ac:dyDescent="0.25">
      <c r="A1691" s="412" t="s">
        <v>156</v>
      </c>
      <c r="B1691" t="s">
        <v>473</v>
      </c>
      <c r="C1691" t="b">
        <v>0</v>
      </c>
    </row>
    <row r="1692" spans="1:3" x14ac:dyDescent="0.25">
      <c r="A1692" s="412" t="s">
        <v>156</v>
      </c>
      <c r="B1692" t="s">
        <v>474</v>
      </c>
      <c r="C1692" s="412" t="s">
        <v>728</v>
      </c>
    </row>
    <row r="1693" spans="1:3" x14ac:dyDescent="0.25">
      <c r="A1693" s="412" t="s">
        <v>156</v>
      </c>
      <c r="B1693" t="s">
        <v>476</v>
      </c>
      <c r="C1693">
        <v>11.14</v>
      </c>
    </row>
    <row r="1694" spans="1:3" x14ac:dyDescent="0.25">
      <c r="A1694" s="412" t="s">
        <v>156</v>
      </c>
      <c r="B1694" t="s">
        <v>477</v>
      </c>
      <c r="C1694" s="412" t="s">
        <v>478</v>
      </c>
    </row>
    <row r="1695" spans="1:3" x14ac:dyDescent="0.25">
      <c r="A1695" s="412" t="s">
        <v>155</v>
      </c>
      <c r="B1695" t="s">
        <v>473</v>
      </c>
      <c r="C1695" t="b">
        <v>0</v>
      </c>
    </row>
    <row r="1696" spans="1:3" x14ac:dyDescent="0.25">
      <c r="A1696" s="412" t="s">
        <v>155</v>
      </c>
      <c r="B1696" t="s">
        <v>474</v>
      </c>
      <c r="C1696" s="412" t="s">
        <v>729</v>
      </c>
    </row>
    <row r="1697" spans="1:3" x14ac:dyDescent="0.25">
      <c r="A1697" s="412" t="s">
        <v>155</v>
      </c>
      <c r="B1697" t="s">
        <v>476</v>
      </c>
      <c r="C1697">
        <v>13.57</v>
      </c>
    </row>
    <row r="1698" spans="1:3" x14ac:dyDescent="0.25">
      <c r="A1698" s="412" t="s">
        <v>155</v>
      </c>
      <c r="B1698" t="s">
        <v>477</v>
      </c>
      <c r="C1698" s="412" t="s">
        <v>478</v>
      </c>
    </row>
    <row r="1699" spans="1:3" x14ac:dyDescent="0.25">
      <c r="A1699" s="412" t="s">
        <v>154</v>
      </c>
      <c r="B1699" t="s">
        <v>473</v>
      </c>
      <c r="C1699" t="b">
        <v>0</v>
      </c>
    </row>
    <row r="1700" spans="1:3" x14ac:dyDescent="0.25">
      <c r="A1700" s="412" t="s">
        <v>154</v>
      </c>
      <c r="B1700" t="s">
        <v>474</v>
      </c>
      <c r="C1700" s="412" t="s">
        <v>730</v>
      </c>
    </row>
    <row r="1701" spans="1:3" x14ac:dyDescent="0.25">
      <c r="A1701" s="412" t="s">
        <v>154</v>
      </c>
      <c r="B1701" t="s">
        <v>476</v>
      </c>
      <c r="C1701">
        <v>16.71</v>
      </c>
    </row>
    <row r="1702" spans="1:3" x14ac:dyDescent="0.25">
      <c r="A1702" s="412" t="s">
        <v>154</v>
      </c>
      <c r="B1702" t="s">
        <v>477</v>
      </c>
      <c r="C1702" s="412" t="s">
        <v>478</v>
      </c>
    </row>
    <row r="1703" spans="1:3" x14ac:dyDescent="0.25">
      <c r="A1703" s="412" t="s">
        <v>153</v>
      </c>
      <c r="B1703" t="s">
        <v>473</v>
      </c>
      <c r="C1703" t="b">
        <v>0</v>
      </c>
    </row>
    <row r="1704" spans="1:3" x14ac:dyDescent="0.25">
      <c r="A1704" s="412" t="s">
        <v>153</v>
      </c>
      <c r="B1704" t="s">
        <v>474</v>
      </c>
      <c r="C1704" s="412" t="s">
        <v>731</v>
      </c>
    </row>
    <row r="1705" spans="1:3" x14ac:dyDescent="0.25">
      <c r="A1705" s="412" t="s">
        <v>153</v>
      </c>
      <c r="B1705" t="s">
        <v>476</v>
      </c>
      <c r="C1705">
        <v>12.57</v>
      </c>
    </row>
    <row r="1706" spans="1:3" x14ac:dyDescent="0.25">
      <c r="A1706" s="412" t="s">
        <v>153</v>
      </c>
      <c r="B1706" t="s">
        <v>477</v>
      </c>
      <c r="C1706" s="412" t="s">
        <v>478</v>
      </c>
    </row>
    <row r="1707" spans="1:3" x14ac:dyDescent="0.25">
      <c r="A1707" s="412" t="s">
        <v>152</v>
      </c>
      <c r="B1707" t="s">
        <v>473</v>
      </c>
      <c r="C1707" t="b">
        <v>0</v>
      </c>
    </row>
    <row r="1708" spans="1:3" x14ac:dyDescent="0.25">
      <c r="A1708" s="412" t="s">
        <v>152</v>
      </c>
      <c r="B1708" t="s">
        <v>474</v>
      </c>
      <c r="C1708" s="412" t="s">
        <v>732</v>
      </c>
    </row>
    <row r="1709" spans="1:3" x14ac:dyDescent="0.25">
      <c r="A1709" s="412" t="s">
        <v>152</v>
      </c>
      <c r="B1709" t="s">
        <v>476</v>
      </c>
      <c r="C1709">
        <v>10.29</v>
      </c>
    </row>
    <row r="1710" spans="1:3" x14ac:dyDescent="0.25">
      <c r="A1710" s="412" t="s">
        <v>152</v>
      </c>
      <c r="B1710" t="s">
        <v>477</v>
      </c>
      <c r="C1710" s="412" t="s">
        <v>480</v>
      </c>
    </row>
    <row r="1711" spans="1:3" x14ac:dyDescent="0.25">
      <c r="A1711" s="412" t="s">
        <v>83</v>
      </c>
      <c r="B1711" t="s">
        <v>521</v>
      </c>
      <c r="C1711" s="412" t="s">
        <v>698</v>
      </c>
    </row>
    <row r="1712" spans="1:3" x14ac:dyDescent="0.25">
      <c r="A1712" s="412" t="s">
        <v>83</v>
      </c>
      <c r="B1712" t="s">
        <v>523</v>
      </c>
      <c r="C1712">
        <v>2</v>
      </c>
    </row>
    <row r="1713" spans="1:3" x14ac:dyDescent="0.25">
      <c r="A1713" s="412" t="s">
        <v>83</v>
      </c>
      <c r="B1713" t="s">
        <v>524</v>
      </c>
      <c r="C1713">
        <v>1</v>
      </c>
    </row>
    <row r="1714" spans="1:3" x14ac:dyDescent="0.25">
      <c r="A1714" s="412" t="s">
        <v>83</v>
      </c>
      <c r="B1714" t="s">
        <v>525</v>
      </c>
      <c r="C1714" s="412" t="s">
        <v>526</v>
      </c>
    </row>
    <row r="1715" spans="1:3" x14ac:dyDescent="0.25">
      <c r="A1715" s="412" t="s">
        <v>83</v>
      </c>
      <c r="B1715" t="s">
        <v>527</v>
      </c>
      <c r="C1715">
        <v>65535</v>
      </c>
    </row>
    <row r="1716" spans="1:3" x14ac:dyDescent="0.25">
      <c r="A1716" s="412" t="s">
        <v>82</v>
      </c>
      <c r="B1716" t="s">
        <v>521</v>
      </c>
      <c r="C1716" s="412" t="s">
        <v>733</v>
      </c>
    </row>
    <row r="1717" spans="1:3" x14ac:dyDescent="0.25">
      <c r="A1717" s="412" t="s">
        <v>82</v>
      </c>
      <c r="B1717" t="s">
        <v>523</v>
      </c>
      <c r="C1717">
        <v>2</v>
      </c>
    </row>
    <row r="1718" spans="1:3" x14ac:dyDescent="0.25">
      <c r="A1718" s="412" t="s">
        <v>82</v>
      </c>
      <c r="B1718" t="s">
        <v>524</v>
      </c>
      <c r="C1718">
        <v>2</v>
      </c>
    </row>
    <row r="1719" spans="1:3" x14ac:dyDescent="0.25">
      <c r="A1719" s="412" t="s">
        <v>82</v>
      </c>
      <c r="B1719" t="s">
        <v>525</v>
      </c>
      <c r="C1719" s="412" t="s">
        <v>529</v>
      </c>
    </row>
    <row r="1720" spans="1:3" x14ac:dyDescent="0.25">
      <c r="A1720" s="412" t="s">
        <v>82</v>
      </c>
      <c r="B1720" t="s">
        <v>527</v>
      </c>
      <c r="C1720">
        <v>65535</v>
      </c>
    </row>
    <row r="1721" spans="1:3" x14ac:dyDescent="0.25">
      <c r="A1721" s="412" t="s">
        <v>78</v>
      </c>
      <c r="B1721" t="s">
        <v>521</v>
      </c>
      <c r="C1721" s="412" t="s">
        <v>699</v>
      </c>
    </row>
    <row r="1722" spans="1:3" x14ac:dyDescent="0.25">
      <c r="A1722" s="412" t="s">
        <v>78</v>
      </c>
      <c r="B1722" t="s">
        <v>523</v>
      </c>
      <c r="C1722">
        <v>2</v>
      </c>
    </row>
    <row r="1723" spans="1:3" x14ac:dyDescent="0.25">
      <c r="A1723" s="412" t="s">
        <v>78</v>
      </c>
      <c r="B1723" t="s">
        <v>524</v>
      </c>
      <c r="C1723">
        <v>3</v>
      </c>
    </row>
    <row r="1724" spans="1:3" x14ac:dyDescent="0.25">
      <c r="A1724" s="412" t="s">
        <v>78</v>
      </c>
      <c r="B1724" t="s">
        <v>525</v>
      </c>
      <c r="C1724" s="412" t="s">
        <v>676</v>
      </c>
    </row>
    <row r="1725" spans="1:3" x14ac:dyDescent="0.25">
      <c r="A1725" s="412" t="s">
        <v>78</v>
      </c>
      <c r="B1725" t="s">
        <v>527</v>
      </c>
      <c r="C1725">
        <v>65535</v>
      </c>
    </row>
    <row r="1726" spans="1:3" x14ac:dyDescent="0.25">
      <c r="A1726" s="412" t="s">
        <v>75</v>
      </c>
      <c r="B1726" t="s">
        <v>521</v>
      </c>
      <c r="C1726" s="412" t="s">
        <v>700</v>
      </c>
    </row>
    <row r="1727" spans="1:3" x14ac:dyDescent="0.25">
      <c r="A1727" s="412" t="s">
        <v>75</v>
      </c>
      <c r="B1727" t="s">
        <v>523</v>
      </c>
      <c r="C1727">
        <v>2</v>
      </c>
    </row>
    <row r="1728" spans="1:3" x14ac:dyDescent="0.25">
      <c r="A1728" s="412" t="s">
        <v>75</v>
      </c>
      <c r="B1728" t="s">
        <v>524</v>
      </c>
      <c r="C1728">
        <v>4</v>
      </c>
    </row>
    <row r="1729" spans="1:3" x14ac:dyDescent="0.25">
      <c r="A1729" s="412" t="s">
        <v>75</v>
      </c>
      <c r="B1729" t="s">
        <v>525</v>
      </c>
      <c r="C1729" s="412" t="s">
        <v>531</v>
      </c>
    </row>
    <row r="1730" spans="1:3" x14ac:dyDescent="0.25">
      <c r="A1730" s="412" t="s">
        <v>75</v>
      </c>
      <c r="B1730" t="s">
        <v>527</v>
      </c>
      <c r="C1730">
        <v>65535</v>
      </c>
    </row>
    <row r="1731" spans="1:3" x14ac:dyDescent="0.25">
      <c r="A1731" s="412" t="s">
        <v>199</v>
      </c>
      <c r="B1731" t="s">
        <v>521</v>
      </c>
      <c r="C1731" s="412" t="s">
        <v>701</v>
      </c>
    </row>
    <row r="1732" spans="1:3" x14ac:dyDescent="0.25">
      <c r="A1732" s="412" t="s">
        <v>199</v>
      </c>
      <c r="B1732" t="s">
        <v>523</v>
      </c>
      <c r="C1732">
        <v>2</v>
      </c>
    </row>
    <row r="1733" spans="1:3" x14ac:dyDescent="0.25">
      <c r="A1733" s="412" t="s">
        <v>199</v>
      </c>
      <c r="B1733" t="s">
        <v>524</v>
      </c>
      <c r="C1733">
        <v>5</v>
      </c>
    </row>
    <row r="1734" spans="1:3" x14ac:dyDescent="0.25">
      <c r="A1734" s="412" t="s">
        <v>199</v>
      </c>
      <c r="B1734" t="s">
        <v>525</v>
      </c>
      <c r="C1734" s="412" t="s">
        <v>533</v>
      </c>
    </row>
    <row r="1735" spans="1:3" x14ac:dyDescent="0.25">
      <c r="A1735" s="412" t="s">
        <v>199</v>
      </c>
      <c r="B1735" t="s">
        <v>527</v>
      </c>
      <c r="C1735">
        <v>65535</v>
      </c>
    </row>
    <row r="1736" spans="1:3" x14ac:dyDescent="0.25">
      <c r="A1736" s="412" t="s">
        <v>198</v>
      </c>
      <c r="B1736" t="s">
        <v>521</v>
      </c>
      <c r="C1736" s="412" t="s">
        <v>702</v>
      </c>
    </row>
    <row r="1737" spans="1:3" x14ac:dyDescent="0.25">
      <c r="A1737" s="412" t="s">
        <v>198</v>
      </c>
      <c r="B1737" t="s">
        <v>523</v>
      </c>
      <c r="C1737">
        <v>2</v>
      </c>
    </row>
    <row r="1738" spans="1:3" x14ac:dyDescent="0.25">
      <c r="A1738" s="412" t="s">
        <v>198</v>
      </c>
      <c r="B1738" t="s">
        <v>524</v>
      </c>
      <c r="C1738">
        <v>6</v>
      </c>
    </row>
    <row r="1739" spans="1:3" x14ac:dyDescent="0.25">
      <c r="A1739" s="412" t="s">
        <v>198</v>
      </c>
      <c r="B1739" t="s">
        <v>525</v>
      </c>
      <c r="C1739" s="412" t="s">
        <v>535</v>
      </c>
    </row>
    <row r="1740" spans="1:3" x14ac:dyDescent="0.25">
      <c r="A1740" s="412" t="s">
        <v>198</v>
      </c>
      <c r="B1740" t="s">
        <v>527</v>
      </c>
      <c r="C1740">
        <v>65535</v>
      </c>
    </row>
    <row r="1741" spans="1:3" x14ac:dyDescent="0.25">
      <c r="A1741" s="412" t="s">
        <v>76</v>
      </c>
      <c r="B1741" t="s">
        <v>521</v>
      </c>
      <c r="C1741" s="412" t="s">
        <v>703</v>
      </c>
    </row>
    <row r="1742" spans="1:3" x14ac:dyDescent="0.25">
      <c r="A1742" s="412" t="s">
        <v>76</v>
      </c>
      <c r="B1742" t="s">
        <v>523</v>
      </c>
      <c r="C1742">
        <v>2</v>
      </c>
    </row>
    <row r="1743" spans="1:3" x14ac:dyDescent="0.25">
      <c r="A1743" s="412" t="s">
        <v>76</v>
      </c>
      <c r="B1743" t="s">
        <v>524</v>
      </c>
      <c r="C1743">
        <v>7</v>
      </c>
    </row>
    <row r="1744" spans="1:3" x14ac:dyDescent="0.25">
      <c r="A1744" s="412" t="s">
        <v>76</v>
      </c>
      <c r="B1744" t="s">
        <v>525</v>
      </c>
      <c r="C1744" s="412" t="s">
        <v>537</v>
      </c>
    </row>
    <row r="1745" spans="1:3" x14ac:dyDescent="0.25">
      <c r="A1745" s="412" t="s">
        <v>76</v>
      </c>
      <c r="B1745" t="s">
        <v>527</v>
      </c>
      <c r="C1745">
        <v>65535</v>
      </c>
    </row>
    <row r="1746" spans="1:3" x14ac:dyDescent="0.25">
      <c r="A1746" s="412" t="s">
        <v>71</v>
      </c>
      <c r="B1746" t="s">
        <v>521</v>
      </c>
      <c r="C1746" s="412" t="s">
        <v>704</v>
      </c>
    </row>
    <row r="1747" spans="1:3" x14ac:dyDescent="0.25">
      <c r="A1747" s="412" t="s">
        <v>71</v>
      </c>
      <c r="B1747" t="s">
        <v>523</v>
      </c>
      <c r="C1747">
        <v>2</v>
      </c>
    </row>
    <row r="1748" spans="1:3" x14ac:dyDescent="0.25">
      <c r="A1748" s="412" t="s">
        <v>71</v>
      </c>
      <c r="B1748" t="s">
        <v>524</v>
      </c>
      <c r="C1748">
        <v>8</v>
      </c>
    </row>
    <row r="1749" spans="1:3" x14ac:dyDescent="0.25">
      <c r="A1749" s="412" t="s">
        <v>71</v>
      </c>
      <c r="B1749" t="s">
        <v>525</v>
      </c>
      <c r="C1749" s="412" t="s">
        <v>539</v>
      </c>
    </row>
    <row r="1750" spans="1:3" x14ac:dyDescent="0.25">
      <c r="A1750" s="412" t="s">
        <v>71</v>
      </c>
      <c r="B1750" t="s">
        <v>527</v>
      </c>
      <c r="C1750">
        <v>65535</v>
      </c>
    </row>
    <row r="1751" spans="1:3" x14ac:dyDescent="0.25">
      <c r="A1751" s="412" t="s">
        <v>197</v>
      </c>
      <c r="B1751" t="s">
        <v>521</v>
      </c>
      <c r="C1751" s="412" t="s">
        <v>705</v>
      </c>
    </row>
    <row r="1752" spans="1:3" x14ac:dyDescent="0.25">
      <c r="A1752" s="412" t="s">
        <v>197</v>
      </c>
      <c r="B1752" t="s">
        <v>523</v>
      </c>
      <c r="C1752">
        <v>2</v>
      </c>
    </row>
    <row r="1753" spans="1:3" x14ac:dyDescent="0.25">
      <c r="A1753" s="412" t="s">
        <v>197</v>
      </c>
      <c r="B1753" t="s">
        <v>524</v>
      </c>
      <c r="C1753">
        <v>9</v>
      </c>
    </row>
    <row r="1754" spans="1:3" x14ac:dyDescent="0.25">
      <c r="A1754" s="412" t="s">
        <v>197</v>
      </c>
      <c r="B1754" t="s">
        <v>525</v>
      </c>
      <c r="C1754" s="412" t="s">
        <v>541</v>
      </c>
    </row>
    <row r="1755" spans="1:3" x14ac:dyDescent="0.25">
      <c r="A1755" s="412" t="s">
        <v>197</v>
      </c>
      <c r="B1755" t="s">
        <v>527</v>
      </c>
      <c r="C1755">
        <v>65535</v>
      </c>
    </row>
    <row r="1756" spans="1:3" x14ac:dyDescent="0.25">
      <c r="A1756" s="412" t="s">
        <v>196</v>
      </c>
      <c r="B1756" t="s">
        <v>521</v>
      </c>
      <c r="C1756" s="412" t="s">
        <v>706</v>
      </c>
    </row>
    <row r="1757" spans="1:3" x14ac:dyDescent="0.25">
      <c r="A1757" s="412" t="s">
        <v>196</v>
      </c>
      <c r="B1757" t="s">
        <v>523</v>
      </c>
      <c r="C1757">
        <v>2</v>
      </c>
    </row>
    <row r="1758" spans="1:3" x14ac:dyDescent="0.25">
      <c r="A1758" s="412" t="s">
        <v>196</v>
      </c>
      <c r="B1758" t="s">
        <v>524</v>
      </c>
      <c r="C1758">
        <v>10</v>
      </c>
    </row>
    <row r="1759" spans="1:3" x14ac:dyDescent="0.25">
      <c r="A1759" s="412" t="s">
        <v>196</v>
      </c>
      <c r="B1759" t="s">
        <v>525</v>
      </c>
      <c r="C1759" s="412" t="s">
        <v>543</v>
      </c>
    </row>
    <row r="1760" spans="1:3" x14ac:dyDescent="0.25">
      <c r="A1760" s="412" t="s">
        <v>196</v>
      </c>
      <c r="B1760" t="s">
        <v>527</v>
      </c>
      <c r="C1760">
        <v>65535</v>
      </c>
    </row>
    <row r="1761" spans="1:3" x14ac:dyDescent="0.25">
      <c r="A1761" s="412" t="s">
        <v>195</v>
      </c>
      <c r="B1761" t="s">
        <v>521</v>
      </c>
      <c r="C1761" s="412" t="s">
        <v>707</v>
      </c>
    </row>
    <row r="1762" spans="1:3" x14ac:dyDescent="0.25">
      <c r="A1762" s="412" t="s">
        <v>195</v>
      </c>
      <c r="B1762" t="s">
        <v>523</v>
      </c>
      <c r="C1762">
        <v>2</v>
      </c>
    </row>
    <row r="1763" spans="1:3" x14ac:dyDescent="0.25">
      <c r="A1763" s="412" t="s">
        <v>195</v>
      </c>
      <c r="B1763" t="s">
        <v>524</v>
      </c>
      <c r="C1763">
        <v>11</v>
      </c>
    </row>
    <row r="1764" spans="1:3" x14ac:dyDescent="0.25">
      <c r="A1764" s="412" t="s">
        <v>195</v>
      </c>
      <c r="B1764" t="s">
        <v>525</v>
      </c>
      <c r="C1764" s="412" t="s">
        <v>545</v>
      </c>
    </row>
    <row r="1765" spans="1:3" x14ac:dyDescent="0.25">
      <c r="A1765" s="412" t="s">
        <v>195</v>
      </c>
      <c r="B1765" t="s">
        <v>527</v>
      </c>
      <c r="C1765">
        <v>65535</v>
      </c>
    </row>
    <row r="1766" spans="1:3" x14ac:dyDescent="0.25">
      <c r="A1766" s="412" t="s">
        <v>70</v>
      </c>
      <c r="B1766" t="s">
        <v>521</v>
      </c>
      <c r="C1766" s="412" t="s">
        <v>708</v>
      </c>
    </row>
    <row r="1767" spans="1:3" x14ac:dyDescent="0.25">
      <c r="A1767" s="412" t="s">
        <v>70</v>
      </c>
      <c r="B1767" t="s">
        <v>523</v>
      </c>
      <c r="C1767">
        <v>2</v>
      </c>
    </row>
    <row r="1768" spans="1:3" x14ac:dyDescent="0.25">
      <c r="A1768" s="412" t="s">
        <v>70</v>
      </c>
      <c r="B1768" t="s">
        <v>524</v>
      </c>
      <c r="C1768">
        <v>12</v>
      </c>
    </row>
    <row r="1769" spans="1:3" x14ac:dyDescent="0.25">
      <c r="A1769" s="412" t="s">
        <v>70</v>
      </c>
      <c r="B1769" t="s">
        <v>525</v>
      </c>
      <c r="C1769" s="412" t="s">
        <v>547</v>
      </c>
    </row>
    <row r="1770" spans="1:3" x14ac:dyDescent="0.25">
      <c r="A1770" s="412" t="s">
        <v>70</v>
      </c>
      <c r="B1770" t="s">
        <v>527</v>
      </c>
      <c r="C1770">
        <v>65535</v>
      </c>
    </row>
    <row r="1771" spans="1:3" x14ac:dyDescent="0.25">
      <c r="A1771" s="412" t="s">
        <v>194</v>
      </c>
      <c r="B1771" t="s">
        <v>521</v>
      </c>
      <c r="C1771" s="412" t="s">
        <v>709</v>
      </c>
    </row>
    <row r="1772" spans="1:3" x14ac:dyDescent="0.25">
      <c r="A1772" s="412" t="s">
        <v>194</v>
      </c>
      <c r="B1772" t="s">
        <v>523</v>
      </c>
      <c r="C1772">
        <v>2</v>
      </c>
    </row>
    <row r="1773" spans="1:3" x14ac:dyDescent="0.25">
      <c r="A1773" s="412" t="s">
        <v>194</v>
      </c>
      <c r="B1773" t="s">
        <v>524</v>
      </c>
      <c r="C1773">
        <v>13</v>
      </c>
    </row>
    <row r="1774" spans="1:3" x14ac:dyDescent="0.25">
      <c r="A1774" s="412" t="s">
        <v>194</v>
      </c>
      <c r="B1774" t="s">
        <v>525</v>
      </c>
      <c r="C1774" s="412" t="s">
        <v>549</v>
      </c>
    </row>
    <row r="1775" spans="1:3" x14ac:dyDescent="0.25">
      <c r="A1775" s="412" t="s">
        <v>194</v>
      </c>
      <c r="B1775" t="s">
        <v>527</v>
      </c>
      <c r="C1775">
        <v>65535</v>
      </c>
    </row>
    <row r="1776" spans="1:3" x14ac:dyDescent="0.25">
      <c r="A1776" s="412" t="s">
        <v>193</v>
      </c>
      <c r="B1776" t="s">
        <v>521</v>
      </c>
      <c r="C1776" s="412" t="s">
        <v>710</v>
      </c>
    </row>
    <row r="1777" spans="1:3" x14ac:dyDescent="0.25">
      <c r="A1777" s="412" t="s">
        <v>193</v>
      </c>
      <c r="B1777" t="s">
        <v>523</v>
      </c>
      <c r="C1777">
        <v>2</v>
      </c>
    </row>
    <row r="1778" spans="1:3" x14ac:dyDescent="0.25">
      <c r="A1778" s="412" t="s">
        <v>193</v>
      </c>
      <c r="B1778" t="s">
        <v>524</v>
      </c>
      <c r="C1778">
        <v>14</v>
      </c>
    </row>
    <row r="1779" spans="1:3" x14ac:dyDescent="0.25">
      <c r="A1779" s="412" t="s">
        <v>193</v>
      </c>
      <c r="B1779" t="s">
        <v>525</v>
      </c>
      <c r="C1779" s="412" t="s">
        <v>551</v>
      </c>
    </row>
    <row r="1780" spans="1:3" x14ac:dyDescent="0.25">
      <c r="A1780" s="412" t="s">
        <v>193</v>
      </c>
      <c r="B1780" t="s">
        <v>527</v>
      </c>
      <c r="C1780">
        <v>65535</v>
      </c>
    </row>
    <row r="1781" spans="1:3" x14ac:dyDescent="0.25">
      <c r="A1781" s="412" t="s">
        <v>192</v>
      </c>
      <c r="B1781" t="s">
        <v>521</v>
      </c>
      <c r="C1781" s="412" t="s">
        <v>711</v>
      </c>
    </row>
    <row r="1782" spans="1:3" x14ac:dyDescent="0.25">
      <c r="A1782" s="412" t="s">
        <v>192</v>
      </c>
      <c r="B1782" t="s">
        <v>523</v>
      </c>
      <c r="C1782">
        <v>2</v>
      </c>
    </row>
    <row r="1783" spans="1:3" x14ac:dyDescent="0.25">
      <c r="A1783" s="412" t="s">
        <v>192</v>
      </c>
      <c r="B1783" t="s">
        <v>524</v>
      </c>
      <c r="C1783">
        <v>15</v>
      </c>
    </row>
    <row r="1784" spans="1:3" x14ac:dyDescent="0.25">
      <c r="A1784" s="412" t="s">
        <v>192</v>
      </c>
      <c r="B1784" t="s">
        <v>525</v>
      </c>
      <c r="C1784" s="412" t="s">
        <v>553</v>
      </c>
    </row>
    <row r="1785" spans="1:3" x14ac:dyDescent="0.25">
      <c r="A1785" s="412" t="s">
        <v>192</v>
      </c>
      <c r="B1785" t="s">
        <v>527</v>
      </c>
      <c r="C1785">
        <v>65535</v>
      </c>
    </row>
    <row r="1786" spans="1:3" x14ac:dyDescent="0.25">
      <c r="A1786" s="412" t="s">
        <v>191</v>
      </c>
      <c r="B1786" t="s">
        <v>521</v>
      </c>
      <c r="C1786" s="412" t="s">
        <v>712</v>
      </c>
    </row>
    <row r="1787" spans="1:3" x14ac:dyDescent="0.25">
      <c r="A1787" s="412" t="s">
        <v>191</v>
      </c>
      <c r="B1787" t="s">
        <v>523</v>
      </c>
      <c r="C1787">
        <v>2</v>
      </c>
    </row>
    <row r="1788" spans="1:3" x14ac:dyDescent="0.25">
      <c r="A1788" s="412" t="s">
        <v>191</v>
      </c>
      <c r="B1788" t="s">
        <v>524</v>
      </c>
      <c r="C1788">
        <v>16</v>
      </c>
    </row>
    <row r="1789" spans="1:3" x14ac:dyDescent="0.25">
      <c r="A1789" s="412" t="s">
        <v>191</v>
      </c>
      <c r="B1789" t="s">
        <v>525</v>
      </c>
      <c r="C1789" s="412" t="s">
        <v>555</v>
      </c>
    </row>
    <row r="1790" spans="1:3" x14ac:dyDescent="0.25">
      <c r="A1790" s="412" t="s">
        <v>191</v>
      </c>
      <c r="B1790" t="s">
        <v>527</v>
      </c>
      <c r="C1790">
        <v>65535</v>
      </c>
    </row>
    <row r="1791" spans="1:3" x14ac:dyDescent="0.25">
      <c r="A1791" s="412" t="s">
        <v>190</v>
      </c>
      <c r="B1791" t="s">
        <v>521</v>
      </c>
      <c r="C1791" s="412" t="s">
        <v>713</v>
      </c>
    </row>
    <row r="1792" spans="1:3" x14ac:dyDescent="0.25">
      <c r="A1792" s="412" t="s">
        <v>190</v>
      </c>
      <c r="B1792" t="s">
        <v>523</v>
      </c>
      <c r="C1792">
        <v>2</v>
      </c>
    </row>
    <row r="1793" spans="1:3" x14ac:dyDescent="0.25">
      <c r="A1793" s="412" t="s">
        <v>190</v>
      </c>
      <c r="B1793" t="s">
        <v>524</v>
      </c>
      <c r="C1793">
        <v>17</v>
      </c>
    </row>
    <row r="1794" spans="1:3" x14ac:dyDescent="0.25">
      <c r="A1794" s="412" t="s">
        <v>190</v>
      </c>
      <c r="B1794" t="s">
        <v>525</v>
      </c>
      <c r="C1794" s="412" t="s">
        <v>557</v>
      </c>
    </row>
    <row r="1795" spans="1:3" x14ac:dyDescent="0.25">
      <c r="A1795" s="412" t="s">
        <v>190</v>
      </c>
      <c r="B1795" t="s">
        <v>527</v>
      </c>
      <c r="C1795">
        <v>65535</v>
      </c>
    </row>
    <row r="1796" spans="1:3" x14ac:dyDescent="0.25">
      <c r="A1796" s="412" t="s">
        <v>189</v>
      </c>
      <c r="B1796" t="s">
        <v>521</v>
      </c>
      <c r="C1796" s="412" t="s">
        <v>714</v>
      </c>
    </row>
    <row r="1797" spans="1:3" x14ac:dyDescent="0.25">
      <c r="A1797" s="412" t="s">
        <v>189</v>
      </c>
      <c r="B1797" t="s">
        <v>523</v>
      </c>
      <c r="C1797">
        <v>2</v>
      </c>
    </row>
    <row r="1798" spans="1:3" x14ac:dyDescent="0.25">
      <c r="A1798" s="412" t="s">
        <v>189</v>
      </c>
      <c r="B1798" t="s">
        <v>524</v>
      </c>
      <c r="C1798">
        <v>18</v>
      </c>
    </row>
    <row r="1799" spans="1:3" x14ac:dyDescent="0.25">
      <c r="A1799" s="412" t="s">
        <v>189</v>
      </c>
      <c r="B1799" t="s">
        <v>525</v>
      </c>
      <c r="C1799" s="412" t="s">
        <v>559</v>
      </c>
    </row>
    <row r="1800" spans="1:3" x14ac:dyDescent="0.25">
      <c r="A1800" s="412" t="s">
        <v>189</v>
      </c>
      <c r="B1800" t="s">
        <v>527</v>
      </c>
      <c r="C1800">
        <v>65535</v>
      </c>
    </row>
    <row r="1801" spans="1:3" x14ac:dyDescent="0.25">
      <c r="A1801" s="412" t="s">
        <v>188</v>
      </c>
      <c r="B1801" t="s">
        <v>521</v>
      </c>
      <c r="C1801" s="412" t="s">
        <v>715</v>
      </c>
    </row>
    <row r="1802" spans="1:3" x14ac:dyDescent="0.25">
      <c r="A1802" s="412" t="s">
        <v>188</v>
      </c>
      <c r="B1802" t="s">
        <v>523</v>
      </c>
      <c r="C1802">
        <v>2</v>
      </c>
    </row>
    <row r="1803" spans="1:3" x14ac:dyDescent="0.25">
      <c r="A1803" s="412" t="s">
        <v>188</v>
      </c>
      <c r="B1803" t="s">
        <v>524</v>
      </c>
      <c r="C1803">
        <v>19</v>
      </c>
    </row>
    <row r="1804" spans="1:3" x14ac:dyDescent="0.25">
      <c r="A1804" s="412" t="s">
        <v>188</v>
      </c>
      <c r="B1804" t="s">
        <v>525</v>
      </c>
      <c r="C1804" s="412" t="s">
        <v>561</v>
      </c>
    </row>
    <row r="1805" spans="1:3" x14ac:dyDescent="0.25">
      <c r="A1805" s="412" t="s">
        <v>188</v>
      </c>
      <c r="B1805" t="s">
        <v>527</v>
      </c>
      <c r="C1805">
        <v>65535</v>
      </c>
    </row>
    <row r="1806" spans="1:3" x14ac:dyDescent="0.25">
      <c r="A1806" s="412" t="s">
        <v>187</v>
      </c>
      <c r="B1806" t="s">
        <v>521</v>
      </c>
      <c r="C1806" s="412" t="s">
        <v>716</v>
      </c>
    </row>
    <row r="1807" spans="1:3" x14ac:dyDescent="0.25">
      <c r="A1807" s="412" t="s">
        <v>187</v>
      </c>
      <c r="B1807" t="s">
        <v>523</v>
      </c>
      <c r="C1807">
        <v>2</v>
      </c>
    </row>
    <row r="1808" spans="1:3" x14ac:dyDescent="0.25">
      <c r="A1808" s="412" t="s">
        <v>187</v>
      </c>
      <c r="B1808" t="s">
        <v>524</v>
      </c>
      <c r="C1808">
        <v>20</v>
      </c>
    </row>
    <row r="1809" spans="1:3" x14ac:dyDescent="0.25">
      <c r="A1809" s="412" t="s">
        <v>187</v>
      </c>
      <c r="B1809" t="s">
        <v>525</v>
      </c>
      <c r="C1809" s="412" t="s">
        <v>563</v>
      </c>
    </row>
    <row r="1810" spans="1:3" x14ac:dyDescent="0.25">
      <c r="A1810" s="412" t="s">
        <v>187</v>
      </c>
      <c r="B1810" t="s">
        <v>527</v>
      </c>
      <c r="C1810">
        <v>65535</v>
      </c>
    </row>
    <row r="1811" spans="1:3" x14ac:dyDescent="0.25">
      <c r="A1811" s="412" t="s">
        <v>186</v>
      </c>
      <c r="B1811" t="s">
        <v>521</v>
      </c>
      <c r="C1811" s="412" t="s">
        <v>717</v>
      </c>
    </row>
    <row r="1812" spans="1:3" x14ac:dyDescent="0.25">
      <c r="A1812" s="412" t="s">
        <v>186</v>
      </c>
      <c r="B1812" t="s">
        <v>523</v>
      </c>
      <c r="C1812">
        <v>2</v>
      </c>
    </row>
    <row r="1813" spans="1:3" x14ac:dyDescent="0.25">
      <c r="A1813" s="412" t="s">
        <v>186</v>
      </c>
      <c r="B1813" t="s">
        <v>524</v>
      </c>
      <c r="C1813">
        <v>21</v>
      </c>
    </row>
    <row r="1814" spans="1:3" x14ac:dyDescent="0.25">
      <c r="A1814" s="412" t="s">
        <v>186</v>
      </c>
      <c r="B1814" t="s">
        <v>525</v>
      </c>
      <c r="C1814" s="412" t="s">
        <v>565</v>
      </c>
    </row>
    <row r="1815" spans="1:3" x14ac:dyDescent="0.25">
      <c r="A1815" s="412" t="s">
        <v>186</v>
      </c>
      <c r="B1815" t="s">
        <v>527</v>
      </c>
      <c r="C1815">
        <v>65535</v>
      </c>
    </row>
    <row r="1816" spans="1:3" x14ac:dyDescent="0.25">
      <c r="A1816" s="412" t="s">
        <v>185</v>
      </c>
      <c r="B1816" t="s">
        <v>521</v>
      </c>
      <c r="C1816" s="412" t="s">
        <v>718</v>
      </c>
    </row>
    <row r="1817" spans="1:3" x14ac:dyDescent="0.25">
      <c r="A1817" s="412" t="s">
        <v>185</v>
      </c>
      <c r="B1817" t="s">
        <v>523</v>
      </c>
      <c r="C1817">
        <v>2</v>
      </c>
    </row>
    <row r="1818" spans="1:3" x14ac:dyDescent="0.25">
      <c r="A1818" s="412" t="s">
        <v>185</v>
      </c>
      <c r="B1818" t="s">
        <v>524</v>
      </c>
      <c r="C1818">
        <v>22</v>
      </c>
    </row>
    <row r="1819" spans="1:3" x14ac:dyDescent="0.25">
      <c r="A1819" s="412" t="s">
        <v>185</v>
      </c>
      <c r="B1819" t="s">
        <v>525</v>
      </c>
      <c r="C1819" s="412" t="s">
        <v>567</v>
      </c>
    </row>
    <row r="1820" spans="1:3" x14ac:dyDescent="0.25">
      <c r="A1820" s="412" t="s">
        <v>185</v>
      </c>
      <c r="B1820" t="s">
        <v>527</v>
      </c>
      <c r="C1820">
        <v>65535</v>
      </c>
    </row>
    <row r="1821" spans="1:3" x14ac:dyDescent="0.25">
      <c r="A1821" s="412" t="s">
        <v>184</v>
      </c>
      <c r="B1821" t="s">
        <v>521</v>
      </c>
      <c r="C1821" s="412" t="s">
        <v>719</v>
      </c>
    </row>
    <row r="1822" spans="1:3" x14ac:dyDescent="0.25">
      <c r="A1822" s="412" t="s">
        <v>184</v>
      </c>
      <c r="B1822" t="s">
        <v>523</v>
      </c>
      <c r="C1822">
        <v>2</v>
      </c>
    </row>
    <row r="1823" spans="1:3" x14ac:dyDescent="0.25">
      <c r="A1823" s="412" t="s">
        <v>184</v>
      </c>
      <c r="B1823" t="s">
        <v>524</v>
      </c>
      <c r="C1823">
        <v>23</v>
      </c>
    </row>
    <row r="1824" spans="1:3" x14ac:dyDescent="0.25">
      <c r="A1824" s="412" t="s">
        <v>184</v>
      </c>
      <c r="B1824" t="s">
        <v>525</v>
      </c>
      <c r="C1824" s="412" t="s">
        <v>569</v>
      </c>
    </row>
    <row r="1825" spans="1:3" x14ac:dyDescent="0.25">
      <c r="A1825" s="412" t="s">
        <v>184</v>
      </c>
      <c r="B1825" t="s">
        <v>527</v>
      </c>
      <c r="C1825">
        <v>65535</v>
      </c>
    </row>
    <row r="1826" spans="1:3" x14ac:dyDescent="0.25">
      <c r="A1826" s="412" t="s">
        <v>183</v>
      </c>
      <c r="B1826" t="s">
        <v>521</v>
      </c>
      <c r="C1826" s="412" t="s">
        <v>734</v>
      </c>
    </row>
    <row r="1827" spans="1:3" x14ac:dyDescent="0.25">
      <c r="A1827" s="412" t="s">
        <v>183</v>
      </c>
      <c r="B1827" t="s">
        <v>523</v>
      </c>
      <c r="C1827">
        <v>2</v>
      </c>
    </row>
    <row r="1828" spans="1:3" x14ac:dyDescent="0.25">
      <c r="A1828" s="412" t="s">
        <v>183</v>
      </c>
      <c r="B1828" t="s">
        <v>524</v>
      </c>
      <c r="C1828">
        <v>24</v>
      </c>
    </row>
    <row r="1829" spans="1:3" x14ac:dyDescent="0.25">
      <c r="A1829" s="412" t="s">
        <v>183</v>
      </c>
      <c r="B1829" t="s">
        <v>525</v>
      </c>
      <c r="C1829" s="412" t="s">
        <v>571</v>
      </c>
    </row>
    <row r="1830" spans="1:3" x14ac:dyDescent="0.25">
      <c r="A1830" s="412" t="s">
        <v>183</v>
      </c>
      <c r="B1830" t="s">
        <v>527</v>
      </c>
      <c r="C1830">
        <v>65535</v>
      </c>
    </row>
    <row r="1831" spans="1:3" x14ac:dyDescent="0.25">
      <c r="A1831" s="412" t="s">
        <v>182</v>
      </c>
      <c r="B1831" t="s">
        <v>521</v>
      </c>
      <c r="C1831" s="412" t="s">
        <v>735</v>
      </c>
    </row>
    <row r="1832" spans="1:3" x14ac:dyDescent="0.25">
      <c r="A1832" s="412" t="s">
        <v>182</v>
      </c>
      <c r="B1832" t="s">
        <v>523</v>
      </c>
      <c r="C1832">
        <v>2</v>
      </c>
    </row>
    <row r="1833" spans="1:3" x14ac:dyDescent="0.25">
      <c r="A1833" s="412" t="s">
        <v>182</v>
      </c>
      <c r="B1833" t="s">
        <v>524</v>
      </c>
      <c r="C1833">
        <v>25</v>
      </c>
    </row>
    <row r="1834" spans="1:3" x14ac:dyDescent="0.25">
      <c r="A1834" s="412" t="s">
        <v>182</v>
      </c>
      <c r="B1834" t="s">
        <v>525</v>
      </c>
      <c r="C1834" s="412" t="s">
        <v>573</v>
      </c>
    </row>
    <row r="1835" spans="1:3" x14ac:dyDescent="0.25">
      <c r="A1835" s="412" t="s">
        <v>182</v>
      </c>
      <c r="B1835" t="s">
        <v>527</v>
      </c>
      <c r="C1835">
        <v>65535</v>
      </c>
    </row>
    <row r="1836" spans="1:3" x14ac:dyDescent="0.25">
      <c r="A1836" s="412" t="s">
        <v>181</v>
      </c>
      <c r="B1836" t="s">
        <v>521</v>
      </c>
      <c r="C1836" s="412" t="s">
        <v>736</v>
      </c>
    </row>
    <row r="1837" spans="1:3" x14ac:dyDescent="0.25">
      <c r="A1837" s="412" t="s">
        <v>181</v>
      </c>
      <c r="B1837" t="s">
        <v>523</v>
      </c>
      <c r="C1837">
        <v>2</v>
      </c>
    </row>
    <row r="1838" spans="1:3" x14ac:dyDescent="0.25">
      <c r="A1838" s="412" t="s">
        <v>181</v>
      </c>
      <c r="B1838" t="s">
        <v>524</v>
      </c>
      <c r="C1838">
        <v>26</v>
      </c>
    </row>
    <row r="1839" spans="1:3" x14ac:dyDescent="0.25">
      <c r="A1839" s="412" t="s">
        <v>181</v>
      </c>
      <c r="B1839" t="s">
        <v>525</v>
      </c>
      <c r="C1839" s="412" t="s">
        <v>575</v>
      </c>
    </row>
    <row r="1840" spans="1:3" x14ac:dyDescent="0.25">
      <c r="A1840" s="412" t="s">
        <v>181</v>
      </c>
      <c r="B1840" t="s">
        <v>527</v>
      </c>
      <c r="C1840">
        <v>65535</v>
      </c>
    </row>
    <row r="1841" spans="1:3" x14ac:dyDescent="0.25">
      <c r="A1841" s="412" t="s">
        <v>180</v>
      </c>
      <c r="B1841" t="s">
        <v>521</v>
      </c>
      <c r="C1841" s="412" t="s">
        <v>737</v>
      </c>
    </row>
    <row r="1842" spans="1:3" x14ac:dyDescent="0.25">
      <c r="A1842" s="412" t="s">
        <v>180</v>
      </c>
      <c r="B1842" t="s">
        <v>523</v>
      </c>
      <c r="C1842">
        <v>2</v>
      </c>
    </row>
    <row r="1843" spans="1:3" x14ac:dyDescent="0.25">
      <c r="A1843" s="412" t="s">
        <v>180</v>
      </c>
      <c r="B1843" t="s">
        <v>524</v>
      </c>
      <c r="C1843">
        <v>27</v>
      </c>
    </row>
    <row r="1844" spans="1:3" x14ac:dyDescent="0.25">
      <c r="A1844" s="412" t="s">
        <v>180</v>
      </c>
      <c r="B1844" t="s">
        <v>525</v>
      </c>
      <c r="C1844" s="412" t="s">
        <v>577</v>
      </c>
    </row>
    <row r="1845" spans="1:3" x14ac:dyDescent="0.25">
      <c r="A1845" s="412" t="s">
        <v>180</v>
      </c>
      <c r="B1845" t="s">
        <v>527</v>
      </c>
      <c r="C1845">
        <v>65535</v>
      </c>
    </row>
    <row r="1846" spans="1:3" x14ac:dyDescent="0.25">
      <c r="A1846" s="412" t="s">
        <v>179</v>
      </c>
      <c r="B1846" t="s">
        <v>521</v>
      </c>
      <c r="C1846" s="412" t="s">
        <v>738</v>
      </c>
    </row>
    <row r="1847" spans="1:3" x14ac:dyDescent="0.25">
      <c r="A1847" s="412" t="s">
        <v>179</v>
      </c>
      <c r="B1847" t="s">
        <v>523</v>
      </c>
      <c r="C1847">
        <v>2</v>
      </c>
    </row>
    <row r="1848" spans="1:3" x14ac:dyDescent="0.25">
      <c r="A1848" s="412" t="s">
        <v>179</v>
      </c>
      <c r="B1848" t="s">
        <v>524</v>
      </c>
      <c r="C1848">
        <v>28</v>
      </c>
    </row>
    <row r="1849" spans="1:3" x14ac:dyDescent="0.25">
      <c r="A1849" s="412" t="s">
        <v>179</v>
      </c>
      <c r="B1849" t="s">
        <v>525</v>
      </c>
      <c r="C1849" s="412" t="s">
        <v>739</v>
      </c>
    </row>
    <row r="1850" spans="1:3" x14ac:dyDescent="0.25">
      <c r="A1850" s="412" t="s">
        <v>179</v>
      </c>
      <c r="B1850" t="s">
        <v>527</v>
      </c>
      <c r="C1850">
        <v>65535</v>
      </c>
    </row>
    <row r="1851" spans="1:3" x14ac:dyDescent="0.25">
      <c r="A1851" s="412" t="s">
        <v>178</v>
      </c>
      <c r="B1851" t="s">
        <v>521</v>
      </c>
      <c r="C1851" s="412" t="s">
        <v>740</v>
      </c>
    </row>
    <row r="1852" spans="1:3" x14ac:dyDescent="0.25">
      <c r="A1852" s="412" t="s">
        <v>178</v>
      </c>
      <c r="B1852" t="s">
        <v>523</v>
      </c>
      <c r="C1852">
        <v>2</v>
      </c>
    </row>
    <row r="1853" spans="1:3" x14ac:dyDescent="0.25">
      <c r="A1853" s="412" t="s">
        <v>178</v>
      </c>
      <c r="B1853" t="s">
        <v>524</v>
      </c>
      <c r="C1853">
        <v>29</v>
      </c>
    </row>
    <row r="1854" spans="1:3" x14ac:dyDescent="0.25">
      <c r="A1854" s="412" t="s">
        <v>178</v>
      </c>
      <c r="B1854" t="s">
        <v>525</v>
      </c>
      <c r="C1854" s="412" t="s">
        <v>741</v>
      </c>
    </row>
    <row r="1855" spans="1:3" x14ac:dyDescent="0.25">
      <c r="A1855" s="412" t="s">
        <v>178</v>
      </c>
      <c r="B1855" t="s">
        <v>527</v>
      </c>
      <c r="C1855">
        <v>65535</v>
      </c>
    </row>
    <row r="1856" spans="1:3" x14ac:dyDescent="0.25">
      <c r="A1856" s="412" t="s">
        <v>177</v>
      </c>
      <c r="B1856" t="s">
        <v>521</v>
      </c>
      <c r="C1856" s="412" t="s">
        <v>742</v>
      </c>
    </row>
    <row r="1857" spans="1:3" x14ac:dyDescent="0.25">
      <c r="A1857" s="412" t="s">
        <v>177</v>
      </c>
      <c r="B1857" t="s">
        <v>523</v>
      </c>
      <c r="C1857">
        <v>2</v>
      </c>
    </row>
    <row r="1858" spans="1:3" x14ac:dyDescent="0.25">
      <c r="A1858" s="412" t="s">
        <v>177</v>
      </c>
      <c r="B1858" t="s">
        <v>524</v>
      </c>
      <c r="C1858">
        <v>30</v>
      </c>
    </row>
    <row r="1859" spans="1:3" x14ac:dyDescent="0.25">
      <c r="A1859" s="412" t="s">
        <v>177</v>
      </c>
      <c r="B1859" t="s">
        <v>525</v>
      </c>
      <c r="C1859" s="412" t="s">
        <v>743</v>
      </c>
    </row>
    <row r="1860" spans="1:3" x14ac:dyDescent="0.25">
      <c r="A1860" s="412" t="s">
        <v>177</v>
      </c>
      <c r="B1860" t="s">
        <v>527</v>
      </c>
      <c r="C1860">
        <v>65535</v>
      </c>
    </row>
    <row r="1861" spans="1:3" x14ac:dyDescent="0.25">
      <c r="A1861" s="412" t="s">
        <v>176</v>
      </c>
      <c r="B1861" t="s">
        <v>521</v>
      </c>
      <c r="C1861" s="412" t="s">
        <v>744</v>
      </c>
    </row>
    <row r="1862" spans="1:3" x14ac:dyDescent="0.25">
      <c r="A1862" s="412" t="s">
        <v>176</v>
      </c>
      <c r="B1862" t="s">
        <v>523</v>
      </c>
      <c r="C1862">
        <v>2</v>
      </c>
    </row>
    <row r="1863" spans="1:3" x14ac:dyDescent="0.25">
      <c r="A1863" s="412" t="s">
        <v>176</v>
      </c>
      <c r="B1863" t="s">
        <v>524</v>
      </c>
      <c r="C1863">
        <v>31</v>
      </c>
    </row>
    <row r="1864" spans="1:3" x14ac:dyDescent="0.25">
      <c r="A1864" s="412" t="s">
        <v>176</v>
      </c>
      <c r="B1864" t="s">
        <v>525</v>
      </c>
      <c r="C1864" s="412" t="s">
        <v>745</v>
      </c>
    </row>
    <row r="1865" spans="1:3" x14ac:dyDescent="0.25">
      <c r="A1865" s="412" t="s">
        <v>176</v>
      </c>
      <c r="B1865" t="s">
        <v>527</v>
      </c>
      <c r="C1865">
        <v>65535</v>
      </c>
    </row>
    <row r="1866" spans="1:3" x14ac:dyDescent="0.25">
      <c r="A1866" s="412" t="s">
        <v>175</v>
      </c>
      <c r="B1866" t="s">
        <v>521</v>
      </c>
      <c r="C1866" s="412" t="s">
        <v>746</v>
      </c>
    </row>
    <row r="1867" spans="1:3" x14ac:dyDescent="0.25">
      <c r="A1867" s="412" t="s">
        <v>175</v>
      </c>
      <c r="B1867" t="s">
        <v>523</v>
      </c>
      <c r="C1867">
        <v>2</v>
      </c>
    </row>
    <row r="1868" spans="1:3" x14ac:dyDescent="0.25">
      <c r="A1868" s="412" t="s">
        <v>175</v>
      </c>
      <c r="B1868" t="s">
        <v>524</v>
      </c>
      <c r="C1868">
        <v>32</v>
      </c>
    </row>
    <row r="1869" spans="1:3" x14ac:dyDescent="0.25">
      <c r="A1869" s="412" t="s">
        <v>175</v>
      </c>
      <c r="B1869" t="s">
        <v>525</v>
      </c>
      <c r="C1869" s="412" t="s">
        <v>747</v>
      </c>
    </row>
    <row r="1870" spans="1:3" x14ac:dyDescent="0.25">
      <c r="A1870" s="412" t="s">
        <v>175</v>
      </c>
      <c r="B1870" t="s">
        <v>527</v>
      </c>
      <c r="C1870">
        <v>65535</v>
      </c>
    </row>
    <row r="1871" spans="1:3" x14ac:dyDescent="0.25">
      <c r="A1871" s="412" t="s">
        <v>174</v>
      </c>
      <c r="B1871" t="s">
        <v>521</v>
      </c>
      <c r="C1871" s="412" t="s">
        <v>748</v>
      </c>
    </row>
    <row r="1872" spans="1:3" x14ac:dyDescent="0.25">
      <c r="A1872" s="412" t="s">
        <v>174</v>
      </c>
      <c r="B1872" t="s">
        <v>523</v>
      </c>
      <c r="C1872">
        <v>2</v>
      </c>
    </row>
    <row r="1873" spans="1:3" x14ac:dyDescent="0.25">
      <c r="A1873" s="412" t="s">
        <v>174</v>
      </c>
      <c r="B1873" t="s">
        <v>524</v>
      </c>
      <c r="C1873">
        <v>33</v>
      </c>
    </row>
    <row r="1874" spans="1:3" x14ac:dyDescent="0.25">
      <c r="A1874" s="412" t="s">
        <v>174</v>
      </c>
      <c r="B1874" t="s">
        <v>525</v>
      </c>
      <c r="C1874" s="412" t="s">
        <v>749</v>
      </c>
    </row>
    <row r="1875" spans="1:3" x14ac:dyDescent="0.25">
      <c r="A1875" s="412" t="s">
        <v>174</v>
      </c>
      <c r="B1875" t="s">
        <v>527</v>
      </c>
      <c r="C1875">
        <v>65535</v>
      </c>
    </row>
    <row r="1876" spans="1:3" x14ac:dyDescent="0.25">
      <c r="A1876" s="412" t="s">
        <v>173</v>
      </c>
      <c r="B1876" t="s">
        <v>521</v>
      </c>
      <c r="C1876" s="412" t="s">
        <v>750</v>
      </c>
    </row>
    <row r="1877" spans="1:3" x14ac:dyDescent="0.25">
      <c r="A1877" s="412" t="s">
        <v>173</v>
      </c>
      <c r="B1877" t="s">
        <v>523</v>
      </c>
      <c r="C1877">
        <v>2</v>
      </c>
    </row>
    <row r="1878" spans="1:3" x14ac:dyDescent="0.25">
      <c r="A1878" s="412" t="s">
        <v>173</v>
      </c>
      <c r="B1878" t="s">
        <v>524</v>
      </c>
      <c r="C1878">
        <v>34</v>
      </c>
    </row>
    <row r="1879" spans="1:3" x14ac:dyDescent="0.25">
      <c r="A1879" s="412" t="s">
        <v>173</v>
      </c>
      <c r="B1879" t="s">
        <v>525</v>
      </c>
      <c r="C1879" s="412" t="s">
        <v>751</v>
      </c>
    </row>
    <row r="1880" spans="1:3" x14ac:dyDescent="0.25">
      <c r="A1880" s="412" t="s">
        <v>173</v>
      </c>
      <c r="B1880" t="s">
        <v>527</v>
      </c>
      <c r="C1880">
        <v>65535</v>
      </c>
    </row>
    <row r="1881" spans="1:3" x14ac:dyDescent="0.25">
      <c r="A1881" s="412" t="s">
        <v>172</v>
      </c>
      <c r="B1881" t="s">
        <v>521</v>
      </c>
      <c r="C1881" s="412" t="s">
        <v>752</v>
      </c>
    </row>
    <row r="1882" spans="1:3" x14ac:dyDescent="0.25">
      <c r="A1882" s="412" t="s">
        <v>172</v>
      </c>
      <c r="B1882" t="s">
        <v>523</v>
      </c>
      <c r="C1882">
        <v>2</v>
      </c>
    </row>
    <row r="1883" spans="1:3" x14ac:dyDescent="0.25">
      <c r="A1883" s="412" t="s">
        <v>172</v>
      </c>
      <c r="B1883" t="s">
        <v>524</v>
      </c>
      <c r="C1883">
        <v>35</v>
      </c>
    </row>
    <row r="1884" spans="1:3" x14ac:dyDescent="0.25">
      <c r="A1884" s="412" t="s">
        <v>172</v>
      </c>
      <c r="B1884" t="s">
        <v>525</v>
      </c>
      <c r="C1884" s="412" t="s">
        <v>753</v>
      </c>
    </row>
    <row r="1885" spans="1:3" x14ac:dyDescent="0.25">
      <c r="A1885" s="412" t="s">
        <v>172</v>
      </c>
      <c r="B1885" t="s">
        <v>527</v>
      </c>
      <c r="C1885">
        <v>65535</v>
      </c>
    </row>
    <row r="1886" spans="1:3" x14ac:dyDescent="0.25">
      <c r="A1886" s="412" t="s">
        <v>171</v>
      </c>
      <c r="B1886" t="s">
        <v>521</v>
      </c>
      <c r="C1886" s="412" t="s">
        <v>754</v>
      </c>
    </row>
    <row r="1887" spans="1:3" x14ac:dyDescent="0.25">
      <c r="A1887" s="412" t="s">
        <v>171</v>
      </c>
      <c r="B1887" t="s">
        <v>523</v>
      </c>
      <c r="C1887">
        <v>2</v>
      </c>
    </row>
    <row r="1888" spans="1:3" x14ac:dyDescent="0.25">
      <c r="A1888" s="412" t="s">
        <v>171</v>
      </c>
      <c r="B1888" t="s">
        <v>524</v>
      </c>
      <c r="C1888">
        <v>36</v>
      </c>
    </row>
    <row r="1889" spans="1:3" x14ac:dyDescent="0.25">
      <c r="A1889" s="412" t="s">
        <v>171</v>
      </c>
      <c r="B1889" t="s">
        <v>525</v>
      </c>
      <c r="C1889" s="412" t="s">
        <v>755</v>
      </c>
    </row>
    <row r="1890" spans="1:3" x14ac:dyDescent="0.25">
      <c r="A1890" s="412" t="s">
        <v>171</v>
      </c>
      <c r="B1890" t="s">
        <v>527</v>
      </c>
      <c r="C1890">
        <v>65535</v>
      </c>
    </row>
    <row r="1891" spans="1:3" x14ac:dyDescent="0.25">
      <c r="A1891" s="412" t="s">
        <v>170</v>
      </c>
      <c r="B1891" t="s">
        <v>521</v>
      </c>
      <c r="C1891" s="412" t="s">
        <v>756</v>
      </c>
    </row>
    <row r="1892" spans="1:3" x14ac:dyDescent="0.25">
      <c r="A1892" s="412" t="s">
        <v>170</v>
      </c>
      <c r="B1892" t="s">
        <v>523</v>
      </c>
      <c r="C1892">
        <v>2</v>
      </c>
    </row>
    <row r="1893" spans="1:3" x14ac:dyDescent="0.25">
      <c r="A1893" s="412" t="s">
        <v>170</v>
      </c>
      <c r="B1893" t="s">
        <v>524</v>
      </c>
      <c r="C1893">
        <v>37</v>
      </c>
    </row>
    <row r="1894" spans="1:3" x14ac:dyDescent="0.25">
      <c r="A1894" s="412" t="s">
        <v>170</v>
      </c>
      <c r="B1894" t="s">
        <v>525</v>
      </c>
      <c r="C1894" s="412" t="s">
        <v>757</v>
      </c>
    </row>
    <row r="1895" spans="1:3" x14ac:dyDescent="0.25">
      <c r="A1895" s="412" t="s">
        <v>170</v>
      </c>
      <c r="B1895" t="s">
        <v>527</v>
      </c>
      <c r="C1895">
        <v>65535</v>
      </c>
    </row>
    <row r="1896" spans="1:3" x14ac:dyDescent="0.25">
      <c r="A1896" s="412" t="s">
        <v>169</v>
      </c>
      <c r="B1896" t="s">
        <v>521</v>
      </c>
      <c r="C1896" s="412" t="s">
        <v>758</v>
      </c>
    </row>
    <row r="1897" spans="1:3" x14ac:dyDescent="0.25">
      <c r="A1897" s="412" t="s">
        <v>169</v>
      </c>
      <c r="B1897" t="s">
        <v>523</v>
      </c>
      <c r="C1897">
        <v>2</v>
      </c>
    </row>
    <row r="1898" spans="1:3" x14ac:dyDescent="0.25">
      <c r="A1898" s="412" t="s">
        <v>169</v>
      </c>
      <c r="B1898" t="s">
        <v>524</v>
      </c>
      <c r="C1898">
        <v>38</v>
      </c>
    </row>
    <row r="1899" spans="1:3" x14ac:dyDescent="0.25">
      <c r="A1899" s="412" t="s">
        <v>169</v>
      </c>
      <c r="B1899" t="s">
        <v>525</v>
      </c>
      <c r="C1899" s="412" t="s">
        <v>759</v>
      </c>
    </row>
    <row r="1900" spans="1:3" x14ac:dyDescent="0.25">
      <c r="A1900" s="412" t="s">
        <v>169</v>
      </c>
      <c r="B1900" t="s">
        <v>527</v>
      </c>
      <c r="C1900">
        <v>65535</v>
      </c>
    </row>
    <row r="1901" spans="1:3" x14ac:dyDescent="0.25">
      <c r="A1901" s="412" t="s">
        <v>168</v>
      </c>
      <c r="B1901" t="s">
        <v>521</v>
      </c>
      <c r="C1901" s="412" t="s">
        <v>760</v>
      </c>
    </row>
    <row r="1902" spans="1:3" x14ac:dyDescent="0.25">
      <c r="A1902" s="412" t="s">
        <v>168</v>
      </c>
      <c r="B1902" t="s">
        <v>523</v>
      </c>
      <c r="C1902">
        <v>2</v>
      </c>
    </row>
    <row r="1903" spans="1:3" x14ac:dyDescent="0.25">
      <c r="A1903" s="412" t="s">
        <v>168</v>
      </c>
      <c r="B1903" t="s">
        <v>524</v>
      </c>
      <c r="C1903">
        <v>39</v>
      </c>
    </row>
    <row r="1904" spans="1:3" x14ac:dyDescent="0.25">
      <c r="A1904" s="412" t="s">
        <v>168</v>
      </c>
      <c r="B1904" t="s">
        <v>525</v>
      </c>
      <c r="C1904" s="412" t="s">
        <v>761</v>
      </c>
    </row>
    <row r="1905" spans="1:3" x14ac:dyDescent="0.25">
      <c r="A1905" s="412" t="s">
        <v>168</v>
      </c>
      <c r="B1905" t="s">
        <v>527</v>
      </c>
      <c r="C1905">
        <v>65535</v>
      </c>
    </row>
    <row r="1906" spans="1:3" x14ac:dyDescent="0.25">
      <c r="A1906" s="412" t="s">
        <v>167</v>
      </c>
      <c r="B1906" t="s">
        <v>521</v>
      </c>
      <c r="C1906" s="412" t="s">
        <v>762</v>
      </c>
    </row>
    <row r="1907" spans="1:3" x14ac:dyDescent="0.25">
      <c r="A1907" s="412" t="s">
        <v>167</v>
      </c>
      <c r="B1907" t="s">
        <v>523</v>
      </c>
      <c r="C1907">
        <v>2</v>
      </c>
    </row>
    <row r="1908" spans="1:3" x14ac:dyDescent="0.25">
      <c r="A1908" s="412" t="s">
        <v>167</v>
      </c>
      <c r="B1908" t="s">
        <v>524</v>
      </c>
      <c r="C1908">
        <v>40</v>
      </c>
    </row>
    <row r="1909" spans="1:3" x14ac:dyDescent="0.25">
      <c r="A1909" s="412" t="s">
        <v>167</v>
      </c>
      <c r="B1909" t="s">
        <v>525</v>
      </c>
      <c r="C1909" s="412" t="s">
        <v>763</v>
      </c>
    </row>
    <row r="1910" spans="1:3" x14ac:dyDescent="0.25">
      <c r="A1910" s="412" t="s">
        <v>167</v>
      </c>
      <c r="B1910" t="s">
        <v>527</v>
      </c>
      <c r="C1910">
        <v>65535</v>
      </c>
    </row>
    <row r="1911" spans="1:3" x14ac:dyDescent="0.25">
      <c r="A1911" s="412" t="s">
        <v>166</v>
      </c>
      <c r="B1911" t="s">
        <v>521</v>
      </c>
      <c r="C1911" s="412" t="s">
        <v>764</v>
      </c>
    </row>
    <row r="1912" spans="1:3" x14ac:dyDescent="0.25">
      <c r="A1912" s="412" t="s">
        <v>166</v>
      </c>
      <c r="B1912" t="s">
        <v>523</v>
      </c>
      <c r="C1912">
        <v>2</v>
      </c>
    </row>
    <row r="1913" spans="1:3" x14ac:dyDescent="0.25">
      <c r="A1913" s="412" t="s">
        <v>166</v>
      </c>
      <c r="B1913" t="s">
        <v>524</v>
      </c>
      <c r="C1913">
        <v>41</v>
      </c>
    </row>
    <row r="1914" spans="1:3" x14ac:dyDescent="0.25">
      <c r="A1914" s="412" t="s">
        <v>166</v>
      </c>
      <c r="B1914" t="s">
        <v>525</v>
      </c>
      <c r="C1914" s="412" t="s">
        <v>765</v>
      </c>
    </row>
    <row r="1915" spans="1:3" x14ac:dyDescent="0.25">
      <c r="A1915" s="412" t="s">
        <v>166</v>
      </c>
      <c r="B1915" t="s">
        <v>527</v>
      </c>
      <c r="C1915">
        <v>65535</v>
      </c>
    </row>
    <row r="1916" spans="1:3" x14ac:dyDescent="0.25">
      <c r="A1916" s="412" t="s">
        <v>165</v>
      </c>
      <c r="B1916" t="s">
        <v>521</v>
      </c>
      <c r="C1916" s="412" t="s">
        <v>766</v>
      </c>
    </row>
    <row r="1917" spans="1:3" x14ac:dyDescent="0.25">
      <c r="A1917" s="412" t="s">
        <v>165</v>
      </c>
      <c r="B1917" t="s">
        <v>523</v>
      </c>
      <c r="C1917">
        <v>2</v>
      </c>
    </row>
    <row r="1918" spans="1:3" x14ac:dyDescent="0.25">
      <c r="A1918" s="412" t="s">
        <v>165</v>
      </c>
      <c r="B1918" t="s">
        <v>524</v>
      </c>
      <c r="C1918">
        <v>42</v>
      </c>
    </row>
    <row r="1919" spans="1:3" x14ac:dyDescent="0.25">
      <c r="A1919" s="412" t="s">
        <v>165</v>
      </c>
      <c r="B1919" t="s">
        <v>525</v>
      </c>
      <c r="C1919" s="412" t="s">
        <v>767</v>
      </c>
    </row>
    <row r="1920" spans="1:3" x14ac:dyDescent="0.25">
      <c r="A1920" s="412" t="s">
        <v>165</v>
      </c>
      <c r="B1920" t="s">
        <v>527</v>
      </c>
      <c r="C1920">
        <v>65535</v>
      </c>
    </row>
    <row r="1921" spans="1:3" x14ac:dyDescent="0.25">
      <c r="A1921" s="412" t="s">
        <v>164</v>
      </c>
      <c r="B1921" t="s">
        <v>521</v>
      </c>
      <c r="C1921" s="412" t="s">
        <v>768</v>
      </c>
    </row>
    <row r="1922" spans="1:3" x14ac:dyDescent="0.25">
      <c r="A1922" s="412" t="s">
        <v>164</v>
      </c>
      <c r="B1922" t="s">
        <v>523</v>
      </c>
      <c r="C1922">
        <v>2</v>
      </c>
    </row>
    <row r="1923" spans="1:3" x14ac:dyDescent="0.25">
      <c r="A1923" s="412" t="s">
        <v>164</v>
      </c>
      <c r="B1923" t="s">
        <v>524</v>
      </c>
      <c r="C1923">
        <v>43</v>
      </c>
    </row>
    <row r="1924" spans="1:3" x14ac:dyDescent="0.25">
      <c r="A1924" s="412" t="s">
        <v>164</v>
      </c>
      <c r="B1924" t="s">
        <v>525</v>
      </c>
      <c r="C1924" s="412" t="s">
        <v>613</v>
      </c>
    </row>
    <row r="1925" spans="1:3" x14ac:dyDescent="0.25">
      <c r="A1925" s="412" t="s">
        <v>164</v>
      </c>
      <c r="B1925" t="s">
        <v>527</v>
      </c>
      <c r="C1925">
        <v>65535</v>
      </c>
    </row>
    <row r="1926" spans="1:3" x14ac:dyDescent="0.25">
      <c r="A1926" s="412" t="s">
        <v>163</v>
      </c>
      <c r="B1926" t="s">
        <v>521</v>
      </c>
      <c r="C1926" s="412" t="s">
        <v>769</v>
      </c>
    </row>
    <row r="1927" spans="1:3" x14ac:dyDescent="0.25">
      <c r="A1927" s="412" t="s">
        <v>163</v>
      </c>
      <c r="B1927" t="s">
        <v>523</v>
      </c>
      <c r="C1927">
        <v>2</v>
      </c>
    </row>
    <row r="1928" spans="1:3" x14ac:dyDescent="0.25">
      <c r="A1928" s="412" t="s">
        <v>163</v>
      </c>
      <c r="B1928" t="s">
        <v>524</v>
      </c>
      <c r="C1928">
        <v>44</v>
      </c>
    </row>
    <row r="1929" spans="1:3" x14ac:dyDescent="0.25">
      <c r="A1929" s="412" t="s">
        <v>163</v>
      </c>
      <c r="B1929" t="s">
        <v>525</v>
      </c>
      <c r="C1929" s="412" t="s">
        <v>770</v>
      </c>
    </row>
    <row r="1930" spans="1:3" x14ac:dyDescent="0.25">
      <c r="A1930" s="412" t="s">
        <v>163</v>
      </c>
      <c r="B1930" t="s">
        <v>527</v>
      </c>
      <c r="C1930">
        <v>65535</v>
      </c>
    </row>
    <row r="1931" spans="1:3" x14ac:dyDescent="0.25">
      <c r="A1931" s="412" t="s">
        <v>162</v>
      </c>
      <c r="B1931" t="s">
        <v>521</v>
      </c>
      <c r="C1931" s="412" t="s">
        <v>771</v>
      </c>
    </row>
    <row r="1932" spans="1:3" x14ac:dyDescent="0.25">
      <c r="A1932" s="412" t="s">
        <v>162</v>
      </c>
      <c r="B1932" t="s">
        <v>523</v>
      </c>
      <c r="C1932">
        <v>2</v>
      </c>
    </row>
    <row r="1933" spans="1:3" x14ac:dyDescent="0.25">
      <c r="A1933" s="412" t="s">
        <v>162</v>
      </c>
      <c r="B1933" t="s">
        <v>524</v>
      </c>
      <c r="C1933">
        <v>45</v>
      </c>
    </row>
    <row r="1934" spans="1:3" x14ac:dyDescent="0.25">
      <c r="A1934" s="412" t="s">
        <v>162</v>
      </c>
      <c r="B1934" t="s">
        <v>525</v>
      </c>
      <c r="C1934" s="412" t="s">
        <v>772</v>
      </c>
    </row>
    <row r="1935" spans="1:3" x14ac:dyDescent="0.25">
      <c r="A1935" s="412" t="s">
        <v>162</v>
      </c>
      <c r="B1935" t="s">
        <v>527</v>
      </c>
      <c r="C1935">
        <v>65535</v>
      </c>
    </row>
    <row r="1936" spans="1:3" x14ac:dyDescent="0.25">
      <c r="A1936" s="412" t="s">
        <v>161</v>
      </c>
      <c r="B1936" t="s">
        <v>521</v>
      </c>
      <c r="C1936" s="412" t="s">
        <v>773</v>
      </c>
    </row>
    <row r="1937" spans="1:3" x14ac:dyDescent="0.25">
      <c r="A1937" s="412" t="s">
        <v>161</v>
      </c>
      <c r="B1937" t="s">
        <v>523</v>
      </c>
      <c r="C1937">
        <v>2</v>
      </c>
    </row>
    <row r="1938" spans="1:3" x14ac:dyDescent="0.25">
      <c r="A1938" s="412" t="s">
        <v>161</v>
      </c>
      <c r="B1938" t="s">
        <v>524</v>
      </c>
      <c r="C1938">
        <v>46</v>
      </c>
    </row>
    <row r="1939" spans="1:3" x14ac:dyDescent="0.25">
      <c r="A1939" s="412" t="s">
        <v>161</v>
      </c>
      <c r="B1939" t="s">
        <v>525</v>
      </c>
      <c r="C1939" s="412" t="s">
        <v>774</v>
      </c>
    </row>
    <row r="1940" spans="1:3" x14ac:dyDescent="0.25">
      <c r="A1940" s="412" t="s">
        <v>161</v>
      </c>
      <c r="B1940" t="s">
        <v>527</v>
      </c>
      <c r="C1940">
        <v>65535</v>
      </c>
    </row>
    <row r="1941" spans="1:3" x14ac:dyDescent="0.25">
      <c r="A1941" s="412" t="s">
        <v>160</v>
      </c>
      <c r="B1941" t="s">
        <v>521</v>
      </c>
      <c r="C1941" s="412" t="s">
        <v>775</v>
      </c>
    </row>
    <row r="1942" spans="1:3" x14ac:dyDescent="0.25">
      <c r="A1942" s="412" t="s">
        <v>160</v>
      </c>
      <c r="B1942" t="s">
        <v>523</v>
      </c>
      <c r="C1942">
        <v>2</v>
      </c>
    </row>
    <row r="1943" spans="1:3" x14ac:dyDescent="0.25">
      <c r="A1943" s="412" t="s">
        <v>160</v>
      </c>
      <c r="B1943" t="s">
        <v>524</v>
      </c>
      <c r="C1943">
        <v>47</v>
      </c>
    </row>
    <row r="1944" spans="1:3" x14ac:dyDescent="0.25">
      <c r="A1944" s="412" t="s">
        <v>160</v>
      </c>
      <c r="B1944" t="s">
        <v>525</v>
      </c>
      <c r="C1944" s="412" t="s">
        <v>776</v>
      </c>
    </row>
    <row r="1945" spans="1:3" x14ac:dyDescent="0.25">
      <c r="A1945" s="412" t="s">
        <v>160</v>
      </c>
      <c r="B1945" t="s">
        <v>527</v>
      </c>
      <c r="C1945">
        <v>65535</v>
      </c>
    </row>
    <row r="1946" spans="1:3" x14ac:dyDescent="0.25">
      <c r="A1946" s="412" t="s">
        <v>159</v>
      </c>
      <c r="B1946" t="s">
        <v>521</v>
      </c>
      <c r="C1946" s="412" t="s">
        <v>777</v>
      </c>
    </row>
    <row r="1947" spans="1:3" x14ac:dyDescent="0.25">
      <c r="A1947" s="412" t="s">
        <v>159</v>
      </c>
      <c r="B1947" t="s">
        <v>523</v>
      </c>
      <c r="C1947">
        <v>2</v>
      </c>
    </row>
    <row r="1948" spans="1:3" x14ac:dyDescent="0.25">
      <c r="A1948" s="412" t="s">
        <v>159</v>
      </c>
      <c r="B1948" t="s">
        <v>524</v>
      </c>
      <c r="C1948">
        <v>48</v>
      </c>
    </row>
    <row r="1949" spans="1:3" x14ac:dyDescent="0.25">
      <c r="A1949" s="412" t="s">
        <v>159</v>
      </c>
      <c r="B1949" t="s">
        <v>525</v>
      </c>
      <c r="C1949" s="412" t="s">
        <v>778</v>
      </c>
    </row>
    <row r="1950" spans="1:3" x14ac:dyDescent="0.25">
      <c r="A1950" s="412" t="s">
        <v>159</v>
      </c>
      <c r="B1950" t="s">
        <v>527</v>
      </c>
      <c r="C1950">
        <v>65535</v>
      </c>
    </row>
    <row r="1951" spans="1:3" x14ac:dyDescent="0.25">
      <c r="A1951" s="412" t="s">
        <v>114</v>
      </c>
      <c r="B1951" t="s">
        <v>521</v>
      </c>
      <c r="C1951" s="412" t="s">
        <v>779</v>
      </c>
    </row>
    <row r="1952" spans="1:3" x14ac:dyDescent="0.25">
      <c r="A1952" s="412" t="s">
        <v>114</v>
      </c>
      <c r="B1952" t="s">
        <v>523</v>
      </c>
      <c r="C1952">
        <v>2</v>
      </c>
    </row>
    <row r="1953" spans="1:3" x14ac:dyDescent="0.25">
      <c r="A1953" s="412" t="s">
        <v>114</v>
      </c>
      <c r="B1953" t="s">
        <v>524</v>
      </c>
      <c r="C1953">
        <v>49</v>
      </c>
    </row>
    <row r="1954" spans="1:3" x14ac:dyDescent="0.25">
      <c r="A1954" s="412" t="s">
        <v>114</v>
      </c>
      <c r="B1954" t="s">
        <v>525</v>
      </c>
      <c r="C1954" s="412" t="s">
        <v>780</v>
      </c>
    </row>
    <row r="1955" spans="1:3" x14ac:dyDescent="0.25">
      <c r="A1955" s="412" t="s">
        <v>114</v>
      </c>
      <c r="B1955" t="s">
        <v>527</v>
      </c>
      <c r="C1955">
        <v>65535</v>
      </c>
    </row>
    <row r="1956" spans="1:3" x14ac:dyDescent="0.25">
      <c r="A1956" s="412" t="s">
        <v>158</v>
      </c>
      <c r="B1956" t="s">
        <v>521</v>
      </c>
      <c r="C1956" s="412" t="s">
        <v>781</v>
      </c>
    </row>
    <row r="1957" spans="1:3" x14ac:dyDescent="0.25">
      <c r="A1957" s="412" t="s">
        <v>158</v>
      </c>
      <c r="B1957" t="s">
        <v>523</v>
      </c>
      <c r="C1957">
        <v>2</v>
      </c>
    </row>
    <row r="1958" spans="1:3" x14ac:dyDescent="0.25">
      <c r="A1958" s="412" t="s">
        <v>158</v>
      </c>
      <c r="B1958" t="s">
        <v>524</v>
      </c>
      <c r="C1958">
        <v>50</v>
      </c>
    </row>
    <row r="1959" spans="1:3" x14ac:dyDescent="0.25">
      <c r="A1959" s="412" t="s">
        <v>158</v>
      </c>
      <c r="B1959" t="s">
        <v>525</v>
      </c>
      <c r="C1959" s="412" t="s">
        <v>782</v>
      </c>
    </row>
    <row r="1960" spans="1:3" x14ac:dyDescent="0.25">
      <c r="A1960" s="412" t="s">
        <v>158</v>
      </c>
      <c r="B1960" t="s">
        <v>527</v>
      </c>
      <c r="C1960">
        <v>65535</v>
      </c>
    </row>
    <row r="1961" spans="1:3" x14ac:dyDescent="0.25">
      <c r="A1961" s="412" t="s">
        <v>116</v>
      </c>
      <c r="B1961" t="s">
        <v>521</v>
      </c>
      <c r="C1961" s="412" t="s">
        <v>783</v>
      </c>
    </row>
    <row r="1962" spans="1:3" x14ac:dyDescent="0.25">
      <c r="A1962" s="412" t="s">
        <v>116</v>
      </c>
      <c r="B1962" t="s">
        <v>523</v>
      </c>
      <c r="C1962">
        <v>2</v>
      </c>
    </row>
    <row r="1963" spans="1:3" x14ac:dyDescent="0.25">
      <c r="A1963" s="412" t="s">
        <v>116</v>
      </c>
      <c r="B1963" t="s">
        <v>524</v>
      </c>
      <c r="C1963">
        <v>51</v>
      </c>
    </row>
    <row r="1964" spans="1:3" x14ac:dyDescent="0.25">
      <c r="A1964" s="412" t="s">
        <v>116</v>
      </c>
      <c r="B1964" t="s">
        <v>525</v>
      </c>
      <c r="C1964" s="412" t="s">
        <v>784</v>
      </c>
    </row>
    <row r="1965" spans="1:3" x14ac:dyDescent="0.25">
      <c r="A1965" s="412" t="s">
        <v>116</v>
      </c>
      <c r="B1965" t="s">
        <v>527</v>
      </c>
      <c r="C1965">
        <v>65535</v>
      </c>
    </row>
    <row r="1966" spans="1:3" x14ac:dyDescent="0.25">
      <c r="A1966" s="412" t="s">
        <v>157</v>
      </c>
      <c r="B1966" t="s">
        <v>521</v>
      </c>
      <c r="C1966" s="412" t="s">
        <v>785</v>
      </c>
    </row>
    <row r="1967" spans="1:3" x14ac:dyDescent="0.25">
      <c r="A1967" s="412" t="s">
        <v>157</v>
      </c>
      <c r="B1967" t="s">
        <v>523</v>
      </c>
      <c r="C1967">
        <v>2</v>
      </c>
    </row>
    <row r="1968" spans="1:3" x14ac:dyDescent="0.25">
      <c r="A1968" s="412" t="s">
        <v>157</v>
      </c>
      <c r="B1968" t="s">
        <v>524</v>
      </c>
      <c r="C1968">
        <v>52</v>
      </c>
    </row>
    <row r="1969" spans="1:3" x14ac:dyDescent="0.25">
      <c r="A1969" s="412" t="s">
        <v>157</v>
      </c>
      <c r="B1969" t="s">
        <v>525</v>
      </c>
      <c r="C1969" s="412" t="s">
        <v>786</v>
      </c>
    </row>
    <row r="1970" spans="1:3" x14ac:dyDescent="0.25">
      <c r="A1970" s="412" t="s">
        <v>157</v>
      </c>
      <c r="B1970" t="s">
        <v>527</v>
      </c>
      <c r="C1970">
        <v>65535</v>
      </c>
    </row>
    <row r="1971" spans="1:3" x14ac:dyDescent="0.25">
      <c r="A1971" s="412" t="s">
        <v>156</v>
      </c>
      <c r="B1971" t="s">
        <v>521</v>
      </c>
      <c r="C1971" s="412" t="s">
        <v>787</v>
      </c>
    </row>
    <row r="1972" spans="1:3" x14ac:dyDescent="0.25">
      <c r="A1972" s="412" t="s">
        <v>156</v>
      </c>
      <c r="B1972" t="s">
        <v>523</v>
      </c>
      <c r="C1972">
        <v>2</v>
      </c>
    </row>
    <row r="1973" spans="1:3" x14ac:dyDescent="0.25">
      <c r="A1973" s="412" t="s">
        <v>156</v>
      </c>
      <c r="B1973" t="s">
        <v>524</v>
      </c>
      <c r="C1973">
        <v>53</v>
      </c>
    </row>
    <row r="1974" spans="1:3" x14ac:dyDescent="0.25">
      <c r="A1974" s="412" t="s">
        <v>156</v>
      </c>
      <c r="B1974" t="s">
        <v>525</v>
      </c>
      <c r="C1974" s="412" t="s">
        <v>788</v>
      </c>
    </row>
    <row r="1975" spans="1:3" x14ac:dyDescent="0.25">
      <c r="A1975" s="412" t="s">
        <v>156</v>
      </c>
      <c r="B1975" t="s">
        <v>527</v>
      </c>
      <c r="C1975">
        <v>65535</v>
      </c>
    </row>
    <row r="1976" spans="1:3" x14ac:dyDescent="0.25">
      <c r="A1976" s="412" t="s">
        <v>155</v>
      </c>
      <c r="B1976" t="s">
        <v>521</v>
      </c>
      <c r="C1976" s="412" t="s">
        <v>789</v>
      </c>
    </row>
    <row r="1977" spans="1:3" x14ac:dyDescent="0.25">
      <c r="A1977" s="412" t="s">
        <v>155</v>
      </c>
      <c r="B1977" t="s">
        <v>523</v>
      </c>
      <c r="C1977">
        <v>2</v>
      </c>
    </row>
    <row r="1978" spans="1:3" x14ac:dyDescent="0.25">
      <c r="A1978" s="412" t="s">
        <v>155</v>
      </c>
      <c r="B1978" t="s">
        <v>524</v>
      </c>
      <c r="C1978">
        <v>54</v>
      </c>
    </row>
    <row r="1979" spans="1:3" x14ac:dyDescent="0.25">
      <c r="A1979" s="412" t="s">
        <v>155</v>
      </c>
      <c r="B1979" t="s">
        <v>525</v>
      </c>
      <c r="C1979" s="412" t="s">
        <v>790</v>
      </c>
    </row>
    <row r="1980" spans="1:3" x14ac:dyDescent="0.25">
      <c r="A1980" s="412" t="s">
        <v>155</v>
      </c>
      <c r="B1980" t="s">
        <v>527</v>
      </c>
      <c r="C1980">
        <v>65535</v>
      </c>
    </row>
    <row r="1981" spans="1:3" x14ac:dyDescent="0.25">
      <c r="A1981" s="412" t="s">
        <v>154</v>
      </c>
      <c r="B1981" t="s">
        <v>521</v>
      </c>
      <c r="C1981" s="412" t="s">
        <v>791</v>
      </c>
    </row>
    <row r="1982" spans="1:3" x14ac:dyDescent="0.25">
      <c r="A1982" s="412" t="s">
        <v>154</v>
      </c>
      <c r="B1982" t="s">
        <v>523</v>
      </c>
      <c r="C1982">
        <v>2</v>
      </c>
    </row>
    <row r="1983" spans="1:3" x14ac:dyDescent="0.25">
      <c r="A1983" s="412" t="s">
        <v>154</v>
      </c>
      <c r="B1983" t="s">
        <v>524</v>
      </c>
      <c r="C1983">
        <v>55</v>
      </c>
    </row>
    <row r="1984" spans="1:3" x14ac:dyDescent="0.25">
      <c r="A1984" s="412" t="s">
        <v>154</v>
      </c>
      <c r="B1984" t="s">
        <v>525</v>
      </c>
      <c r="C1984" s="412" t="s">
        <v>792</v>
      </c>
    </row>
    <row r="1985" spans="1:3" x14ac:dyDescent="0.25">
      <c r="A1985" s="412" t="s">
        <v>154</v>
      </c>
      <c r="B1985" t="s">
        <v>527</v>
      </c>
      <c r="C1985">
        <v>65535</v>
      </c>
    </row>
    <row r="1986" spans="1:3" x14ac:dyDescent="0.25">
      <c r="A1986" s="412" t="s">
        <v>152</v>
      </c>
      <c r="B1986" t="s">
        <v>521</v>
      </c>
      <c r="C1986" s="412" t="s">
        <v>793</v>
      </c>
    </row>
    <row r="1987" spans="1:3" x14ac:dyDescent="0.25">
      <c r="A1987" s="412" t="s">
        <v>152</v>
      </c>
      <c r="B1987" t="s">
        <v>523</v>
      </c>
      <c r="C1987">
        <v>2</v>
      </c>
    </row>
    <row r="1988" spans="1:3" x14ac:dyDescent="0.25">
      <c r="A1988" s="412" t="s">
        <v>152</v>
      </c>
      <c r="B1988" t="s">
        <v>524</v>
      </c>
      <c r="C1988">
        <v>56</v>
      </c>
    </row>
    <row r="1989" spans="1:3" x14ac:dyDescent="0.25">
      <c r="A1989" s="412" t="s">
        <v>152</v>
      </c>
      <c r="B1989" t="s">
        <v>525</v>
      </c>
      <c r="C1989" s="412" t="s">
        <v>794</v>
      </c>
    </row>
    <row r="1990" spans="1:3" x14ac:dyDescent="0.25">
      <c r="A1990" s="412" t="s">
        <v>152</v>
      </c>
      <c r="B1990" t="s">
        <v>527</v>
      </c>
      <c r="C1990">
        <v>65535</v>
      </c>
    </row>
    <row r="1991" spans="1:3" x14ac:dyDescent="0.25">
      <c r="A1991" s="412" t="s">
        <v>341</v>
      </c>
      <c r="B1991" t="s">
        <v>578</v>
      </c>
      <c r="C1991" t="b">
        <v>0</v>
      </c>
    </row>
    <row r="1992" spans="1:3" x14ac:dyDescent="0.25">
      <c r="A1992" s="412" t="s">
        <v>341</v>
      </c>
      <c r="B1992" t="s">
        <v>579</v>
      </c>
      <c r="C1992" t="b">
        <v>0</v>
      </c>
    </row>
    <row r="1993" spans="1:3" x14ac:dyDescent="0.25">
      <c r="A1993" s="412" t="s">
        <v>341</v>
      </c>
      <c r="B1993" t="s">
        <v>580</v>
      </c>
      <c r="C1993" t="b">
        <v>0</v>
      </c>
    </row>
    <row r="1994" spans="1:3" x14ac:dyDescent="0.25">
      <c r="A1994" s="412" t="s">
        <v>341</v>
      </c>
      <c r="B1994" t="s">
        <v>581</v>
      </c>
      <c r="C1994">
        <v>-1</v>
      </c>
    </row>
    <row r="1995" spans="1:3" x14ac:dyDescent="0.25">
      <c r="A1995" s="412" t="s">
        <v>341</v>
      </c>
      <c r="B1995" t="s">
        <v>582</v>
      </c>
      <c r="C1995">
        <v>-1</v>
      </c>
    </row>
    <row r="1996" spans="1:3" x14ac:dyDescent="0.25">
      <c r="A1996" s="412" t="s">
        <v>341</v>
      </c>
      <c r="B1996" t="s">
        <v>583</v>
      </c>
      <c r="C1996">
        <v>1</v>
      </c>
    </row>
    <row r="1997" spans="1:3" x14ac:dyDescent="0.25">
      <c r="A1997" s="412" t="s">
        <v>341</v>
      </c>
      <c r="B1997" t="s">
        <v>584</v>
      </c>
      <c r="C1997">
        <v>1</v>
      </c>
    </row>
    <row r="1998" spans="1:3" x14ac:dyDescent="0.25">
      <c r="A1998" s="412" t="s">
        <v>341</v>
      </c>
      <c r="B1998" t="s">
        <v>585</v>
      </c>
      <c r="C1998">
        <v>1</v>
      </c>
    </row>
    <row r="1999" spans="1:3" x14ac:dyDescent="0.25">
      <c r="A1999" t="s">
        <v>795</v>
      </c>
    </row>
    <row r="2000" spans="1:3" x14ac:dyDescent="0.25">
      <c r="A2000" t="s">
        <v>801</v>
      </c>
    </row>
    <row r="2001" spans="4:15" x14ac:dyDescent="0.25">
      <c r="D2001" t="s">
        <v>83</v>
      </c>
      <c r="E2001">
        <v>1</v>
      </c>
      <c r="G2001" t="b">
        <v>0</v>
      </c>
      <c r="H2001" t="b">
        <v>0</v>
      </c>
      <c r="I2001" t="b">
        <v>0</v>
      </c>
      <c r="J2001" t="s">
        <v>333</v>
      </c>
      <c r="N2001" t="b">
        <v>0</v>
      </c>
      <c r="O2001" t="s">
        <v>83</v>
      </c>
    </row>
    <row r="2002" spans="4:15" x14ac:dyDescent="0.25">
      <c r="D2002" t="s">
        <v>150</v>
      </c>
      <c r="E2002">
        <v>2</v>
      </c>
      <c r="G2002" t="b">
        <v>0</v>
      </c>
      <c r="H2002" t="b">
        <v>1</v>
      </c>
      <c r="I2002" t="b">
        <v>0</v>
      </c>
      <c r="J2002" t="s">
        <v>334</v>
      </c>
      <c r="L2002">
        <v>10</v>
      </c>
      <c r="M2002">
        <v>0</v>
      </c>
      <c r="N2002" t="b">
        <v>1</v>
      </c>
      <c r="O2002" t="s">
        <v>150</v>
      </c>
    </row>
    <row r="2003" spans="4:15" x14ac:dyDescent="0.25">
      <c r="D2003" t="s">
        <v>149</v>
      </c>
      <c r="E2003">
        <v>3</v>
      </c>
      <c r="G2003" t="b">
        <v>0</v>
      </c>
      <c r="H2003" t="b">
        <v>0</v>
      </c>
      <c r="I2003" t="b">
        <v>0</v>
      </c>
      <c r="J2003" t="s">
        <v>335</v>
      </c>
      <c r="K2003">
        <v>50</v>
      </c>
      <c r="N2003" t="b">
        <v>0</v>
      </c>
      <c r="O2003" t="s">
        <v>149</v>
      </c>
    </row>
    <row r="2004" spans="4:15" x14ac:dyDescent="0.25">
      <c r="D2004" t="s">
        <v>148</v>
      </c>
      <c r="E2004">
        <v>4</v>
      </c>
      <c r="G2004" t="b">
        <v>0</v>
      </c>
      <c r="H2004" t="b">
        <v>0</v>
      </c>
      <c r="I2004" t="b">
        <v>0</v>
      </c>
      <c r="J2004" t="s">
        <v>335</v>
      </c>
      <c r="K2004">
        <v>50</v>
      </c>
      <c r="N2004" t="b">
        <v>0</v>
      </c>
      <c r="O2004" t="s">
        <v>148</v>
      </c>
    </row>
    <row r="2005" spans="4:15" x14ac:dyDescent="0.25">
      <c r="D2005" t="s">
        <v>90</v>
      </c>
      <c r="E2005">
        <v>5</v>
      </c>
      <c r="G2005" t="b">
        <v>0</v>
      </c>
      <c r="H2005" t="b">
        <v>0</v>
      </c>
      <c r="I2005" t="b">
        <v>0</v>
      </c>
      <c r="J2005" t="s">
        <v>335</v>
      </c>
      <c r="K2005">
        <v>50</v>
      </c>
      <c r="N2005" t="b">
        <v>0</v>
      </c>
      <c r="O2005" t="s">
        <v>90</v>
      </c>
    </row>
    <row r="2006" spans="4:15" x14ac:dyDescent="0.25">
      <c r="D2006" t="s">
        <v>147</v>
      </c>
      <c r="E2006">
        <v>6</v>
      </c>
      <c r="G2006" t="b">
        <v>0</v>
      </c>
      <c r="H2006" t="b">
        <v>0</v>
      </c>
      <c r="I2006" t="b">
        <v>0</v>
      </c>
      <c r="J2006" t="s">
        <v>335</v>
      </c>
      <c r="K2006">
        <v>50</v>
      </c>
      <c r="N2006" t="b">
        <v>0</v>
      </c>
      <c r="O2006" t="s">
        <v>147</v>
      </c>
    </row>
    <row r="2007" spans="4:15" x14ac:dyDescent="0.25">
      <c r="D2007" t="s">
        <v>146</v>
      </c>
      <c r="E2007">
        <v>7</v>
      </c>
      <c r="G2007" t="b">
        <v>0</v>
      </c>
      <c r="H2007" t="b">
        <v>0</v>
      </c>
      <c r="I2007" t="b">
        <v>0</v>
      </c>
      <c r="J2007" t="s">
        <v>335</v>
      </c>
      <c r="K2007">
        <v>50</v>
      </c>
      <c r="N2007" t="b">
        <v>0</v>
      </c>
      <c r="O2007" t="s">
        <v>146</v>
      </c>
    </row>
    <row r="2008" spans="4:15" x14ac:dyDescent="0.25">
      <c r="D2008" t="s">
        <v>36</v>
      </c>
      <c r="E2008">
        <v>8</v>
      </c>
      <c r="G2008" t="b">
        <v>0</v>
      </c>
      <c r="H2008" t="b">
        <v>0</v>
      </c>
      <c r="I2008" t="b">
        <v>0</v>
      </c>
      <c r="J2008" t="s">
        <v>333</v>
      </c>
      <c r="N2008" t="b">
        <v>0</v>
      </c>
      <c r="O2008" t="s">
        <v>36</v>
      </c>
    </row>
    <row r="2009" spans="4:15" x14ac:dyDescent="0.25">
      <c r="D2009" t="s">
        <v>75</v>
      </c>
      <c r="E2009">
        <v>9</v>
      </c>
      <c r="G2009" t="b">
        <v>0</v>
      </c>
      <c r="H2009" t="b">
        <v>0</v>
      </c>
      <c r="I2009" t="b">
        <v>0</v>
      </c>
      <c r="J2009" t="s">
        <v>334</v>
      </c>
      <c r="L2009">
        <v>10</v>
      </c>
      <c r="M2009">
        <v>0</v>
      </c>
      <c r="N2009" t="b">
        <v>0</v>
      </c>
      <c r="O2009" t="s">
        <v>75</v>
      </c>
    </row>
    <row r="2010" spans="4:15" x14ac:dyDescent="0.25">
      <c r="D2010" t="s">
        <v>76</v>
      </c>
      <c r="E2010">
        <v>10</v>
      </c>
      <c r="G2010" t="b">
        <v>0</v>
      </c>
      <c r="H2010" t="b">
        <v>0</v>
      </c>
      <c r="I2010" t="b">
        <v>0</v>
      </c>
      <c r="J2010" t="s">
        <v>335</v>
      </c>
      <c r="K2010">
        <v>45</v>
      </c>
      <c r="N2010" t="b">
        <v>0</v>
      </c>
      <c r="O2010" t="s">
        <v>76</v>
      </c>
    </row>
    <row r="2011" spans="4:15" x14ac:dyDescent="0.25">
      <c r="D2011" t="s">
        <v>145</v>
      </c>
      <c r="E2011">
        <v>11</v>
      </c>
      <c r="G2011" t="b">
        <v>0</v>
      </c>
      <c r="H2011" t="b">
        <v>0</v>
      </c>
      <c r="I2011" t="b">
        <v>0</v>
      </c>
      <c r="J2011" t="s">
        <v>333</v>
      </c>
      <c r="N2011" t="b">
        <v>0</v>
      </c>
      <c r="O2011" t="s">
        <v>145</v>
      </c>
    </row>
    <row r="2012" spans="4:15" x14ac:dyDescent="0.25">
      <c r="D2012" t="s">
        <v>144</v>
      </c>
      <c r="E2012">
        <v>12</v>
      </c>
      <c r="G2012" t="b">
        <v>0</v>
      </c>
      <c r="H2012" t="b">
        <v>0</v>
      </c>
      <c r="I2012" t="b">
        <v>0</v>
      </c>
      <c r="J2012" t="s">
        <v>333</v>
      </c>
      <c r="N2012" t="b">
        <v>0</v>
      </c>
      <c r="O2012" t="s">
        <v>144</v>
      </c>
    </row>
    <row r="2013" spans="4:15" x14ac:dyDescent="0.25">
      <c r="D2013" t="s">
        <v>143</v>
      </c>
      <c r="E2013">
        <v>13</v>
      </c>
      <c r="G2013" t="b">
        <v>0</v>
      </c>
      <c r="H2013" t="b">
        <v>0</v>
      </c>
      <c r="I2013" t="b">
        <v>0</v>
      </c>
      <c r="J2013" t="s">
        <v>333</v>
      </c>
      <c r="N2013" t="b">
        <v>0</v>
      </c>
      <c r="O2013" t="s">
        <v>143</v>
      </c>
    </row>
    <row r="2014" spans="4:15" x14ac:dyDescent="0.25">
      <c r="D2014" t="s">
        <v>142</v>
      </c>
      <c r="E2014">
        <v>14</v>
      </c>
      <c r="G2014" t="b">
        <v>0</v>
      </c>
      <c r="H2014" t="b">
        <v>0</v>
      </c>
      <c r="I2014" t="b">
        <v>0</v>
      </c>
      <c r="J2014" t="s">
        <v>335</v>
      </c>
      <c r="K2014">
        <v>50</v>
      </c>
      <c r="N2014" t="b">
        <v>0</v>
      </c>
      <c r="O2014" t="s">
        <v>142</v>
      </c>
    </row>
    <row r="2015" spans="4:15" x14ac:dyDescent="0.25">
      <c r="D2015" t="s">
        <v>141</v>
      </c>
      <c r="E2015">
        <v>15</v>
      </c>
      <c r="G2015" t="b">
        <v>0</v>
      </c>
      <c r="H2015" t="b">
        <v>0</v>
      </c>
      <c r="I2015" t="b">
        <v>0</v>
      </c>
      <c r="J2015" t="s">
        <v>336</v>
      </c>
      <c r="K2015">
        <v>65535</v>
      </c>
      <c r="N2015" t="b">
        <v>0</v>
      </c>
      <c r="O2015" t="s">
        <v>141</v>
      </c>
    </row>
    <row r="2016" spans="4:15" x14ac:dyDescent="0.25">
      <c r="D2016" t="s">
        <v>140</v>
      </c>
      <c r="E2016">
        <v>16</v>
      </c>
      <c r="G2016" t="b">
        <v>0</v>
      </c>
      <c r="H2016" t="b">
        <v>0</v>
      </c>
      <c r="I2016" t="b">
        <v>0</v>
      </c>
      <c r="J2016" t="s">
        <v>335</v>
      </c>
      <c r="K2016">
        <v>11</v>
      </c>
      <c r="N2016" t="b">
        <v>0</v>
      </c>
      <c r="O2016" t="s">
        <v>140</v>
      </c>
    </row>
    <row r="2017" spans="4:15" x14ac:dyDescent="0.25">
      <c r="D2017" t="s">
        <v>139</v>
      </c>
      <c r="E2017">
        <v>17</v>
      </c>
      <c r="G2017" t="b">
        <v>0</v>
      </c>
      <c r="H2017" t="b">
        <v>0</v>
      </c>
      <c r="I2017" t="b">
        <v>0</v>
      </c>
      <c r="J2017" t="s">
        <v>336</v>
      </c>
      <c r="K2017">
        <v>65535</v>
      </c>
      <c r="N2017" t="b">
        <v>0</v>
      </c>
      <c r="O2017" t="s">
        <v>139</v>
      </c>
    </row>
    <row r="2018" spans="4:15" x14ac:dyDescent="0.25">
      <c r="D2018" t="s">
        <v>138</v>
      </c>
      <c r="E2018">
        <v>18</v>
      </c>
      <c r="G2018" t="b">
        <v>0</v>
      </c>
      <c r="H2018" t="b">
        <v>0</v>
      </c>
      <c r="I2018" t="b">
        <v>0</v>
      </c>
      <c r="J2018" t="s">
        <v>333</v>
      </c>
      <c r="N2018" t="b">
        <v>0</v>
      </c>
      <c r="O2018" t="s">
        <v>138</v>
      </c>
    </row>
    <row r="2019" spans="4:15" x14ac:dyDescent="0.25">
      <c r="D2019" t="s">
        <v>137</v>
      </c>
      <c r="E2019">
        <v>19</v>
      </c>
      <c r="G2019" t="b">
        <v>0</v>
      </c>
      <c r="H2019" t="b">
        <v>0</v>
      </c>
      <c r="I2019" t="b">
        <v>0</v>
      </c>
      <c r="J2019" t="s">
        <v>336</v>
      </c>
      <c r="K2019">
        <v>65535</v>
      </c>
      <c r="N2019" t="b">
        <v>0</v>
      </c>
      <c r="O2019" t="s">
        <v>137</v>
      </c>
    </row>
    <row r="2020" spans="4:15" x14ac:dyDescent="0.25">
      <c r="D2020" t="s">
        <v>136</v>
      </c>
      <c r="E2020">
        <v>20</v>
      </c>
      <c r="G2020" t="b">
        <v>0</v>
      </c>
      <c r="H2020" t="b">
        <v>0</v>
      </c>
      <c r="I2020" t="b">
        <v>0</v>
      </c>
      <c r="J2020" t="s">
        <v>335</v>
      </c>
      <c r="K2020">
        <v>10</v>
      </c>
      <c r="N2020" t="b">
        <v>0</v>
      </c>
      <c r="O2020" t="s">
        <v>136</v>
      </c>
    </row>
    <row r="2021" spans="4:15" x14ac:dyDescent="0.25">
      <c r="D2021" t="s">
        <v>135</v>
      </c>
      <c r="E2021">
        <v>21</v>
      </c>
      <c r="G2021" t="b">
        <v>0</v>
      </c>
      <c r="H2021" t="b">
        <v>0</v>
      </c>
      <c r="I2021" t="b">
        <v>0</v>
      </c>
      <c r="J2021" t="s">
        <v>333</v>
      </c>
      <c r="N2021" t="b">
        <v>0</v>
      </c>
      <c r="O2021" t="s">
        <v>135</v>
      </c>
    </row>
    <row r="2022" spans="4:15" x14ac:dyDescent="0.25">
      <c r="D2022" t="s">
        <v>134</v>
      </c>
      <c r="E2022">
        <v>22</v>
      </c>
      <c r="G2022" t="b">
        <v>0</v>
      </c>
      <c r="H2022" t="b">
        <v>0</v>
      </c>
      <c r="I2022" t="b">
        <v>0</v>
      </c>
      <c r="J2022" t="s">
        <v>336</v>
      </c>
      <c r="K2022">
        <v>65535</v>
      </c>
      <c r="N2022" t="b">
        <v>0</v>
      </c>
      <c r="O2022" t="s">
        <v>134</v>
      </c>
    </row>
    <row r="2023" spans="4:15" x14ac:dyDescent="0.25">
      <c r="D2023" t="s">
        <v>133</v>
      </c>
      <c r="E2023">
        <v>23</v>
      </c>
      <c r="G2023" t="b">
        <v>0</v>
      </c>
      <c r="H2023" t="b">
        <v>0</v>
      </c>
      <c r="I2023" t="b">
        <v>0</v>
      </c>
      <c r="J2023" t="s">
        <v>335</v>
      </c>
      <c r="K2023">
        <v>45</v>
      </c>
      <c r="N2023" t="b">
        <v>0</v>
      </c>
      <c r="O2023" t="s">
        <v>133</v>
      </c>
    </row>
    <row r="2024" spans="4:15" x14ac:dyDescent="0.25">
      <c r="D2024" t="s">
        <v>132</v>
      </c>
      <c r="E2024">
        <v>24</v>
      </c>
      <c r="G2024" t="b">
        <v>0</v>
      </c>
      <c r="H2024" t="b">
        <v>0</v>
      </c>
      <c r="I2024" t="b">
        <v>0</v>
      </c>
      <c r="J2024" t="s">
        <v>333</v>
      </c>
      <c r="N2024" t="b">
        <v>0</v>
      </c>
      <c r="O2024" t="s">
        <v>132</v>
      </c>
    </row>
    <row r="2025" spans="4:15" x14ac:dyDescent="0.25">
      <c r="D2025" t="s">
        <v>131</v>
      </c>
      <c r="E2025">
        <v>25</v>
      </c>
      <c r="G2025" t="b">
        <v>0</v>
      </c>
      <c r="H2025" t="b">
        <v>0</v>
      </c>
      <c r="I2025" t="b">
        <v>0</v>
      </c>
      <c r="J2025" t="s">
        <v>336</v>
      </c>
      <c r="K2025">
        <v>65535</v>
      </c>
      <c r="N2025" t="b">
        <v>0</v>
      </c>
      <c r="O2025" t="s">
        <v>131</v>
      </c>
    </row>
    <row r="2026" spans="4:15" x14ac:dyDescent="0.25">
      <c r="D2026" t="s">
        <v>130</v>
      </c>
      <c r="E2026">
        <v>26</v>
      </c>
      <c r="G2026" t="b">
        <v>0</v>
      </c>
      <c r="H2026" t="b">
        <v>0</v>
      </c>
      <c r="I2026" t="b">
        <v>0</v>
      </c>
      <c r="J2026" t="s">
        <v>335</v>
      </c>
      <c r="K2026">
        <v>45</v>
      </c>
      <c r="N2026" t="b">
        <v>0</v>
      </c>
      <c r="O2026" t="s">
        <v>130</v>
      </c>
    </row>
    <row r="2027" spans="4:15" x14ac:dyDescent="0.25">
      <c r="D2027" t="s">
        <v>129</v>
      </c>
      <c r="E2027">
        <v>27</v>
      </c>
      <c r="G2027" t="b">
        <v>0</v>
      </c>
      <c r="H2027" t="b">
        <v>0</v>
      </c>
      <c r="I2027" t="b">
        <v>0</v>
      </c>
      <c r="J2027" t="s">
        <v>333</v>
      </c>
      <c r="N2027" t="b">
        <v>0</v>
      </c>
      <c r="O2027" t="s">
        <v>129</v>
      </c>
    </row>
    <row r="2028" spans="4:15" x14ac:dyDescent="0.25">
      <c r="D2028" t="s">
        <v>128</v>
      </c>
      <c r="E2028">
        <v>28</v>
      </c>
      <c r="G2028" t="b">
        <v>0</v>
      </c>
      <c r="H2028" t="b">
        <v>0</v>
      </c>
      <c r="I2028" t="b">
        <v>0</v>
      </c>
      <c r="J2028" t="s">
        <v>336</v>
      </c>
      <c r="K2028">
        <v>65535</v>
      </c>
      <c r="N2028" t="b">
        <v>0</v>
      </c>
      <c r="O2028" t="s">
        <v>128</v>
      </c>
    </row>
    <row r="2029" spans="4:15" x14ac:dyDescent="0.25">
      <c r="D2029" t="s">
        <v>127</v>
      </c>
      <c r="E2029">
        <v>29</v>
      </c>
      <c r="G2029" t="b">
        <v>0</v>
      </c>
      <c r="H2029" t="b">
        <v>0</v>
      </c>
      <c r="I2029" t="b">
        <v>0</v>
      </c>
      <c r="J2029" t="s">
        <v>335</v>
      </c>
      <c r="K2029">
        <v>50</v>
      </c>
      <c r="N2029" t="b">
        <v>0</v>
      </c>
      <c r="O2029" t="s">
        <v>127</v>
      </c>
    </row>
    <row r="2030" spans="4:15" x14ac:dyDescent="0.25">
      <c r="D2030" t="s">
        <v>126</v>
      </c>
      <c r="E2030">
        <v>30</v>
      </c>
      <c r="G2030" t="b">
        <v>0</v>
      </c>
      <c r="H2030" t="b">
        <v>0</v>
      </c>
      <c r="I2030" t="b">
        <v>0</v>
      </c>
      <c r="J2030" t="s">
        <v>333</v>
      </c>
      <c r="N2030" t="b">
        <v>0</v>
      </c>
      <c r="O2030" t="s">
        <v>126</v>
      </c>
    </row>
    <row r="2031" spans="4:15" x14ac:dyDescent="0.25">
      <c r="D2031" t="s">
        <v>125</v>
      </c>
      <c r="E2031">
        <v>31</v>
      </c>
      <c r="G2031" t="b">
        <v>0</v>
      </c>
      <c r="H2031" t="b">
        <v>0</v>
      </c>
      <c r="I2031" t="b">
        <v>0</v>
      </c>
      <c r="J2031" t="s">
        <v>335</v>
      </c>
      <c r="K2031">
        <v>50</v>
      </c>
      <c r="N2031" t="b">
        <v>0</v>
      </c>
      <c r="O2031" t="s">
        <v>125</v>
      </c>
    </row>
    <row r="2032" spans="4:15" x14ac:dyDescent="0.25">
      <c r="D2032" t="s">
        <v>124</v>
      </c>
      <c r="E2032">
        <v>32</v>
      </c>
      <c r="G2032" t="b">
        <v>0</v>
      </c>
      <c r="H2032" t="b">
        <v>0</v>
      </c>
      <c r="I2032" t="b">
        <v>0</v>
      </c>
      <c r="J2032" t="s">
        <v>333</v>
      </c>
      <c r="N2032" t="b">
        <v>0</v>
      </c>
      <c r="O2032" t="s">
        <v>124</v>
      </c>
    </row>
    <row r="2033" spans="1:3" x14ac:dyDescent="0.25">
      <c r="A2033" t="s">
        <v>802</v>
      </c>
    </row>
    <row r="2034" spans="1:3" x14ac:dyDescent="0.25">
      <c r="A2034" t="s">
        <v>803</v>
      </c>
    </row>
    <row r="2035" spans="1:3" x14ac:dyDescent="0.25">
      <c r="A2035" s="412" t="s">
        <v>341</v>
      </c>
      <c r="B2035" t="s">
        <v>464</v>
      </c>
      <c r="C2035" s="412" t="s">
        <v>357</v>
      </c>
    </row>
    <row r="2036" spans="1:3" x14ac:dyDescent="0.25">
      <c r="A2036" s="412" t="s">
        <v>341</v>
      </c>
      <c r="B2036" t="s">
        <v>465</v>
      </c>
      <c r="C2036" t="b">
        <v>0</v>
      </c>
    </row>
    <row r="2037" spans="1:3" x14ac:dyDescent="0.25">
      <c r="A2037" s="412" t="s">
        <v>341</v>
      </c>
      <c r="B2037" t="s">
        <v>466</v>
      </c>
      <c r="C2037" s="412" t="s">
        <v>467</v>
      </c>
    </row>
    <row r="2038" spans="1:3" x14ac:dyDescent="0.25">
      <c r="A2038" s="412" t="s">
        <v>341</v>
      </c>
      <c r="B2038" t="s">
        <v>468</v>
      </c>
      <c r="C2038" t="b">
        <v>0</v>
      </c>
    </row>
    <row r="2039" spans="1:3" x14ac:dyDescent="0.25">
      <c r="A2039" s="412" t="s">
        <v>341</v>
      </c>
      <c r="B2039" t="s">
        <v>469</v>
      </c>
      <c r="C2039" t="b">
        <v>0</v>
      </c>
    </row>
    <row r="2040" spans="1:3" x14ac:dyDescent="0.25">
      <c r="A2040" s="412" t="s">
        <v>341</v>
      </c>
      <c r="B2040" t="s">
        <v>470</v>
      </c>
      <c r="C2040" t="b">
        <v>0</v>
      </c>
    </row>
    <row r="2041" spans="1:3" x14ac:dyDescent="0.25">
      <c r="A2041" s="412" t="s">
        <v>341</v>
      </c>
      <c r="B2041" t="s">
        <v>471</v>
      </c>
      <c r="C2041" t="b">
        <v>1</v>
      </c>
    </row>
    <row r="2042" spans="1:3" x14ac:dyDescent="0.25">
      <c r="A2042" s="412" t="s">
        <v>472</v>
      </c>
      <c r="B2042" t="s">
        <v>473</v>
      </c>
      <c r="C2042" t="b">
        <v>0</v>
      </c>
    </row>
    <row r="2043" spans="1:3" x14ac:dyDescent="0.25">
      <c r="A2043" s="412" t="s">
        <v>472</v>
      </c>
      <c r="B2043" t="s">
        <v>474</v>
      </c>
      <c r="C2043" s="412" t="s">
        <v>475</v>
      </c>
    </row>
    <row r="2044" spans="1:3" x14ac:dyDescent="0.25">
      <c r="A2044" s="412" t="s">
        <v>472</v>
      </c>
      <c r="B2044" t="s">
        <v>476</v>
      </c>
      <c r="C2044">
        <v>12.57</v>
      </c>
    </row>
    <row r="2045" spans="1:3" x14ac:dyDescent="0.25">
      <c r="A2045" s="412" t="s">
        <v>472</v>
      </c>
      <c r="B2045" t="s">
        <v>477</v>
      </c>
      <c r="C2045" s="412" t="s">
        <v>478</v>
      </c>
    </row>
    <row r="2046" spans="1:3" x14ac:dyDescent="0.25">
      <c r="A2046" s="412" t="s">
        <v>83</v>
      </c>
      <c r="B2046" t="s">
        <v>473</v>
      </c>
      <c r="C2046" t="b">
        <v>0</v>
      </c>
    </row>
    <row r="2047" spans="1:3" x14ac:dyDescent="0.25">
      <c r="A2047" s="412" t="s">
        <v>83</v>
      </c>
      <c r="B2047" t="s">
        <v>474</v>
      </c>
      <c r="C2047" s="412" t="s">
        <v>479</v>
      </c>
    </row>
    <row r="2048" spans="1:3" x14ac:dyDescent="0.25">
      <c r="A2048" s="412" t="s">
        <v>83</v>
      </c>
      <c r="B2048" t="s">
        <v>476</v>
      </c>
      <c r="C2048">
        <v>15.57</v>
      </c>
    </row>
    <row r="2049" spans="1:3" x14ac:dyDescent="0.25">
      <c r="A2049" s="412" t="s">
        <v>83</v>
      </c>
      <c r="B2049" t="s">
        <v>477</v>
      </c>
      <c r="C2049" s="412" t="s">
        <v>480</v>
      </c>
    </row>
    <row r="2050" spans="1:3" x14ac:dyDescent="0.25">
      <c r="A2050" s="412" t="s">
        <v>150</v>
      </c>
      <c r="B2050" t="s">
        <v>473</v>
      </c>
      <c r="C2050" t="b">
        <v>0</v>
      </c>
    </row>
    <row r="2051" spans="1:3" x14ac:dyDescent="0.25">
      <c r="A2051" s="412" t="s">
        <v>150</v>
      </c>
      <c r="B2051" t="s">
        <v>474</v>
      </c>
      <c r="C2051" s="412" t="s">
        <v>490</v>
      </c>
    </row>
    <row r="2052" spans="1:3" x14ac:dyDescent="0.25">
      <c r="A2052" s="412" t="s">
        <v>150</v>
      </c>
      <c r="B2052" t="s">
        <v>476</v>
      </c>
      <c r="C2052">
        <v>14.71</v>
      </c>
    </row>
    <row r="2053" spans="1:3" x14ac:dyDescent="0.25">
      <c r="A2053" s="412" t="s">
        <v>150</v>
      </c>
      <c r="B2053" t="s">
        <v>477</v>
      </c>
      <c r="C2053" s="412" t="s">
        <v>478</v>
      </c>
    </row>
    <row r="2054" spans="1:3" x14ac:dyDescent="0.25">
      <c r="A2054" s="412" t="s">
        <v>149</v>
      </c>
      <c r="B2054" t="s">
        <v>473</v>
      </c>
      <c r="C2054" t="b">
        <v>0</v>
      </c>
    </row>
    <row r="2055" spans="1:3" x14ac:dyDescent="0.25">
      <c r="A2055" s="412" t="s">
        <v>149</v>
      </c>
      <c r="B2055" t="s">
        <v>474</v>
      </c>
      <c r="C2055" s="412" t="s">
        <v>494</v>
      </c>
    </row>
    <row r="2056" spans="1:3" x14ac:dyDescent="0.25">
      <c r="A2056" s="412" t="s">
        <v>149</v>
      </c>
      <c r="B2056" t="s">
        <v>476</v>
      </c>
      <c r="C2056">
        <v>20.29</v>
      </c>
    </row>
    <row r="2057" spans="1:3" x14ac:dyDescent="0.25">
      <c r="A2057" s="412" t="s">
        <v>149</v>
      </c>
      <c r="B2057" t="s">
        <v>477</v>
      </c>
      <c r="C2057" s="412" t="s">
        <v>478</v>
      </c>
    </row>
    <row r="2058" spans="1:3" x14ac:dyDescent="0.25">
      <c r="A2058" s="412" t="s">
        <v>148</v>
      </c>
      <c r="B2058" t="s">
        <v>473</v>
      </c>
      <c r="C2058" t="b">
        <v>0</v>
      </c>
    </row>
    <row r="2059" spans="1:3" x14ac:dyDescent="0.25">
      <c r="A2059" s="412" t="s">
        <v>148</v>
      </c>
      <c r="B2059" t="s">
        <v>474</v>
      </c>
      <c r="C2059" s="412" t="s">
        <v>496</v>
      </c>
    </row>
    <row r="2060" spans="1:3" x14ac:dyDescent="0.25">
      <c r="A2060" s="412" t="s">
        <v>148</v>
      </c>
      <c r="B2060" t="s">
        <v>476</v>
      </c>
      <c r="C2060">
        <v>11.43</v>
      </c>
    </row>
    <row r="2061" spans="1:3" x14ac:dyDescent="0.25">
      <c r="A2061" s="412" t="s">
        <v>148</v>
      </c>
      <c r="B2061" t="s">
        <v>477</v>
      </c>
      <c r="C2061" s="412" t="s">
        <v>478</v>
      </c>
    </row>
    <row r="2062" spans="1:3" x14ac:dyDescent="0.25">
      <c r="A2062" s="412" t="s">
        <v>90</v>
      </c>
      <c r="B2062" t="s">
        <v>473</v>
      </c>
      <c r="C2062" t="b">
        <v>0</v>
      </c>
    </row>
    <row r="2063" spans="1:3" x14ac:dyDescent="0.25">
      <c r="A2063" s="412" t="s">
        <v>90</v>
      </c>
      <c r="B2063" t="s">
        <v>474</v>
      </c>
      <c r="C2063" s="412" t="s">
        <v>497</v>
      </c>
    </row>
    <row r="2064" spans="1:3" x14ac:dyDescent="0.25">
      <c r="A2064" s="412" t="s">
        <v>90</v>
      </c>
      <c r="B2064" t="s">
        <v>476</v>
      </c>
      <c r="C2064">
        <v>9</v>
      </c>
    </row>
    <row r="2065" spans="1:3" x14ac:dyDescent="0.25">
      <c r="A2065" s="412" t="s">
        <v>90</v>
      </c>
      <c r="B2065" t="s">
        <v>477</v>
      </c>
      <c r="C2065" s="412" t="s">
        <v>478</v>
      </c>
    </row>
    <row r="2066" spans="1:3" x14ac:dyDescent="0.25">
      <c r="A2066" s="412" t="s">
        <v>147</v>
      </c>
      <c r="B2066" t="s">
        <v>473</v>
      </c>
      <c r="C2066" t="b">
        <v>0</v>
      </c>
    </row>
    <row r="2067" spans="1:3" x14ac:dyDescent="0.25">
      <c r="A2067" s="412" t="s">
        <v>147</v>
      </c>
      <c r="B2067" t="s">
        <v>474</v>
      </c>
      <c r="C2067" s="412" t="s">
        <v>498</v>
      </c>
    </row>
    <row r="2068" spans="1:3" x14ac:dyDescent="0.25">
      <c r="A2068" s="412" t="s">
        <v>147</v>
      </c>
      <c r="B2068" t="s">
        <v>476</v>
      </c>
      <c r="C2068">
        <v>17.86</v>
      </c>
    </row>
    <row r="2069" spans="1:3" x14ac:dyDescent="0.25">
      <c r="A2069" s="412" t="s">
        <v>147</v>
      </c>
      <c r="B2069" t="s">
        <v>477</v>
      </c>
      <c r="C2069" s="412" t="s">
        <v>478</v>
      </c>
    </row>
    <row r="2070" spans="1:3" x14ac:dyDescent="0.25">
      <c r="A2070" s="412" t="s">
        <v>146</v>
      </c>
      <c r="B2070" t="s">
        <v>473</v>
      </c>
      <c r="C2070" t="b">
        <v>0</v>
      </c>
    </row>
    <row r="2071" spans="1:3" x14ac:dyDescent="0.25">
      <c r="A2071" s="412" t="s">
        <v>146</v>
      </c>
      <c r="B2071" t="s">
        <v>474</v>
      </c>
      <c r="C2071" s="412" t="s">
        <v>499</v>
      </c>
    </row>
    <row r="2072" spans="1:3" x14ac:dyDescent="0.25">
      <c r="A2072" s="412" t="s">
        <v>146</v>
      </c>
      <c r="B2072" t="s">
        <v>476</v>
      </c>
      <c r="C2072">
        <v>9.14</v>
      </c>
    </row>
    <row r="2073" spans="1:3" x14ac:dyDescent="0.25">
      <c r="A2073" s="412" t="s">
        <v>146</v>
      </c>
      <c r="B2073" t="s">
        <v>477</v>
      </c>
      <c r="C2073" s="412" t="s">
        <v>478</v>
      </c>
    </row>
    <row r="2074" spans="1:3" x14ac:dyDescent="0.25">
      <c r="A2074" s="412" t="s">
        <v>36</v>
      </c>
      <c r="B2074" t="s">
        <v>473</v>
      </c>
      <c r="C2074" t="b">
        <v>0</v>
      </c>
    </row>
    <row r="2075" spans="1:3" x14ac:dyDescent="0.25">
      <c r="A2075" s="412" t="s">
        <v>36</v>
      </c>
      <c r="B2075" t="s">
        <v>474</v>
      </c>
      <c r="C2075" s="412" t="s">
        <v>500</v>
      </c>
    </row>
    <row r="2076" spans="1:3" x14ac:dyDescent="0.25">
      <c r="A2076" s="412" t="s">
        <v>36</v>
      </c>
      <c r="B2076" t="s">
        <v>476</v>
      </c>
      <c r="C2076">
        <v>10</v>
      </c>
    </row>
    <row r="2077" spans="1:3" x14ac:dyDescent="0.25">
      <c r="A2077" s="412" t="s">
        <v>36</v>
      </c>
      <c r="B2077" t="s">
        <v>477</v>
      </c>
      <c r="C2077" s="412" t="s">
        <v>480</v>
      </c>
    </row>
    <row r="2078" spans="1:3" x14ac:dyDescent="0.25">
      <c r="A2078" s="412" t="s">
        <v>75</v>
      </c>
      <c r="B2078" t="s">
        <v>473</v>
      </c>
      <c r="C2078" t="b">
        <v>0</v>
      </c>
    </row>
    <row r="2079" spans="1:3" x14ac:dyDescent="0.25">
      <c r="A2079" s="412" t="s">
        <v>75</v>
      </c>
      <c r="B2079" t="s">
        <v>474</v>
      </c>
      <c r="C2079" s="412" t="s">
        <v>501</v>
      </c>
    </row>
    <row r="2080" spans="1:3" x14ac:dyDescent="0.25">
      <c r="A2080" s="412" t="s">
        <v>75</v>
      </c>
      <c r="B2080" t="s">
        <v>476</v>
      </c>
      <c r="C2080">
        <v>7.57</v>
      </c>
    </row>
    <row r="2081" spans="1:3" x14ac:dyDescent="0.25">
      <c r="A2081" s="412" t="s">
        <v>75</v>
      </c>
      <c r="B2081" t="s">
        <v>477</v>
      </c>
      <c r="C2081" s="412" t="s">
        <v>478</v>
      </c>
    </row>
    <row r="2082" spans="1:3" x14ac:dyDescent="0.25">
      <c r="A2082" s="412" t="s">
        <v>76</v>
      </c>
      <c r="B2082" t="s">
        <v>473</v>
      </c>
      <c r="C2082" t="b">
        <v>0</v>
      </c>
    </row>
    <row r="2083" spans="1:3" x14ac:dyDescent="0.25">
      <c r="A2083" s="412" t="s">
        <v>76</v>
      </c>
      <c r="B2083" t="s">
        <v>474</v>
      </c>
      <c r="C2083" s="412" t="s">
        <v>502</v>
      </c>
    </row>
    <row r="2084" spans="1:3" x14ac:dyDescent="0.25">
      <c r="A2084" s="412" t="s">
        <v>76</v>
      </c>
      <c r="B2084" t="s">
        <v>476</v>
      </c>
      <c r="C2084">
        <v>6.71</v>
      </c>
    </row>
    <row r="2085" spans="1:3" x14ac:dyDescent="0.25">
      <c r="A2085" s="412" t="s">
        <v>76</v>
      </c>
      <c r="B2085" t="s">
        <v>477</v>
      </c>
      <c r="C2085" s="412" t="s">
        <v>478</v>
      </c>
    </row>
    <row r="2086" spans="1:3" x14ac:dyDescent="0.25">
      <c r="A2086" s="412" t="s">
        <v>145</v>
      </c>
      <c r="B2086" t="s">
        <v>473</v>
      </c>
      <c r="C2086" t="b">
        <v>0</v>
      </c>
    </row>
    <row r="2087" spans="1:3" x14ac:dyDescent="0.25">
      <c r="A2087" s="412" t="s">
        <v>145</v>
      </c>
      <c r="B2087" t="s">
        <v>474</v>
      </c>
      <c r="C2087" s="412" t="s">
        <v>503</v>
      </c>
    </row>
    <row r="2088" spans="1:3" x14ac:dyDescent="0.25">
      <c r="A2088" s="412" t="s">
        <v>145</v>
      </c>
      <c r="B2088" t="s">
        <v>476</v>
      </c>
      <c r="C2088">
        <v>16.71</v>
      </c>
    </row>
    <row r="2089" spans="1:3" x14ac:dyDescent="0.25">
      <c r="A2089" s="412" t="s">
        <v>145</v>
      </c>
      <c r="B2089" t="s">
        <v>477</v>
      </c>
      <c r="C2089" s="412" t="s">
        <v>480</v>
      </c>
    </row>
    <row r="2090" spans="1:3" x14ac:dyDescent="0.25">
      <c r="A2090" s="412" t="s">
        <v>144</v>
      </c>
      <c r="B2090" t="s">
        <v>473</v>
      </c>
      <c r="C2090" t="b">
        <v>0</v>
      </c>
    </row>
    <row r="2091" spans="1:3" x14ac:dyDescent="0.25">
      <c r="A2091" s="412" t="s">
        <v>144</v>
      </c>
      <c r="B2091" t="s">
        <v>474</v>
      </c>
      <c r="C2091" s="412" t="s">
        <v>504</v>
      </c>
    </row>
    <row r="2092" spans="1:3" x14ac:dyDescent="0.25">
      <c r="A2092" s="412" t="s">
        <v>144</v>
      </c>
      <c r="B2092" t="s">
        <v>476</v>
      </c>
      <c r="C2092">
        <v>17.71</v>
      </c>
    </row>
    <row r="2093" spans="1:3" x14ac:dyDescent="0.25">
      <c r="A2093" s="412" t="s">
        <v>144</v>
      </c>
      <c r="B2093" t="s">
        <v>477</v>
      </c>
      <c r="C2093" s="412" t="s">
        <v>480</v>
      </c>
    </row>
    <row r="2094" spans="1:3" x14ac:dyDescent="0.25">
      <c r="A2094" s="412" t="s">
        <v>143</v>
      </c>
      <c r="B2094" t="s">
        <v>473</v>
      </c>
      <c r="C2094" t="b">
        <v>0</v>
      </c>
    </row>
    <row r="2095" spans="1:3" x14ac:dyDescent="0.25">
      <c r="A2095" s="412" t="s">
        <v>143</v>
      </c>
      <c r="B2095" t="s">
        <v>474</v>
      </c>
      <c r="C2095" s="412" t="s">
        <v>505</v>
      </c>
    </row>
    <row r="2096" spans="1:3" x14ac:dyDescent="0.25">
      <c r="A2096" s="412" t="s">
        <v>143</v>
      </c>
      <c r="B2096" t="s">
        <v>476</v>
      </c>
      <c r="C2096">
        <v>16</v>
      </c>
    </row>
    <row r="2097" spans="1:3" x14ac:dyDescent="0.25">
      <c r="A2097" s="412" t="s">
        <v>143</v>
      </c>
      <c r="B2097" t="s">
        <v>477</v>
      </c>
      <c r="C2097" s="412" t="s">
        <v>480</v>
      </c>
    </row>
    <row r="2098" spans="1:3" x14ac:dyDescent="0.25">
      <c r="A2098" s="412" t="s">
        <v>142</v>
      </c>
      <c r="B2098" t="s">
        <v>473</v>
      </c>
      <c r="C2098" t="b">
        <v>0</v>
      </c>
    </row>
    <row r="2099" spans="1:3" x14ac:dyDescent="0.25">
      <c r="A2099" s="412" t="s">
        <v>142</v>
      </c>
      <c r="B2099" t="s">
        <v>474</v>
      </c>
      <c r="C2099" s="412" t="s">
        <v>506</v>
      </c>
    </row>
    <row r="2100" spans="1:3" x14ac:dyDescent="0.25">
      <c r="A2100" s="412" t="s">
        <v>142</v>
      </c>
      <c r="B2100" t="s">
        <v>476</v>
      </c>
      <c r="C2100">
        <v>12.86</v>
      </c>
    </row>
    <row r="2101" spans="1:3" x14ac:dyDescent="0.25">
      <c r="A2101" s="412" t="s">
        <v>142</v>
      </c>
      <c r="B2101" t="s">
        <v>477</v>
      </c>
      <c r="C2101" s="412" t="s">
        <v>478</v>
      </c>
    </row>
    <row r="2102" spans="1:3" x14ac:dyDescent="0.25">
      <c r="A2102" s="412" t="s">
        <v>141</v>
      </c>
      <c r="B2102" t="s">
        <v>473</v>
      </c>
      <c r="C2102" t="b">
        <v>0</v>
      </c>
    </row>
    <row r="2103" spans="1:3" x14ac:dyDescent="0.25">
      <c r="A2103" s="412" t="s">
        <v>141</v>
      </c>
      <c r="B2103" t="s">
        <v>474</v>
      </c>
      <c r="C2103" s="412" t="s">
        <v>507</v>
      </c>
    </row>
    <row r="2104" spans="1:3" x14ac:dyDescent="0.25">
      <c r="A2104" s="412" t="s">
        <v>141</v>
      </c>
      <c r="B2104" t="s">
        <v>476</v>
      </c>
      <c r="C2104">
        <v>23.43</v>
      </c>
    </row>
    <row r="2105" spans="1:3" x14ac:dyDescent="0.25">
      <c r="A2105" s="412" t="s">
        <v>141</v>
      </c>
      <c r="B2105" t="s">
        <v>477</v>
      </c>
      <c r="C2105" s="412" t="s">
        <v>478</v>
      </c>
    </row>
    <row r="2106" spans="1:3" x14ac:dyDescent="0.25">
      <c r="A2106" s="412" t="s">
        <v>140</v>
      </c>
      <c r="B2106" t="s">
        <v>473</v>
      </c>
      <c r="C2106" t="b">
        <v>0</v>
      </c>
    </row>
    <row r="2107" spans="1:3" x14ac:dyDescent="0.25">
      <c r="A2107" s="412" t="s">
        <v>140</v>
      </c>
      <c r="B2107" t="s">
        <v>474</v>
      </c>
      <c r="C2107" s="412" t="s">
        <v>508</v>
      </c>
    </row>
    <row r="2108" spans="1:3" x14ac:dyDescent="0.25">
      <c r="A2108" s="412" t="s">
        <v>140</v>
      </c>
      <c r="B2108" t="s">
        <v>476</v>
      </c>
      <c r="C2108">
        <v>11.86</v>
      </c>
    </row>
    <row r="2109" spans="1:3" x14ac:dyDescent="0.25">
      <c r="A2109" s="412" t="s">
        <v>140</v>
      </c>
      <c r="B2109" t="s">
        <v>477</v>
      </c>
      <c r="C2109" s="412" t="s">
        <v>478</v>
      </c>
    </row>
    <row r="2110" spans="1:3" x14ac:dyDescent="0.25">
      <c r="A2110" s="412" t="s">
        <v>139</v>
      </c>
      <c r="B2110" t="s">
        <v>473</v>
      </c>
      <c r="C2110" t="b">
        <v>0</v>
      </c>
    </row>
    <row r="2111" spans="1:3" x14ac:dyDescent="0.25">
      <c r="A2111" s="412" t="s">
        <v>139</v>
      </c>
      <c r="B2111" t="s">
        <v>474</v>
      </c>
      <c r="C2111" s="412" t="s">
        <v>509</v>
      </c>
    </row>
    <row r="2112" spans="1:3" x14ac:dyDescent="0.25">
      <c r="A2112" s="412" t="s">
        <v>139</v>
      </c>
      <c r="B2112" t="s">
        <v>476</v>
      </c>
      <c r="C2112">
        <v>24.29</v>
      </c>
    </row>
    <row r="2113" spans="1:3" x14ac:dyDescent="0.25">
      <c r="A2113" s="412" t="s">
        <v>139</v>
      </c>
      <c r="B2113" t="s">
        <v>477</v>
      </c>
      <c r="C2113" s="412" t="s">
        <v>478</v>
      </c>
    </row>
    <row r="2114" spans="1:3" x14ac:dyDescent="0.25">
      <c r="A2114" s="412" t="s">
        <v>138</v>
      </c>
      <c r="B2114" t="s">
        <v>473</v>
      </c>
      <c r="C2114" t="b">
        <v>0</v>
      </c>
    </row>
    <row r="2115" spans="1:3" x14ac:dyDescent="0.25">
      <c r="A2115" s="412" t="s">
        <v>138</v>
      </c>
      <c r="B2115" t="s">
        <v>474</v>
      </c>
      <c r="C2115" s="412" t="s">
        <v>510</v>
      </c>
    </row>
    <row r="2116" spans="1:3" x14ac:dyDescent="0.25">
      <c r="A2116" s="412" t="s">
        <v>138</v>
      </c>
      <c r="B2116" t="s">
        <v>476</v>
      </c>
      <c r="C2116">
        <v>8.43</v>
      </c>
    </row>
    <row r="2117" spans="1:3" x14ac:dyDescent="0.25">
      <c r="A2117" s="412" t="s">
        <v>138</v>
      </c>
      <c r="B2117" t="s">
        <v>477</v>
      </c>
      <c r="C2117" s="412" t="s">
        <v>480</v>
      </c>
    </row>
    <row r="2118" spans="1:3" x14ac:dyDescent="0.25">
      <c r="A2118" s="412" t="s">
        <v>137</v>
      </c>
      <c r="B2118" t="s">
        <v>473</v>
      </c>
      <c r="C2118" t="b">
        <v>0</v>
      </c>
    </row>
    <row r="2119" spans="1:3" x14ac:dyDescent="0.25">
      <c r="A2119" s="412" t="s">
        <v>137</v>
      </c>
      <c r="B2119" t="s">
        <v>474</v>
      </c>
      <c r="C2119" s="412" t="s">
        <v>511</v>
      </c>
    </row>
    <row r="2120" spans="1:3" x14ac:dyDescent="0.25">
      <c r="A2120" s="412" t="s">
        <v>137</v>
      </c>
      <c r="B2120" t="s">
        <v>476</v>
      </c>
      <c r="C2120">
        <v>13.71</v>
      </c>
    </row>
    <row r="2121" spans="1:3" x14ac:dyDescent="0.25">
      <c r="A2121" s="412" t="s">
        <v>137</v>
      </c>
      <c r="B2121" t="s">
        <v>477</v>
      </c>
      <c r="C2121" s="412" t="s">
        <v>478</v>
      </c>
    </row>
    <row r="2122" spans="1:3" x14ac:dyDescent="0.25">
      <c r="A2122" s="412" t="s">
        <v>136</v>
      </c>
      <c r="B2122" t="s">
        <v>473</v>
      </c>
      <c r="C2122" t="b">
        <v>0</v>
      </c>
    </row>
    <row r="2123" spans="1:3" x14ac:dyDescent="0.25">
      <c r="A2123" s="412" t="s">
        <v>136</v>
      </c>
      <c r="B2123" t="s">
        <v>474</v>
      </c>
      <c r="C2123" s="412" t="s">
        <v>512</v>
      </c>
    </row>
    <row r="2124" spans="1:3" x14ac:dyDescent="0.25">
      <c r="A2124" s="412" t="s">
        <v>136</v>
      </c>
      <c r="B2124" t="s">
        <v>476</v>
      </c>
      <c r="C2124">
        <v>10.71</v>
      </c>
    </row>
    <row r="2125" spans="1:3" x14ac:dyDescent="0.25">
      <c r="A2125" s="412" t="s">
        <v>136</v>
      </c>
      <c r="B2125" t="s">
        <v>477</v>
      </c>
      <c r="C2125" s="412" t="s">
        <v>478</v>
      </c>
    </row>
    <row r="2126" spans="1:3" x14ac:dyDescent="0.25">
      <c r="A2126" s="412" t="s">
        <v>135</v>
      </c>
      <c r="B2126" t="s">
        <v>473</v>
      </c>
      <c r="C2126" t="b">
        <v>0</v>
      </c>
    </row>
    <row r="2127" spans="1:3" x14ac:dyDescent="0.25">
      <c r="A2127" s="412" t="s">
        <v>135</v>
      </c>
      <c r="B2127" t="s">
        <v>474</v>
      </c>
      <c r="C2127" s="412" t="s">
        <v>513</v>
      </c>
    </row>
    <row r="2128" spans="1:3" x14ac:dyDescent="0.25">
      <c r="A2128" s="412" t="s">
        <v>135</v>
      </c>
      <c r="B2128" t="s">
        <v>476</v>
      </c>
      <c r="C2128">
        <v>8.43</v>
      </c>
    </row>
    <row r="2129" spans="1:3" x14ac:dyDescent="0.25">
      <c r="A2129" s="412" t="s">
        <v>135</v>
      </c>
      <c r="B2129" t="s">
        <v>477</v>
      </c>
      <c r="C2129" s="412" t="s">
        <v>480</v>
      </c>
    </row>
    <row r="2130" spans="1:3" x14ac:dyDescent="0.25">
      <c r="A2130" s="412" t="s">
        <v>134</v>
      </c>
      <c r="B2130" t="s">
        <v>473</v>
      </c>
      <c r="C2130" t="b">
        <v>0</v>
      </c>
    </row>
    <row r="2131" spans="1:3" x14ac:dyDescent="0.25">
      <c r="A2131" s="412" t="s">
        <v>134</v>
      </c>
      <c r="B2131" t="s">
        <v>474</v>
      </c>
      <c r="C2131" s="412" t="s">
        <v>514</v>
      </c>
    </row>
    <row r="2132" spans="1:3" x14ac:dyDescent="0.25">
      <c r="A2132" s="412" t="s">
        <v>134</v>
      </c>
      <c r="B2132" t="s">
        <v>476</v>
      </c>
      <c r="C2132">
        <v>18.86</v>
      </c>
    </row>
    <row r="2133" spans="1:3" x14ac:dyDescent="0.25">
      <c r="A2133" s="412" t="s">
        <v>134</v>
      </c>
      <c r="B2133" t="s">
        <v>477</v>
      </c>
      <c r="C2133" s="412" t="s">
        <v>478</v>
      </c>
    </row>
    <row r="2134" spans="1:3" x14ac:dyDescent="0.25">
      <c r="A2134" s="412" t="s">
        <v>133</v>
      </c>
      <c r="B2134" t="s">
        <v>473</v>
      </c>
      <c r="C2134" t="b">
        <v>0</v>
      </c>
    </row>
    <row r="2135" spans="1:3" x14ac:dyDescent="0.25">
      <c r="A2135" s="412" t="s">
        <v>133</v>
      </c>
      <c r="B2135" t="s">
        <v>474</v>
      </c>
      <c r="C2135" s="412" t="s">
        <v>515</v>
      </c>
    </row>
    <row r="2136" spans="1:3" x14ac:dyDescent="0.25">
      <c r="A2136" s="412" t="s">
        <v>133</v>
      </c>
      <c r="B2136" t="s">
        <v>476</v>
      </c>
      <c r="C2136">
        <v>12.14</v>
      </c>
    </row>
    <row r="2137" spans="1:3" x14ac:dyDescent="0.25">
      <c r="A2137" s="412" t="s">
        <v>133</v>
      </c>
      <c r="B2137" t="s">
        <v>477</v>
      </c>
      <c r="C2137" s="412" t="s">
        <v>478</v>
      </c>
    </row>
    <row r="2138" spans="1:3" x14ac:dyDescent="0.25">
      <c r="A2138" s="412" t="s">
        <v>132</v>
      </c>
      <c r="B2138" t="s">
        <v>473</v>
      </c>
      <c r="C2138" t="b">
        <v>0</v>
      </c>
    </row>
    <row r="2139" spans="1:3" x14ac:dyDescent="0.25">
      <c r="A2139" s="412" t="s">
        <v>132</v>
      </c>
      <c r="B2139" t="s">
        <v>474</v>
      </c>
      <c r="C2139" s="412" t="s">
        <v>516</v>
      </c>
    </row>
    <row r="2140" spans="1:3" x14ac:dyDescent="0.25">
      <c r="A2140" s="412" t="s">
        <v>132</v>
      </c>
      <c r="B2140" t="s">
        <v>476</v>
      </c>
      <c r="C2140">
        <v>8.43</v>
      </c>
    </row>
    <row r="2141" spans="1:3" x14ac:dyDescent="0.25">
      <c r="A2141" s="412" t="s">
        <v>132</v>
      </c>
      <c r="B2141" t="s">
        <v>477</v>
      </c>
      <c r="C2141" s="412" t="s">
        <v>480</v>
      </c>
    </row>
    <row r="2142" spans="1:3" x14ac:dyDescent="0.25">
      <c r="A2142" s="412" t="s">
        <v>131</v>
      </c>
      <c r="B2142" t="s">
        <v>473</v>
      </c>
      <c r="C2142" t="b">
        <v>0</v>
      </c>
    </row>
    <row r="2143" spans="1:3" x14ac:dyDescent="0.25">
      <c r="A2143" s="412" t="s">
        <v>131</v>
      </c>
      <c r="B2143" t="s">
        <v>474</v>
      </c>
      <c r="C2143" s="412" t="s">
        <v>517</v>
      </c>
    </row>
    <row r="2144" spans="1:3" x14ac:dyDescent="0.25">
      <c r="A2144" s="412" t="s">
        <v>131</v>
      </c>
      <c r="B2144" t="s">
        <v>476</v>
      </c>
      <c r="C2144">
        <v>15.43</v>
      </c>
    </row>
    <row r="2145" spans="1:3" x14ac:dyDescent="0.25">
      <c r="A2145" s="412" t="s">
        <v>131</v>
      </c>
      <c r="B2145" t="s">
        <v>477</v>
      </c>
      <c r="C2145" s="412" t="s">
        <v>478</v>
      </c>
    </row>
    <row r="2146" spans="1:3" x14ac:dyDescent="0.25">
      <c r="A2146" s="412" t="s">
        <v>130</v>
      </c>
      <c r="B2146" t="s">
        <v>473</v>
      </c>
      <c r="C2146" t="b">
        <v>0</v>
      </c>
    </row>
    <row r="2147" spans="1:3" x14ac:dyDescent="0.25">
      <c r="A2147" s="412" t="s">
        <v>130</v>
      </c>
      <c r="B2147" t="s">
        <v>474</v>
      </c>
      <c r="C2147" s="412" t="s">
        <v>518</v>
      </c>
    </row>
    <row r="2148" spans="1:3" x14ac:dyDescent="0.25">
      <c r="A2148" s="412" t="s">
        <v>130</v>
      </c>
      <c r="B2148" t="s">
        <v>476</v>
      </c>
      <c r="C2148">
        <v>12.71</v>
      </c>
    </row>
    <row r="2149" spans="1:3" x14ac:dyDescent="0.25">
      <c r="A2149" s="412" t="s">
        <v>130</v>
      </c>
      <c r="B2149" t="s">
        <v>477</v>
      </c>
      <c r="C2149" s="412" t="s">
        <v>478</v>
      </c>
    </row>
    <row r="2150" spans="1:3" x14ac:dyDescent="0.25">
      <c r="A2150" s="412" t="s">
        <v>129</v>
      </c>
      <c r="B2150" t="s">
        <v>473</v>
      </c>
      <c r="C2150" t="b">
        <v>0</v>
      </c>
    </row>
    <row r="2151" spans="1:3" x14ac:dyDescent="0.25">
      <c r="A2151" s="412" t="s">
        <v>129</v>
      </c>
      <c r="B2151" t="s">
        <v>474</v>
      </c>
      <c r="C2151" s="412" t="s">
        <v>519</v>
      </c>
    </row>
    <row r="2152" spans="1:3" x14ac:dyDescent="0.25">
      <c r="A2152" s="412" t="s">
        <v>129</v>
      </c>
      <c r="B2152" t="s">
        <v>476</v>
      </c>
      <c r="C2152">
        <v>8.43</v>
      </c>
    </row>
    <row r="2153" spans="1:3" x14ac:dyDescent="0.25">
      <c r="A2153" s="412" t="s">
        <v>129</v>
      </c>
      <c r="B2153" t="s">
        <v>477</v>
      </c>
      <c r="C2153" s="412" t="s">
        <v>480</v>
      </c>
    </row>
    <row r="2154" spans="1:3" x14ac:dyDescent="0.25">
      <c r="A2154" s="412" t="s">
        <v>128</v>
      </c>
      <c r="B2154" t="s">
        <v>473</v>
      </c>
      <c r="C2154" t="b">
        <v>0</v>
      </c>
    </row>
    <row r="2155" spans="1:3" x14ac:dyDescent="0.25">
      <c r="A2155" s="412" t="s">
        <v>128</v>
      </c>
      <c r="B2155" t="s">
        <v>474</v>
      </c>
      <c r="C2155" s="412" t="s">
        <v>520</v>
      </c>
    </row>
    <row r="2156" spans="1:3" x14ac:dyDescent="0.25">
      <c r="A2156" s="412" t="s">
        <v>128</v>
      </c>
      <c r="B2156" t="s">
        <v>476</v>
      </c>
      <c r="C2156">
        <v>13.57</v>
      </c>
    </row>
    <row r="2157" spans="1:3" x14ac:dyDescent="0.25">
      <c r="A2157" s="412" t="s">
        <v>128</v>
      </c>
      <c r="B2157" t="s">
        <v>477</v>
      </c>
      <c r="C2157" s="412" t="s">
        <v>478</v>
      </c>
    </row>
    <row r="2158" spans="1:3" x14ac:dyDescent="0.25">
      <c r="A2158" s="412" t="s">
        <v>127</v>
      </c>
      <c r="B2158" t="s">
        <v>473</v>
      </c>
      <c r="C2158" t="b">
        <v>0</v>
      </c>
    </row>
    <row r="2159" spans="1:3" x14ac:dyDescent="0.25">
      <c r="A2159" s="412" t="s">
        <v>127</v>
      </c>
      <c r="B2159" t="s">
        <v>474</v>
      </c>
      <c r="C2159" s="412" t="s">
        <v>588</v>
      </c>
    </row>
    <row r="2160" spans="1:3" x14ac:dyDescent="0.25">
      <c r="A2160" s="412" t="s">
        <v>127</v>
      </c>
      <c r="B2160" t="s">
        <v>476</v>
      </c>
      <c r="C2160">
        <v>14.86</v>
      </c>
    </row>
    <row r="2161" spans="1:3" x14ac:dyDescent="0.25">
      <c r="A2161" s="412" t="s">
        <v>127</v>
      </c>
      <c r="B2161" t="s">
        <v>477</v>
      </c>
      <c r="C2161" s="412" t="s">
        <v>478</v>
      </c>
    </row>
    <row r="2162" spans="1:3" x14ac:dyDescent="0.25">
      <c r="A2162" s="412" t="s">
        <v>126</v>
      </c>
      <c r="B2162" t="s">
        <v>473</v>
      </c>
      <c r="C2162" t="b">
        <v>0</v>
      </c>
    </row>
    <row r="2163" spans="1:3" x14ac:dyDescent="0.25">
      <c r="A2163" s="412" t="s">
        <v>126</v>
      </c>
      <c r="B2163" t="s">
        <v>474</v>
      </c>
      <c r="C2163" s="412" t="s">
        <v>589</v>
      </c>
    </row>
    <row r="2164" spans="1:3" x14ac:dyDescent="0.25">
      <c r="A2164" s="412" t="s">
        <v>126</v>
      </c>
      <c r="B2164" t="s">
        <v>476</v>
      </c>
      <c r="C2164">
        <v>8.43</v>
      </c>
    </row>
    <row r="2165" spans="1:3" x14ac:dyDescent="0.25">
      <c r="A2165" s="412" t="s">
        <v>126</v>
      </c>
      <c r="B2165" t="s">
        <v>477</v>
      </c>
      <c r="C2165" s="412" t="s">
        <v>480</v>
      </c>
    </row>
    <row r="2166" spans="1:3" x14ac:dyDescent="0.25">
      <c r="A2166" s="412" t="s">
        <v>125</v>
      </c>
      <c r="B2166" t="s">
        <v>473</v>
      </c>
      <c r="C2166" t="b">
        <v>0</v>
      </c>
    </row>
    <row r="2167" spans="1:3" x14ac:dyDescent="0.25">
      <c r="A2167" s="412" t="s">
        <v>125</v>
      </c>
      <c r="B2167" t="s">
        <v>474</v>
      </c>
      <c r="C2167" s="412" t="s">
        <v>590</v>
      </c>
    </row>
    <row r="2168" spans="1:3" x14ac:dyDescent="0.25">
      <c r="A2168" s="412" t="s">
        <v>125</v>
      </c>
      <c r="B2168" t="s">
        <v>476</v>
      </c>
      <c r="C2168">
        <v>12.29</v>
      </c>
    </row>
    <row r="2169" spans="1:3" x14ac:dyDescent="0.25">
      <c r="A2169" s="412" t="s">
        <v>125</v>
      </c>
      <c r="B2169" t="s">
        <v>477</v>
      </c>
      <c r="C2169" s="412" t="s">
        <v>478</v>
      </c>
    </row>
    <row r="2170" spans="1:3" x14ac:dyDescent="0.25">
      <c r="A2170" s="412" t="s">
        <v>124</v>
      </c>
      <c r="B2170" t="s">
        <v>473</v>
      </c>
      <c r="C2170" t="b">
        <v>0</v>
      </c>
    </row>
    <row r="2171" spans="1:3" x14ac:dyDescent="0.25">
      <c r="A2171" s="412" t="s">
        <v>124</v>
      </c>
      <c r="B2171" t="s">
        <v>474</v>
      </c>
      <c r="C2171" s="412" t="s">
        <v>591</v>
      </c>
    </row>
    <row r="2172" spans="1:3" x14ac:dyDescent="0.25">
      <c r="A2172" s="412" t="s">
        <v>124</v>
      </c>
      <c r="B2172" t="s">
        <v>476</v>
      </c>
      <c r="C2172">
        <v>8.43</v>
      </c>
    </row>
    <row r="2173" spans="1:3" x14ac:dyDescent="0.25">
      <c r="A2173" s="412" t="s">
        <v>124</v>
      </c>
      <c r="B2173" t="s">
        <v>477</v>
      </c>
      <c r="C2173" s="412" t="s">
        <v>480</v>
      </c>
    </row>
    <row r="2174" spans="1:3" x14ac:dyDescent="0.25">
      <c r="A2174" s="412" t="s">
        <v>83</v>
      </c>
      <c r="B2174" t="s">
        <v>521</v>
      </c>
      <c r="C2174" s="412" t="s">
        <v>804</v>
      </c>
    </row>
    <row r="2175" spans="1:3" x14ac:dyDescent="0.25">
      <c r="A2175" s="412" t="s">
        <v>83</v>
      </c>
      <c r="B2175" t="s">
        <v>523</v>
      </c>
      <c r="C2175">
        <v>2</v>
      </c>
    </row>
    <row r="2176" spans="1:3" x14ac:dyDescent="0.25">
      <c r="A2176" s="412" t="s">
        <v>83</v>
      </c>
      <c r="B2176" t="s">
        <v>524</v>
      </c>
      <c r="C2176">
        <v>1</v>
      </c>
    </row>
    <row r="2177" spans="1:3" x14ac:dyDescent="0.25">
      <c r="A2177" s="412" t="s">
        <v>83</v>
      </c>
      <c r="B2177" t="s">
        <v>525</v>
      </c>
      <c r="C2177" s="412" t="s">
        <v>526</v>
      </c>
    </row>
    <row r="2178" spans="1:3" x14ac:dyDescent="0.25">
      <c r="A2178" s="412" t="s">
        <v>83</v>
      </c>
      <c r="B2178" t="s">
        <v>527</v>
      </c>
      <c r="C2178">
        <v>65535</v>
      </c>
    </row>
    <row r="2179" spans="1:3" x14ac:dyDescent="0.25">
      <c r="A2179" s="412" t="s">
        <v>149</v>
      </c>
      <c r="B2179" t="s">
        <v>521</v>
      </c>
      <c r="C2179" s="412" t="s">
        <v>805</v>
      </c>
    </row>
    <row r="2180" spans="1:3" x14ac:dyDescent="0.25">
      <c r="A2180" s="412" t="s">
        <v>149</v>
      </c>
      <c r="B2180" t="s">
        <v>523</v>
      </c>
      <c r="C2180">
        <v>2</v>
      </c>
    </row>
    <row r="2181" spans="1:3" x14ac:dyDescent="0.25">
      <c r="A2181" s="412" t="s">
        <v>149</v>
      </c>
      <c r="B2181" t="s">
        <v>524</v>
      </c>
      <c r="C2181">
        <v>2</v>
      </c>
    </row>
    <row r="2182" spans="1:3" x14ac:dyDescent="0.25">
      <c r="A2182" s="412" t="s">
        <v>149</v>
      </c>
      <c r="B2182" t="s">
        <v>525</v>
      </c>
      <c r="C2182" s="412" t="s">
        <v>529</v>
      </c>
    </row>
    <row r="2183" spans="1:3" x14ac:dyDescent="0.25">
      <c r="A2183" s="412" t="s">
        <v>149</v>
      </c>
      <c r="B2183" t="s">
        <v>527</v>
      </c>
      <c r="C2183">
        <v>65535</v>
      </c>
    </row>
    <row r="2184" spans="1:3" x14ac:dyDescent="0.25">
      <c r="A2184" s="412" t="s">
        <v>148</v>
      </c>
      <c r="B2184" t="s">
        <v>521</v>
      </c>
      <c r="C2184" s="412" t="s">
        <v>806</v>
      </c>
    </row>
    <row r="2185" spans="1:3" x14ac:dyDescent="0.25">
      <c r="A2185" s="412" t="s">
        <v>148</v>
      </c>
      <c r="B2185" t="s">
        <v>523</v>
      </c>
      <c r="C2185">
        <v>2</v>
      </c>
    </row>
    <row r="2186" spans="1:3" x14ac:dyDescent="0.25">
      <c r="A2186" s="412" t="s">
        <v>148</v>
      </c>
      <c r="B2186" t="s">
        <v>524</v>
      </c>
      <c r="C2186">
        <v>3</v>
      </c>
    </row>
    <row r="2187" spans="1:3" x14ac:dyDescent="0.25">
      <c r="A2187" s="412" t="s">
        <v>148</v>
      </c>
      <c r="B2187" t="s">
        <v>525</v>
      </c>
      <c r="C2187" s="412" t="s">
        <v>676</v>
      </c>
    </row>
    <row r="2188" spans="1:3" x14ac:dyDescent="0.25">
      <c r="A2188" s="412" t="s">
        <v>148</v>
      </c>
      <c r="B2188" t="s">
        <v>527</v>
      </c>
      <c r="C2188">
        <v>65535</v>
      </c>
    </row>
    <row r="2189" spans="1:3" x14ac:dyDescent="0.25">
      <c r="A2189" s="412" t="s">
        <v>90</v>
      </c>
      <c r="B2189" t="s">
        <v>521</v>
      </c>
      <c r="C2189" s="412" t="s">
        <v>807</v>
      </c>
    </row>
    <row r="2190" spans="1:3" x14ac:dyDescent="0.25">
      <c r="A2190" s="412" t="s">
        <v>90</v>
      </c>
      <c r="B2190" t="s">
        <v>523</v>
      </c>
      <c r="C2190">
        <v>2</v>
      </c>
    </row>
    <row r="2191" spans="1:3" x14ac:dyDescent="0.25">
      <c r="A2191" s="412" t="s">
        <v>90</v>
      </c>
      <c r="B2191" t="s">
        <v>524</v>
      </c>
      <c r="C2191">
        <v>4</v>
      </c>
    </row>
    <row r="2192" spans="1:3" x14ac:dyDescent="0.25">
      <c r="A2192" s="412" t="s">
        <v>90</v>
      </c>
      <c r="B2192" t="s">
        <v>525</v>
      </c>
      <c r="C2192" s="412" t="s">
        <v>531</v>
      </c>
    </row>
    <row r="2193" spans="1:3" x14ac:dyDescent="0.25">
      <c r="A2193" s="412" t="s">
        <v>90</v>
      </c>
      <c r="B2193" t="s">
        <v>527</v>
      </c>
      <c r="C2193">
        <v>65535</v>
      </c>
    </row>
    <row r="2194" spans="1:3" x14ac:dyDescent="0.25">
      <c r="A2194" s="412" t="s">
        <v>147</v>
      </c>
      <c r="B2194" t="s">
        <v>521</v>
      </c>
      <c r="C2194" s="412" t="s">
        <v>808</v>
      </c>
    </row>
    <row r="2195" spans="1:3" x14ac:dyDescent="0.25">
      <c r="A2195" s="412" t="s">
        <v>147</v>
      </c>
      <c r="B2195" t="s">
        <v>523</v>
      </c>
      <c r="C2195">
        <v>2</v>
      </c>
    </row>
    <row r="2196" spans="1:3" x14ac:dyDescent="0.25">
      <c r="A2196" s="412" t="s">
        <v>147</v>
      </c>
      <c r="B2196" t="s">
        <v>524</v>
      </c>
      <c r="C2196">
        <v>5</v>
      </c>
    </row>
    <row r="2197" spans="1:3" x14ac:dyDescent="0.25">
      <c r="A2197" s="412" t="s">
        <v>147</v>
      </c>
      <c r="B2197" t="s">
        <v>525</v>
      </c>
      <c r="C2197" s="412" t="s">
        <v>533</v>
      </c>
    </row>
    <row r="2198" spans="1:3" x14ac:dyDescent="0.25">
      <c r="A2198" s="412" t="s">
        <v>147</v>
      </c>
      <c r="B2198" t="s">
        <v>527</v>
      </c>
      <c r="C2198">
        <v>65535</v>
      </c>
    </row>
    <row r="2199" spans="1:3" x14ac:dyDescent="0.25">
      <c r="A2199" s="412" t="s">
        <v>146</v>
      </c>
      <c r="B2199" t="s">
        <v>521</v>
      </c>
      <c r="C2199" s="412" t="s">
        <v>809</v>
      </c>
    </row>
    <row r="2200" spans="1:3" x14ac:dyDescent="0.25">
      <c r="A2200" s="412" t="s">
        <v>146</v>
      </c>
      <c r="B2200" t="s">
        <v>523</v>
      </c>
      <c r="C2200">
        <v>2</v>
      </c>
    </row>
    <row r="2201" spans="1:3" x14ac:dyDescent="0.25">
      <c r="A2201" s="412" t="s">
        <v>146</v>
      </c>
      <c r="B2201" t="s">
        <v>524</v>
      </c>
      <c r="C2201">
        <v>6</v>
      </c>
    </row>
    <row r="2202" spans="1:3" x14ac:dyDescent="0.25">
      <c r="A2202" s="412" t="s">
        <v>146</v>
      </c>
      <c r="B2202" t="s">
        <v>525</v>
      </c>
      <c r="C2202" s="412" t="s">
        <v>535</v>
      </c>
    </row>
    <row r="2203" spans="1:3" x14ac:dyDescent="0.25">
      <c r="A2203" s="412" t="s">
        <v>146</v>
      </c>
      <c r="B2203" t="s">
        <v>527</v>
      </c>
      <c r="C2203">
        <v>65535</v>
      </c>
    </row>
    <row r="2204" spans="1:3" x14ac:dyDescent="0.25">
      <c r="A2204" s="412" t="s">
        <v>36</v>
      </c>
      <c r="B2204" t="s">
        <v>521</v>
      </c>
      <c r="C2204" s="412" t="s">
        <v>810</v>
      </c>
    </row>
    <row r="2205" spans="1:3" x14ac:dyDescent="0.25">
      <c r="A2205" s="412" t="s">
        <v>36</v>
      </c>
      <c r="B2205" t="s">
        <v>523</v>
      </c>
      <c r="C2205">
        <v>2</v>
      </c>
    </row>
    <row r="2206" spans="1:3" x14ac:dyDescent="0.25">
      <c r="A2206" s="412" t="s">
        <v>36</v>
      </c>
      <c r="B2206" t="s">
        <v>524</v>
      </c>
      <c r="C2206">
        <v>7</v>
      </c>
    </row>
    <row r="2207" spans="1:3" x14ac:dyDescent="0.25">
      <c r="A2207" s="412" t="s">
        <v>36</v>
      </c>
      <c r="B2207" t="s">
        <v>525</v>
      </c>
      <c r="C2207" s="412" t="s">
        <v>537</v>
      </c>
    </row>
    <row r="2208" spans="1:3" x14ac:dyDescent="0.25">
      <c r="A2208" s="412" t="s">
        <v>36</v>
      </c>
      <c r="B2208" t="s">
        <v>527</v>
      </c>
      <c r="C2208">
        <v>65535</v>
      </c>
    </row>
    <row r="2209" spans="1:3" x14ac:dyDescent="0.25">
      <c r="A2209" s="412" t="s">
        <v>75</v>
      </c>
      <c r="B2209" t="s">
        <v>521</v>
      </c>
      <c r="C2209" s="412" t="s">
        <v>811</v>
      </c>
    </row>
    <row r="2210" spans="1:3" x14ac:dyDescent="0.25">
      <c r="A2210" s="412" t="s">
        <v>75</v>
      </c>
      <c r="B2210" t="s">
        <v>523</v>
      </c>
      <c r="C2210">
        <v>2</v>
      </c>
    </row>
    <row r="2211" spans="1:3" x14ac:dyDescent="0.25">
      <c r="A2211" s="412" t="s">
        <v>75</v>
      </c>
      <c r="B2211" t="s">
        <v>524</v>
      </c>
      <c r="C2211">
        <v>8</v>
      </c>
    </row>
    <row r="2212" spans="1:3" x14ac:dyDescent="0.25">
      <c r="A2212" s="412" t="s">
        <v>75</v>
      </c>
      <c r="B2212" t="s">
        <v>525</v>
      </c>
      <c r="C2212" s="412" t="s">
        <v>539</v>
      </c>
    </row>
    <row r="2213" spans="1:3" x14ac:dyDescent="0.25">
      <c r="A2213" s="412" t="s">
        <v>75</v>
      </c>
      <c r="B2213" t="s">
        <v>527</v>
      </c>
      <c r="C2213">
        <v>65535</v>
      </c>
    </row>
    <row r="2214" spans="1:3" x14ac:dyDescent="0.25">
      <c r="A2214" s="412" t="s">
        <v>76</v>
      </c>
      <c r="B2214" t="s">
        <v>521</v>
      </c>
      <c r="C2214" s="412" t="s">
        <v>812</v>
      </c>
    </row>
    <row r="2215" spans="1:3" x14ac:dyDescent="0.25">
      <c r="A2215" s="412" t="s">
        <v>76</v>
      </c>
      <c r="B2215" t="s">
        <v>523</v>
      </c>
      <c r="C2215">
        <v>2</v>
      </c>
    </row>
    <row r="2216" spans="1:3" x14ac:dyDescent="0.25">
      <c r="A2216" s="412" t="s">
        <v>76</v>
      </c>
      <c r="B2216" t="s">
        <v>524</v>
      </c>
      <c r="C2216">
        <v>9</v>
      </c>
    </row>
    <row r="2217" spans="1:3" x14ac:dyDescent="0.25">
      <c r="A2217" s="412" t="s">
        <v>76</v>
      </c>
      <c r="B2217" t="s">
        <v>525</v>
      </c>
      <c r="C2217" s="412" t="s">
        <v>541</v>
      </c>
    </row>
    <row r="2218" spans="1:3" x14ac:dyDescent="0.25">
      <c r="A2218" s="412" t="s">
        <v>76</v>
      </c>
      <c r="B2218" t="s">
        <v>527</v>
      </c>
      <c r="C2218">
        <v>65535</v>
      </c>
    </row>
    <row r="2219" spans="1:3" x14ac:dyDescent="0.25">
      <c r="A2219" s="412" t="s">
        <v>145</v>
      </c>
      <c r="B2219" t="s">
        <v>521</v>
      </c>
      <c r="C2219" s="412" t="s">
        <v>813</v>
      </c>
    </row>
    <row r="2220" spans="1:3" x14ac:dyDescent="0.25">
      <c r="A2220" s="412" t="s">
        <v>145</v>
      </c>
      <c r="B2220" t="s">
        <v>523</v>
      </c>
      <c r="C2220">
        <v>2</v>
      </c>
    </row>
    <row r="2221" spans="1:3" x14ac:dyDescent="0.25">
      <c r="A2221" s="412" t="s">
        <v>145</v>
      </c>
      <c r="B2221" t="s">
        <v>524</v>
      </c>
      <c r="C2221">
        <v>10</v>
      </c>
    </row>
    <row r="2222" spans="1:3" x14ac:dyDescent="0.25">
      <c r="A2222" s="412" t="s">
        <v>145</v>
      </c>
      <c r="B2222" t="s">
        <v>525</v>
      </c>
      <c r="C2222" s="412" t="s">
        <v>543</v>
      </c>
    </row>
    <row r="2223" spans="1:3" x14ac:dyDescent="0.25">
      <c r="A2223" s="412" t="s">
        <v>145</v>
      </c>
      <c r="B2223" t="s">
        <v>527</v>
      </c>
      <c r="C2223">
        <v>65535</v>
      </c>
    </row>
    <row r="2224" spans="1:3" x14ac:dyDescent="0.25">
      <c r="A2224" s="412" t="s">
        <v>144</v>
      </c>
      <c r="B2224" t="s">
        <v>521</v>
      </c>
      <c r="C2224" s="412" t="s">
        <v>814</v>
      </c>
    </row>
    <row r="2225" spans="1:3" x14ac:dyDescent="0.25">
      <c r="A2225" s="412" t="s">
        <v>144</v>
      </c>
      <c r="B2225" t="s">
        <v>523</v>
      </c>
      <c r="C2225">
        <v>2</v>
      </c>
    </row>
    <row r="2226" spans="1:3" x14ac:dyDescent="0.25">
      <c r="A2226" s="412" t="s">
        <v>144</v>
      </c>
      <c r="B2226" t="s">
        <v>524</v>
      </c>
      <c r="C2226">
        <v>11</v>
      </c>
    </row>
    <row r="2227" spans="1:3" x14ac:dyDescent="0.25">
      <c r="A2227" s="412" t="s">
        <v>144</v>
      </c>
      <c r="B2227" t="s">
        <v>525</v>
      </c>
      <c r="C2227" s="412" t="s">
        <v>545</v>
      </c>
    </row>
    <row r="2228" spans="1:3" x14ac:dyDescent="0.25">
      <c r="A2228" s="412" t="s">
        <v>144</v>
      </c>
      <c r="B2228" t="s">
        <v>527</v>
      </c>
      <c r="C2228">
        <v>65535</v>
      </c>
    </row>
    <row r="2229" spans="1:3" x14ac:dyDescent="0.25">
      <c r="A2229" s="412" t="s">
        <v>143</v>
      </c>
      <c r="B2229" t="s">
        <v>521</v>
      </c>
      <c r="C2229" s="412" t="s">
        <v>815</v>
      </c>
    </row>
    <row r="2230" spans="1:3" x14ac:dyDescent="0.25">
      <c r="A2230" s="412" t="s">
        <v>143</v>
      </c>
      <c r="B2230" t="s">
        <v>523</v>
      </c>
      <c r="C2230">
        <v>2</v>
      </c>
    </row>
    <row r="2231" spans="1:3" x14ac:dyDescent="0.25">
      <c r="A2231" s="412" t="s">
        <v>143</v>
      </c>
      <c r="B2231" t="s">
        <v>524</v>
      </c>
      <c r="C2231">
        <v>12</v>
      </c>
    </row>
    <row r="2232" spans="1:3" x14ac:dyDescent="0.25">
      <c r="A2232" s="412" t="s">
        <v>143</v>
      </c>
      <c r="B2232" t="s">
        <v>525</v>
      </c>
      <c r="C2232" s="412" t="s">
        <v>547</v>
      </c>
    </row>
    <row r="2233" spans="1:3" x14ac:dyDescent="0.25">
      <c r="A2233" s="412" t="s">
        <v>143</v>
      </c>
      <c r="B2233" t="s">
        <v>527</v>
      </c>
      <c r="C2233">
        <v>65535</v>
      </c>
    </row>
    <row r="2234" spans="1:3" x14ac:dyDescent="0.25">
      <c r="A2234" s="412" t="s">
        <v>142</v>
      </c>
      <c r="B2234" t="s">
        <v>521</v>
      </c>
      <c r="C2234" s="412" t="s">
        <v>816</v>
      </c>
    </row>
    <row r="2235" spans="1:3" x14ac:dyDescent="0.25">
      <c r="A2235" s="412" t="s">
        <v>142</v>
      </c>
      <c r="B2235" t="s">
        <v>523</v>
      </c>
      <c r="C2235">
        <v>2</v>
      </c>
    </row>
    <row r="2236" spans="1:3" x14ac:dyDescent="0.25">
      <c r="A2236" s="412" t="s">
        <v>142</v>
      </c>
      <c r="B2236" t="s">
        <v>524</v>
      </c>
      <c r="C2236">
        <v>13</v>
      </c>
    </row>
    <row r="2237" spans="1:3" x14ac:dyDescent="0.25">
      <c r="A2237" s="412" t="s">
        <v>142</v>
      </c>
      <c r="B2237" t="s">
        <v>525</v>
      </c>
      <c r="C2237" s="412" t="s">
        <v>549</v>
      </c>
    </row>
    <row r="2238" spans="1:3" x14ac:dyDescent="0.25">
      <c r="A2238" s="412" t="s">
        <v>142</v>
      </c>
      <c r="B2238" t="s">
        <v>527</v>
      </c>
      <c r="C2238">
        <v>65535</v>
      </c>
    </row>
    <row r="2239" spans="1:3" x14ac:dyDescent="0.25">
      <c r="A2239" s="412" t="s">
        <v>141</v>
      </c>
      <c r="B2239" t="s">
        <v>521</v>
      </c>
      <c r="C2239" s="412" t="s">
        <v>817</v>
      </c>
    </row>
    <row r="2240" spans="1:3" x14ac:dyDescent="0.25">
      <c r="A2240" s="412" t="s">
        <v>141</v>
      </c>
      <c r="B2240" t="s">
        <v>523</v>
      </c>
      <c r="C2240">
        <v>2</v>
      </c>
    </row>
    <row r="2241" spans="1:3" x14ac:dyDescent="0.25">
      <c r="A2241" s="412" t="s">
        <v>141</v>
      </c>
      <c r="B2241" t="s">
        <v>524</v>
      </c>
      <c r="C2241">
        <v>14</v>
      </c>
    </row>
    <row r="2242" spans="1:3" x14ac:dyDescent="0.25">
      <c r="A2242" s="412" t="s">
        <v>141</v>
      </c>
      <c r="B2242" t="s">
        <v>525</v>
      </c>
      <c r="C2242" s="412" t="s">
        <v>551</v>
      </c>
    </row>
    <row r="2243" spans="1:3" x14ac:dyDescent="0.25">
      <c r="A2243" s="412" t="s">
        <v>141</v>
      </c>
      <c r="B2243" t="s">
        <v>527</v>
      </c>
      <c r="C2243">
        <v>65535</v>
      </c>
    </row>
    <row r="2244" spans="1:3" x14ac:dyDescent="0.25">
      <c r="A2244" s="412" t="s">
        <v>140</v>
      </c>
      <c r="B2244" t="s">
        <v>521</v>
      </c>
      <c r="C2244" s="412" t="s">
        <v>818</v>
      </c>
    </row>
    <row r="2245" spans="1:3" x14ac:dyDescent="0.25">
      <c r="A2245" s="412" t="s">
        <v>140</v>
      </c>
      <c r="B2245" t="s">
        <v>523</v>
      </c>
      <c r="C2245">
        <v>2</v>
      </c>
    </row>
    <row r="2246" spans="1:3" x14ac:dyDescent="0.25">
      <c r="A2246" s="412" t="s">
        <v>140</v>
      </c>
      <c r="B2246" t="s">
        <v>524</v>
      </c>
      <c r="C2246">
        <v>15</v>
      </c>
    </row>
    <row r="2247" spans="1:3" x14ac:dyDescent="0.25">
      <c r="A2247" s="412" t="s">
        <v>140</v>
      </c>
      <c r="B2247" t="s">
        <v>525</v>
      </c>
      <c r="C2247" s="412" t="s">
        <v>553</v>
      </c>
    </row>
    <row r="2248" spans="1:3" x14ac:dyDescent="0.25">
      <c r="A2248" s="412" t="s">
        <v>140</v>
      </c>
      <c r="B2248" t="s">
        <v>527</v>
      </c>
      <c r="C2248">
        <v>65535</v>
      </c>
    </row>
    <row r="2249" spans="1:3" x14ac:dyDescent="0.25">
      <c r="A2249" s="412" t="s">
        <v>139</v>
      </c>
      <c r="B2249" t="s">
        <v>521</v>
      </c>
      <c r="C2249" s="412" t="s">
        <v>819</v>
      </c>
    </row>
    <row r="2250" spans="1:3" x14ac:dyDescent="0.25">
      <c r="A2250" s="412" t="s">
        <v>139</v>
      </c>
      <c r="B2250" t="s">
        <v>523</v>
      </c>
      <c r="C2250">
        <v>2</v>
      </c>
    </row>
    <row r="2251" spans="1:3" x14ac:dyDescent="0.25">
      <c r="A2251" s="412" t="s">
        <v>139</v>
      </c>
      <c r="B2251" t="s">
        <v>524</v>
      </c>
      <c r="C2251">
        <v>16</v>
      </c>
    </row>
    <row r="2252" spans="1:3" x14ac:dyDescent="0.25">
      <c r="A2252" s="412" t="s">
        <v>139</v>
      </c>
      <c r="B2252" t="s">
        <v>525</v>
      </c>
      <c r="C2252" s="412" t="s">
        <v>555</v>
      </c>
    </row>
    <row r="2253" spans="1:3" x14ac:dyDescent="0.25">
      <c r="A2253" s="412" t="s">
        <v>139</v>
      </c>
      <c r="B2253" t="s">
        <v>527</v>
      </c>
      <c r="C2253">
        <v>65535</v>
      </c>
    </row>
    <row r="2254" spans="1:3" x14ac:dyDescent="0.25">
      <c r="A2254" s="412" t="s">
        <v>138</v>
      </c>
      <c r="B2254" t="s">
        <v>521</v>
      </c>
      <c r="C2254" s="412" t="s">
        <v>820</v>
      </c>
    </row>
    <row r="2255" spans="1:3" x14ac:dyDescent="0.25">
      <c r="A2255" s="412" t="s">
        <v>138</v>
      </c>
      <c r="B2255" t="s">
        <v>523</v>
      </c>
      <c r="C2255">
        <v>2</v>
      </c>
    </row>
    <row r="2256" spans="1:3" x14ac:dyDescent="0.25">
      <c r="A2256" s="412" t="s">
        <v>138</v>
      </c>
      <c r="B2256" t="s">
        <v>524</v>
      </c>
      <c r="C2256">
        <v>17</v>
      </c>
    </row>
    <row r="2257" spans="1:3" x14ac:dyDescent="0.25">
      <c r="A2257" s="412" t="s">
        <v>138</v>
      </c>
      <c r="B2257" t="s">
        <v>525</v>
      </c>
      <c r="C2257" s="412" t="s">
        <v>557</v>
      </c>
    </row>
    <row r="2258" spans="1:3" x14ac:dyDescent="0.25">
      <c r="A2258" s="412" t="s">
        <v>138</v>
      </c>
      <c r="B2258" t="s">
        <v>527</v>
      </c>
      <c r="C2258">
        <v>65535</v>
      </c>
    </row>
    <row r="2259" spans="1:3" x14ac:dyDescent="0.25">
      <c r="A2259" s="412" t="s">
        <v>137</v>
      </c>
      <c r="B2259" t="s">
        <v>521</v>
      </c>
      <c r="C2259" s="412" t="s">
        <v>821</v>
      </c>
    </row>
    <row r="2260" spans="1:3" x14ac:dyDescent="0.25">
      <c r="A2260" s="412" t="s">
        <v>137</v>
      </c>
      <c r="B2260" t="s">
        <v>523</v>
      </c>
      <c r="C2260">
        <v>2</v>
      </c>
    </row>
    <row r="2261" spans="1:3" x14ac:dyDescent="0.25">
      <c r="A2261" s="412" t="s">
        <v>137</v>
      </c>
      <c r="B2261" t="s">
        <v>524</v>
      </c>
      <c r="C2261">
        <v>18</v>
      </c>
    </row>
    <row r="2262" spans="1:3" x14ac:dyDescent="0.25">
      <c r="A2262" s="412" t="s">
        <v>137</v>
      </c>
      <c r="B2262" t="s">
        <v>525</v>
      </c>
      <c r="C2262" s="412" t="s">
        <v>559</v>
      </c>
    </row>
    <row r="2263" spans="1:3" x14ac:dyDescent="0.25">
      <c r="A2263" s="412" t="s">
        <v>137</v>
      </c>
      <c r="B2263" t="s">
        <v>527</v>
      </c>
      <c r="C2263">
        <v>65535</v>
      </c>
    </row>
    <row r="2264" spans="1:3" x14ac:dyDescent="0.25">
      <c r="A2264" s="412" t="s">
        <v>136</v>
      </c>
      <c r="B2264" t="s">
        <v>521</v>
      </c>
      <c r="C2264" s="412" t="s">
        <v>822</v>
      </c>
    </row>
    <row r="2265" spans="1:3" x14ac:dyDescent="0.25">
      <c r="A2265" s="412" t="s">
        <v>136</v>
      </c>
      <c r="B2265" t="s">
        <v>523</v>
      </c>
      <c r="C2265">
        <v>2</v>
      </c>
    </row>
    <row r="2266" spans="1:3" x14ac:dyDescent="0.25">
      <c r="A2266" s="412" t="s">
        <v>136</v>
      </c>
      <c r="B2266" t="s">
        <v>524</v>
      </c>
      <c r="C2266">
        <v>19</v>
      </c>
    </row>
    <row r="2267" spans="1:3" x14ac:dyDescent="0.25">
      <c r="A2267" s="412" t="s">
        <v>136</v>
      </c>
      <c r="B2267" t="s">
        <v>525</v>
      </c>
      <c r="C2267" s="412" t="s">
        <v>561</v>
      </c>
    </row>
    <row r="2268" spans="1:3" x14ac:dyDescent="0.25">
      <c r="A2268" s="412" t="s">
        <v>136</v>
      </c>
      <c r="B2268" t="s">
        <v>527</v>
      </c>
      <c r="C2268">
        <v>65535</v>
      </c>
    </row>
    <row r="2269" spans="1:3" x14ac:dyDescent="0.25">
      <c r="A2269" s="412" t="s">
        <v>135</v>
      </c>
      <c r="B2269" t="s">
        <v>521</v>
      </c>
      <c r="C2269" s="412" t="s">
        <v>823</v>
      </c>
    </row>
    <row r="2270" spans="1:3" x14ac:dyDescent="0.25">
      <c r="A2270" s="412" t="s">
        <v>135</v>
      </c>
      <c r="B2270" t="s">
        <v>523</v>
      </c>
      <c r="C2270">
        <v>2</v>
      </c>
    </row>
    <row r="2271" spans="1:3" x14ac:dyDescent="0.25">
      <c r="A2271" s="412" t="s">
        <v>135</v>
      </c>
      <c r="B2271" t="s">
        <v>524</v>
      </c>
      <c r="C2271">
        <v>20</v>
      </c>
    </row>
    <row r="2272" spans="1:3" x14ac:dyDescent="0.25">
      <c r="A2272" s="412" t="s">
        <v>135</v>
      </c>
      <c r="B2272" t="s">
        <v>525</v>
      </c>
      <c r="C2272" s="412" t="s">
        <v>563</v>
      </c>
    </row>
    <row r="2273" spans="1:3" x14ac:dyDescent="0.25">
      <c r="A2273" s="412" t="s">
        <v>135</v>
      </c>
      <c r="B2273" t="s">
        <v>527</v>
      </c>
      <c r="C2273">
        <v>65535</v>
      </c>
    </row>
    <row r="2274" spans="1:3" x14ac:dyDescent="0.25">
      <c r="A2274" s="412" t="s">
        <v>134</v>
      </c>
      <c r="B2274" t="s">
        <v>521</v>
      </c>
      <c r="C2274" s="412" t="s">
        <v>824</v>
      </c>
    </row>
    <row r="2275" spans="1:3" x14ac:dyDescent="0.25">
      <c r="A2275" s="412" t="s">
        <v>134</v>
      </c>
      <c r="B2275" t="s">
        <v>523</v>
      </c>
      <c r="C2275">
        <v>2</v>
      </c>
    </row>
    <row r="2276" spans="1:3" x14ac:dyDescent="0.25">
      <c r="A2276" s="412" t="s">
        <v>134</v>
      </c>
      <c r="B2276" t="s">
        <v>524</v>
      </c>
      <c r="C2276">
        <v>21</v>
      </c>
    </row>
    <row r="2277" spans="1:3" x14ac:dyDescent="0.25">
      <c r="A2277" s="412" t="s">
        <v>134</v>
      </c>
      <c r="B2277" t="s">
        <v>525</v>
      </c>
      <c r="C2277" s="412" t="s">
        <v>565</v>
      </c>
    </row>
    <row r="2278" spans="1:3" x14ac:dyDescent="0.25">
      <c r="A2278" s="412" t="s">
        <v>134</v>
      </c>
      <c r="B2278" t="s">
        <v>527</v>
      </c>
      <c r="C2278">
        <v>65535</v>
      </c>
    </row>
    <row r="2279" spans="1:3" x14ac:dyDescent="0.25">
      <c r="A2279" s="412" t="s">
        <v>133</v>
      </c>
      <c r="B2279" t="s">
        <v>521</v>
      </c>
      <c r="C2279" s="412" t="s">
        <v>825</v>
      </c>
    </row>
    <row r="2280" spans="1:3" x14ac:dyDescent="0.25">
      <c r="A2280" s="412" t="s">
        <v>133</v>
      </c>
      <c r="B2280" t="s">
        <v>523</v>
      </c>
      <c r="C2280">
        <v>2</v>
      </c>
    </row>
    <row r="2281" spans="1:3" x14ac:dyDescent="0.25">
      <c r="A2281" s="412" t="s">
        <v>133</v>
      </c>
      <c r="B2281" t="s">
        <v>524</v>
      </c>
      <c r="C2281">
        <v>22</v>
      </c>
    </row>
    <row r="2282" spans="1:3" x14ac:dyDescent="0.25">
      <c r="A2282" s="412" t="s">
        <v>133</v>
      </c>
      <c r="B2282" t="s">
        <v>525</v>
      </c>
      <c r="C2282" s="412" t="s">
        <v>567</v>
      </c>
    </row>
    <row r="2283" spans="1:3" x14ac:dyDescent="0.25">
      <c r="A2283" s="412" t="s">
        <v>133</v>
      </c>
      <c r="B2283" t="s">
        <v>527</v>
      </c>
      <c r="C2283">
        <v>65535</v>
      </c>
    </row>
    <row r="2284" spans="1:3" x14ac:dyDescent="0.25">
      <c r="A2284" s="412" t="s">
        <v>132</v>
      </c>
      <c r="B2284" t="s">
        <v>521</v>
      </c>
      <c r="C2284" s="412" t="s">
        <v>826</v>
      </c>
    </row>
    <row r="2285" spans="1:3" x14ac:dyDescent="0.25">
      <c r="A2285" s="412" t="s">
        <v>132</v>
      </c>
      <c r="B2285" t="s">
        <v>523</v>
      </c>
      <c r="C2285">
        <v>2</v>
      </c>
    </row>
    <row r="2286" spans="1:3" x14ac:dyDescent="0.25">
      <c r="A2286" s="412" t="s">
        <v>132</v>
      </c>
      <c r="B2286" t="s">
        <v>524</v>
      </c>
      <c r="C2286">
        <v>23</v>
      </c>
    </row>
    <row r="2287" spans="1:3" x14ac:dyDescent="0.25">
      <c r="A2287" s="412" t="s">
        <v>132</v>
      </c>
      <c r="B2287" t="s">
        <v>525</v>
      </c>
      <c r="C2287" s="412" t="s">
        <v>569</v>
      </c>
    </row>
    <row r="2288" spans="1:3" x14ac:dyDescent="0.25">
      <c r="A2288" s="412" t="s">
        <v>132</v>
      </c>
      <c r="B2288" t="s">
        <v>527</v>
      </c>
      <c r="C2288">
        <v>65535</v>
      </c>
    </row>
    <row r="2289" spans="1:3" x14ac:dyDescent="0.25">
      <c r="A2289" s="412" t="s">
        <v>131</v>
      </c>
      <c r="B2289" t="s">
        <v>521</v>
      </c>
      <c r="C2289" s="412" t="s">
        <v>827</v>
      </c>
    </row>
    <row r="2290" spans="1:3" x14ac:dyDescent="0.25">
      <c r="A2290" s="412" t="s">
        <v>131</v>
      </c>
      <c r="B2290" t="s">
        <v>523</v>
      </c>
      <c r="C2290">
        <v>2</v>
      </c>
    </row>
    <row r="2291" spans="1:3" x14ac:dyDescent="0.25">
      <c r="A2291" s="412" t="s">
        <v>131</v>
      </c>
      <c r="B2291" t="s">
        <v>524</v>
      </c>
      <c r="C2291">
        <v>24</v>
      </c>
    </row>
    <row r="2292" spans="1:3" x14ac:dyDescent="0.25">
      <c r="A2292" s="412" t="s">
        <v>131</v>
      </c>
      <c r="B2292" t="s">
        <v>525</v>
      </c>
      <c r="C2292" s="412" t="s">
        <v>571</v>
      </c>
    </row>
    <row r="2293" spans="1:3" x14ac:dyDescent="0.25">
      <c r="A2293" s="412" t="s">
        <v>131</v>
      </c>
      <c r="B2293" t="s">
        <v>527</v>
      </c>
      <c r="C2293">
        <v>65535</v>
      </c>
    </row>
    <row r="2294" spans="1:3" x14ac:dyDescent="0.25">
      <c r="A2294" s="412" t="s">
        <v>130</v>
      </c>
      <c r="B2294" t="s">
        <v>521</v>
      </c>
      <c r="C2294" s="412" t="s">
        <v>828</v>
      </c>
    </row>
    <row r="2295" spans="1:3" x14ac:dyDescent="0.25">
      <c r="A2295" s="412" t="s">
        <v>130</v>
      </c>
      <c r="B2295" t="s">
        <v>523</v>
      </c>
      <c r="C2295">
        <v>2</v>
      </c>
    </row>
    <row r="2296" spans="1:3" x14ac:dyDescent="0.25">
      <c r="A2296" s="412" t="s">
        <v>130</v>
      </c>
      <c r="B2296" t="s">
        <v>524</v>
      </c>
      <c r="C2296">
        <v>25</v>
      </c>
    </row>
    <row r="2297" spans="1:3" x14ac:dyDescent="0.25">
      <c r="A2297" s="412" t="s">
        <v>130</v>
      </c>
      <c r="B2297" t="s">
        <v>525</v>
      </c>
      <c r="C2297" s="412" t="s">
        <v>573</v>
      </c>
    </row>
    <row r="2298" spans="1:3" x14ac:dyDescent="0.25">
      <c r="A2298" s="412" t="s">
        <v>130</v>
      </c>
      <c r="B2298" t="s">
        <v>527</v>
      </c>
      <c r="C2298">
        <v>65535</v>
      </c>
    </row>
    <row r="2299" spans="1:3" x14ac:dyDescent="0.25">
      <c r="A2299" s="412" t="s">
        <v>129</v>
      </c>
      <c r="B2299" t="s">
        <v>521</v>
      </c>
      <c r="C2299" s="412" t="s">
        <v>829</v>
      </c>
    </row>
    <row r="2300" spans="1:3" x14ac:dyDescent="0.25">
      <c r="A2300" s="412" t="s">
        <v>129</v>
      </c>
      <c r="B2300" t="s">
        <v>523</v>
      </c>
      <c r="C2300">
        <v>2</v>
      </c>
    </row>
    <row r="2301" spans="1:3" x14ac:dyDescent="0.25">
      <c r="A2301" s="412" t="s">
        <v>129</v>
      </c>
      <c r="B2301" t="s">
        <v>524</v>
      </c>
      <c r="C2301">
        <v>26</v>
      </c>
    </row>
    <row r="2302" spans="1:3" x14ac:dyDescent="0.25">
      <c r="A2302" s="412" t="s">
        <v>129</v>
      </c>
      <c r="B2302" t="s">
        <v>525</v>
      </c>
      <c r="C2302" s="412" t="s">
        <v>575</v>
      </c>
    </row>
    <row r="2303" spans="1:3" x14ac:dyDescent="0.25">
      <c r="A2303" s="412" t="s">
        <v>129</v>
      </c>
      <c r="B2303" t="s">
        <v>527</v>
      </c>
      <c r="C2303">
        <v>65535</v>
      </c>
    </row>
    <row r="2304" spans="1:3" x14ac:dyDescent="0.25">
      <c r="A2304" s="412" t="s">
        <v>128</v>
      </c>
      <c r="B2304" t="s">
        <v>521</v>
      </c>
      <c r="C2304" s="412" t="s">
        <v>830</v>
      </c>
    </row>
    <row r="2305" spans="1:3" x14ac:dyDescent="0.25">
      <c r="A2305" s="412" t="s">
        <v>128</v>
      </c>
      <c r="B2305" t="s">
        <v>523</v>
      </c>
      <c r="C2305">
        <v>2</v>
      </c>
    </row>
    <row r="2306" spans="1:3" x14ac:dyDescent="0.25">
      <c r="A2306" s="412" t="s">
        <v>128</v>
      </c>
      <c r="B2306" t="s">
        <v>524</v>
      </c>
      <c r="C2306">
        <v>27</v>
      </c>
    </row>
    <row r="2307" spans="1:3" x14ac:dyDescent="0.25">
      <c r="A2307" s="412" t="s">
        <v>128</v>
      </c>
      <c r="B2307" t="s">
        <v>525</v>
      </c>
      <c r="C2307" s="412" t="s">
        <v>577</v>
      </c>
    </row>
    <row r="2308" spans="1:3" x14ac:dyDescent="0.25">
      <c r="A2308" s="412" t="s">
        <v>128</v>
      </c>
      <c r="B2308" t="s">
        <v>527</v>
      </c>
      <c r="C2308">
        <v>65535</v>
      </c>
    </row>
    <row r="2309" spans="1:3" x14ac:dyDescent="0.25">
      <c r="A2309" s="412" t="s">
        <v>127</v>
      </c>
      <c r="B2309" t="s">
        <v>521</v>
      </c>
      <c r="C2309" s="412" t="s">
        <v>831</v>
      </c>
    </row>
    <row r="2310" spans="1:3" x14ac:dyDescent="0.25">
      <c r="A2310" s="412" t="s">
        <v>127</v>
      </c>
      <c r="B2310" t="s">
        <v>523</v>
      </c>
      <c r="C2310">
        <v>2</v>
      </c>
    </row>
    <row r="2311" spans="1:3" x14ac:dyDescent="0.25">
      <c r="A2311" s="412" t="s">
        <v>127</v>
      </c>
      <c r="B2311" t="s">
        <v>524</v>
      </c>
      <c r="C2311">
        <v>28</v>
      </c>
    </row>
    <row r="2312" spans="1:3" x14ac:dyDescent="0.25">
      <c r="A2312" s="412" t="s">
        <v>127</v>
      </c>
      <c r="B2312" t="s">
        <v>525</v>
      </c>
      <c r="C2312" s="412" t="s">
        <v>739</v>
      </c>
    </row>
    <row r="2313" spans="1:3" x14ac:dyDescent="0.25">
      <c r="A2313" s="412" t="s">
        <v>127</v>
      </c>
      <c r="B2313" t="s">
        <v>527</v>
      </c>
      <c r="C2313">
        <v>65535</v>
      </c>
    </row>
    <row r="2314" spans="1:3" x14ac:dyDescent="0.25">
      <c r="A2314" s="412" t="s">
        <v>126</v>
      </c>
      <c r="B2314" t="s">
        <v>521</v>
      </c>
      <c r="C2314" s="412" t="s">
        <v>832</v>
      </c>
    </row>
    <row r="2315" spans="1:3" x14ac:dyDescent="0.25">
      <c r="A2315" s="412" t="s">
        <v>126</v>
      </c>
      <c r="B2315" t="s">
        <v>523</v>
      </c>
      <c r="C2315">
        <v>2</v>
      </c>
    </row>
    <row r="2316" spans="1:3" x14ac:dyDescent="0.25">
      <c r="A2316" s="412" t="s">
        <v>126</v>
      </c>
      <c r="B2316" t="s">
        <v>524</v>
      </c>
      <c r="C2316">
        <v>29</v>
      </c>
    </row>
    <row r="2317" spans="1:3" x14ac:dyDescent="0.25">
      <c r="A2317" s="412" t="s">
        <v>126</v>
      </c>
      <c r="B2317" t="s">
        <v>525</v>
      </c>
      <c r="C2317" s="412" t="s">
        <v>741</v>
      </c>
    </row>
    <row r="2318" spans="1:3" x14ac:dyDescent="0.25">
      <c r="A2318" s="412" t="s">
        <v>126</v>
      </c>
      <c r="B2318" t="s">
        <v>527</v>
      </c>
      <c r="C2318">
        <v>65535</v>
      </c>
    </row>
    <row r="2319" spans="1:3" x14ac:dyDescent="0.25">
      <c r="A2319" s="412" t="s">
        <v>125</v>
      </c>
      <c r="B2319" t="s">
        <v>521</v>
      </c>
      <c r="C2319" s="412" t="s">
        <v>833</v>
      </c>
    </row>
    <row r="2320" spans="1:3" x14ac:dyDescent="0.25">
      <c r="A2320" s="412" t="s">
        <v>125</v>
      </c>
      <c r="B2320" t="s">
        <v>523</v>
      </c>
      <c r="C2320">
        <v>2</v>
      </c>
    </row>
    <row r="2321" spans="1:3" x14ac:dyDescent="0.25">
      <c r="A2321" s="412" t="s">
        <v>125</v>
      </c>
      <c r="B2321" t="s">
        <v>524</v>
      </c>
      <c r="C2321">
        <v>30</v>
      </c>
    </row>
    <row r="2322" spans="1:3" x14ac:dyDescent="0.25">
      <c r="A2322" s="412" t="s">
        <v>125</v>
      </c>
      <c r="B2322" t="s">
        <v>525</v>
      </c>
      <c r="C2322" s="412" t="s">
        <v>743</v>
      </c>
    </row>
    <row r="2323" spans="1:3" x14ac:dyDescent="0.25">
      <c r="A2323" s="412" t="s">
        <v>125</v>
      </c>
      <c r="B2323" t="s">
        <v>527</v>
      </c>
      <c r="C2323">
        <v>65535</v>
      </c>
    </row>
    <row r="2324" spans="1:3" x14ac:dyDescent="0.25">
      <c r="A2324" s="412" t="s">
        <v>124</v>
      </c>
      <c r="B2324" t="s">
        <v>521</v>
      </c>
      <c r="C2324" s="412" t="s">
        <v>834</v>
      </c>
    </row>
    <row r="2325" spans="1:3" x14ac:dyDescent="0.25">
      <c r="A2325" s="412" t="s">
        <v>124</v>
      </c>
      <c r="B2325" t="s">
        <v>523</v>
      </c>
      <c r="C2325">
        <v>2</v>
      </c>
    </row>
    <row r="2326" spans="1:3" x14ac:dyDescent="0.25">
      <c r="A2326" s="412" t="s">
        <v>124</v>
      </c>
      <c r="B2326" t="s">
        <v>524</v>
      </c>
      <c r="C2326">
        <v>31</v>
      </c>
    </row>
    <row r="2327" spans="1:3" x14ac:dyDescent="0.25">
      <c r="A2327" s="412" t="s">
        <v>124</v>
      </c>
      <c r="B2327" t="s">
        <v>525</v>
      </c>
      <c r="C2327" s="412" t="s">
        <v>745</v>
      </c>
    </row>
    <row r="2328" spans="1:3" x14ac:dyDescent="0.25">
      <c r="A2328" s="412" t="s">
        <v>124</v>
      </c>
      <c r="B2328" t="s">
        <v>527</v>
      </c>
      <c r="C2328">
        <v>65535</v>
      </c>
    </row>
    <row r="2329" spans="1:3" x14ac:dyDescent="0.25">
      <c r="A2329" s="412" t="s">
        <v>341</v>
      </c>
      <c r="B2329" t="s">
        <v>578</v>
      </c>
      <c r="C2329" t="b">
        <v>0</v>
      </c>
    </row>
    <row r="2330" spans="1:3" x14ac:dyDescent="0.25">
      <c r="A2330" s="412" t="s">
        <v>341</v>
      </c>
      <c r="B2330" t="s">
        <v>579</v>
      </c>
      <c r="C2330" t="b">
        <v>0</v>
      </c>
    </row>
    <row r="2331" spans="1:3" x14ac:dyDescent="0.25">
      <c r="A2331" s="412" t="s">
        <v>341</v>
      </c>
      <c r="B2331" t="s">
        <v>580</v>
      </c>
      <c r="C2331" t="b">
        <v>0</v>
      </c>
    </row>
    <row r="2332" spans="1:3" x14ac:dyDescent="0.25">
      <c r="A2332" s="412" t="s">
        <v>341</v>
      </c>
      <c r="B2332" t="s">
        <v>581</v>
      </c>
      <c r="C2332">
        <v>-1</v>
      </c>
    </row>
    <row r="2333" spans="1:3" x14ac:dyDescent="0.25">
      <c r="A2333" s="412" t="s">
        <v>341</v>
      </c>
      <c r="B2333" t="s">
        <v>582</v>
      </c>
      <c r="C2333">
        <v>-1</v>
      </c>
    </row>
    <row r="2334" spans="1:3" x14ac:dyDescent="0.25">
      <c r="A2334" s="412" t="s">
        <v>341</v>
      </c>
      <c r="B2334" t="s">
        <v>583</v>
      </c>
      <c r="C2334">
        <v>1</v>
      </c>
    </row>
    <row r="2335" spans="1:3" x14ac:dyDescent="0.25">
      <c r="A2335" s="412" t="s">
        <v>341</v>
      </c>
      <c r="B2335" t="s">
        <v>584</v>
      </c>
      <c r="C2335">
        <v>1</v>
      </c>
    </row>
    <row r="2336" spans="1:3" x14ac:dyDescent="0.25">
      <c r="A2336" s="412" t="s">
        <v>341</v>
      </c>
      <c r="B2336" t="s">
        <v>585</v>
      </c>
      <c r="C2336">
        <v>1</v>
      </c>
    </row>
    <row r="2337" spans="1:15" x14ac:dyDescent="0.25">
      <c r="A2337" t="s">
        <v>835</v>
      </c>
    </row>
    <row r="2338" spans="1:15" x14ac:dyDescent="0.25">
      <c r="A2338" t="s">
        <v>841</v>
      </c>
    </row>
    <row r="2339" spans="1:15" x14ac:dyDescent="0.25">
      <c r="D2339" t="s">
        <v>83</v>
      </c>
      <c r="E2339">
        <v>1</v>
      </c>
      <c r="G2339" t="b">
        <v>0</v>
      </c>
      <c r="H2339" t="b">
        <v>0</v>
      </c>
      <c r="I2339" t="b">
        <v>0</v>
      </c>
      <c r="J2339" t="s">
        <v>333</v>
      </c>
      <c r="N2339" t="b">
        <v>0</v>
      </c>
      <c r="O2339" t="s">
        <v>83</v>
      </c>
    </row>
    <row r="2340" spans="1:15" x14ac:dyDescent="0.25">
      <c r="D2340" t="s">
        <v>359</v>
      </c>
      <c r="E2340">
        <v>2</v>
      </c>
      <c r="G2340" t="b">
        <v>0</v>
      </c>
      <c r="H2340" t="b">
        <v>1</v>
      </c>
      <c r="I2340" t="b">
        <v>0</v>
      </c>
      <c r="J2340" t="s">
        <v>334</v>
      </c>
      <c r="L2340">
        <v>10</v>
      </c>
      <c r="M2340">
        <v>0</v>
      </c>
      <c r="N2340" t="b">
        <v>1</v>
      </c>
      <c r="O2340" t="s">
        <v>359</v>
      </c>
    </row>
    <row r="2341" spans="1:15" x14ac:dyDescent="0.25">
      <c r="D2341" t="s">
        <v>71</v>
      </c>
      <c r="E2341">
        <v>3</v>
      </c>
      <c r="G2341" t="b">
        <v>0</v>
      </c>
      <c r="H2341" t="b">
        <v>0</v>
      </c>
      <c r="I2341" t="b">
        <v>0</v>
      </c>
      <c r="J2341" t="s">
        <v>335</v>
      </c>
      <c r="K2341">
        <v>45</v>
      </c>
      <c r="N2341" t="b">
        <v>0</v>
      </c>
      <c r="O2341" t="s">
        <v>71</v>
      </c>
    </row>
    <row r="2342" spans="1:15" x14ac:dyDescent="0.25">
      <c r="D2342" t="s">
        <v>70</v>
      </c>
      <c r="E2342">
        <v>4</v>
      </c>
      <c r="G2342" t="b">
        <v>1</v>
      </c>
      <c r="H2342" t="b">
        <v>0</v>
      </c>
      <c r="I2342" t="b">
        <v>0</v>
      </c>
      <c r="J2342" t="s">
        <v>335</v>
      </c>
      <c r="K2342">
        <v>45</v>
      </c>
      <c r="N2342" t="b">
        <v>0</v>
      </c>
      <c r="O2342" t="s">
        <v>70</v>
      </c>
    </row>
    <row r="2343" spans="1:15" x14ac:dyDescent="0.25">
      <c r="D2343" t="s">
        <v>68</v>
      </c>
      <c r="E2343">
        <v>5</v>
      </c>
      <c r="G2343" t="b">
        <v>0</v>
      </c>
      <c r="H2343" t="b">
        <v>0</v>
      </c>
      <c r="I2343" t="b">
        <v>0</v>
      </c>
      <c r="J2343" t="s">
        <v>335</v>
      </c>
      <c r="K2343">
        <v>45</v>
      </c>
      <c r="N2343" t="b">
        <v>0</v>
      </c>
      <c r="O2343" t="s">
        <v>68</v>
      </c>
    </row>
    <row r="2344" spans="1:15" x14ac:dyDescent="0.25">
      <c r="D2344" t="s">
        <v>360</v>
      </c>
      <c r="E2344">
        <v>6</v>
      </c>
      <c r="G2344" t="b">
        <v>0</v>
      </c>
      <c r="H2344" t="b">
        <v>0</v>
      </c>
      <c r="I2344" t="b">
        <v>0</v>
      </c>
      <c r="J2344" t="s">
        <v>335</v>
      </c>
      <c r="K2344">
        <v>45</v>
      </c>
      <c r="N2344" t="b">
        <v>0</v>
      </c>
      <c r="O2344" t="s">
        <v>360</v>
      </c>
    </row>
    <row r="2345" spans="1:15" x14ac:dyDescent="0.25">
      <c r="D2345" t="s">
        <v>361</v>
      </c>
      <c r="E2345">
        <v>7</v>
      </c>
      <c r="G2345" t="b">
        <v>0</v>
      </c>
      <c r="H2345" t="b">
        <v>0</v>
      </c>
      <c r="I2345" t="b">
        <v>0</v>
      </c>
      <c r="J2345" t="s">
        <v>335</v>
      </c>
      <c r="K2345">
        <v>45</v>
      </c>
      <c r="N2345" t="b">
        <v>0</v>
      </c>
      <c r="O2345" t="s">
        <v>361</v>
      </c>
    </row>
    <row r="2346" spans="1:15" x14ac:dyDescent="0.25">
      <c r="D2346" t="s">
        <v>362</v>
      </c>
      <c r="E2346">
        <v>8</v>
      </c>
      <c r="G2346" t="b">
        <v>0</v>
      </c>
      <c r="H2346" t="b">
        <v>0</v>
      </c>
      <c r="I2346" t="b">
        <v>0</v>
      </c>
      <c r="J2346" t="s">
        <v>335</v>
      </c>
      <c r="K2346">
        <v>45</v>
      </c>
      <c r="N2346" t="b">
        <v>0</v>
      </c>
      <c r="O2346" t="s">
        <v>362</v>
      </c>
    </row>
    <row r="2347" spans="1:15" x14ac:dyDescent="0.25">
      <c r="D2347" t="s">
        <v>363</v>
      </c>
      <c r="E2347">
        <v>9</v>
      </c>
      <c r="G2347" t="b">
        <v>0</v>
      </c>
      <c r="H2347" t="b">
        <v>0</v>
      </c>
      <c r="I2347" t="b">
        <v>0</v>
      </c>
      <c r="J2347" t="s">
        <v>335</v>
      </c>
      <c r="K2347">
        <v>45</v>
      </c>
      <c r="N2347" t="b">
        <v>0</v>
      </c>
      <c r="O2347" t="s">
        <v>363</v>
      </c>
    </row>
    <row r="2348" spans="1:15" x14ac:dyDescent="0.25">
      <c r="D2348" t="s">
        <v>33</v>
      </c>
      <c r="E2348">
        <v>10</v>
      </c>
      <c r="G2348" t="b">
        <v>0</v>
      </c>
      <c r="H2348" t="b">
        <v>0</v>
      </c>
      <c r="I2348" t="b">
        <v>0</v>
      </c>
      <c r="J2348" t="s">
        <v>335</v>
      </c>
      <c r="K2348">
        <v>45</v>
      </c>
      <c r="N2348" t="b">
        <v>0</v>
      </c>
      <c r="O2348" t="s">
        <v>33</v>
      </c>
    </row>
    <row r="2349" spans="1:15" x14ac:dyDescent="0.25">
      <c r="D2349" t="s">
        <v>364</v>
      </c>
      <c r="E2349">
        <v>11</v>
      </c>
      <c r="G2349" t="b">
        <v>0</v>
      </c>
      <c r="H2349" t="b">
        <v>0</v>
      </c>
      <c r="I2349" t="b">
        <v>0</v>
      </c>
      <c r="J2349" t="s">
        <v>335</v>
      </c>
      <c r="K2349">
        <v>45</v>
      </c>
      <c r="N2349" t="b">
        <v>0</v>
      </c>
      <c r="O2349" t="s">
        <v>364</v>
      </c>
    </row>
    <row r="2350" spans="1:15" x14ac:dyDescent="0.25">
      <c r="D2350" t="s">
        <v>148</v>
      </c>
      <c r="E2350">
        <v>12</v>
      </c>
      <c r="G2350" t="b">
        <v>0</v>
      </c>
      <c r="H2350" t="b">
        <v>0</v>
      </c>
      <c r="I2350" t="b">
        <v>0</v>
      </c>
      <c r="J2350" t="s">
        <v>335</v>
      </c>
      <c r="K2350">
        <v>45</v>
      </c>
      <c r="N2350" t="b">
        <v>0</v>
      </c>
      <c r="O2350" t="s">
        <v>148</v>
      </c>
    </row>
    <row r="2351" spans="1:15" x14ac:dyDescent="0.25">
      <c r="D2351" t="s">
        <v>365</v>
      </c>
      <c r="E2351">
        <v>13</v>
      </c>
      <c r="G2351" t="b">
        <v>0</v>
      </c>
      <c r="H2351" t="b">
        <v>0</v>
      </c>
      <c r="I2351" t="b">
        <v>0</v>
      </c>
      <c r="J2351" t="s">
        <v>335</v>
      </c>
      <c r="K2351">
        <v>45</v>
      </c>
      <c r="N2351" t="b">
        <v>0</v>
      </c>
      <c r="O2351" t="s">
        <v>365</v>
      </c>
    </row>
    <row r="2352" spans="1:15" x14ac:dyDescent="0.25">
      <c r="D2352" t="s">
        <v>75</v>
      </c>
      <c r="E2352">
        <v>14</v>
      </c>
      <c r="G2352" t="b">
        <v>0</v>
      </c>
      <c r="H2352" t="b">
        <v>0</v>
      </c>
      <c r="I2352" t="b">
        <v>0</v>
      </c>
      <c r="J2352" t="s">
        <v>334</v>
      </c>
      <c r="L2352">
        <v>10</v>
      </c>
      <c r="M2352">
        <v>0</v>
      </c>
      <c r="N2352" t="b">
        <v>0</v>
      </c>
      <c r="O2352" t="s">
        <v>75</v>
      </c>
    </row>
    <row r="2353" spans="1:15" x14ac:dyDescent="0.25">
      <c r="D2353" t="s">
        <v>366</v>
      </c>
      <c r="E2353">
        <v>15</v>
      </c>
      <c r="G2353" t="b">
        <v>0</v>
      </c>
      <c r="H2353" t="b">
        <v>0</v>
      </c>
      <c r="I2353" t="b">
        <v>0</v>
      </c>
      <c r="J2353" t="s">
        <v>335</v>
      </c>
      <c r="K2353">
        <v>45</v>
      </c>
      <c r="N2353" t="b">
        <v>0</v>
      </c>
      <c r="O2353" t="s">
        <v>366</v>
      </c>
    </row>
    <row r="2354" spans="1:15" x14ac:dyDescent="0.25">
      <c r="D2354" t="s">
        <v>367</v>
      </c>
      <c r="E2354">
        <v>16</v>
      </c>
      <c r="G2354" t="b">
        <v>0</v>
      </c>
      <c r="H2354" t="b">
        <v>0</v>
      </c>
      <c r="I2354" t="b">
        <v>0</v>
      </c>
      <c r="J2354" t="s">
        <v>335</v>
      </c>
      <c r="K2354">
        <v>45</v>
      </c>
      <c r="N2354" t="b">
        <v>0</v>
      </c>
      <c r="O2354" t="s">
        <v>367</v>
      </c>
    </row>
    <row r="2355" spans="1:15" x14ac:dyDescent="0.25">
      <c r="D2355" t="s">
        <v>368</v>
      </c>
      <c r="E2355">
        <v>17</v>
      </c>
      <c r="G2355" t="b">
        <v>0</v>
      </c>
      <c r="H2355" t="b">
        <v>0</v>
      </c>
      <c r="I2355" t="b">
        <v>0</v>
      </c>
      <c r="J2355" t="s">
        <v>335</v>
      </c>
      <c r="K2355">
        <v>45</v>
      </c>
      <c r="N2355" t="b">
        <v>0</v>
      </c>
      <c r="O2355" t="s">
        <v>368</v>
      </c>
    </row>
    <row r="2356" spans="1:15" x14ac:dyDescent="0.25">
      <c r="D2356" t="s">
        <v>369</v>
      </c>
      <c r="E2356">
        <v>18</v>
      </c>
      <c r="G2356" t="b">
        <v>0</v>
      </c>
      <c r="H2356" t="b">
        <v>0</v>
      </c>
      <c r="I2356" t="b">
        <v>0</v>
      </c>
      <c r="J2356" t="s">
        <v>335</v>
      </c>
      <c r="K2356">
        <v>45</v>
      </c>
      <c r="N2356" t="b">
        <v>0</v>
      </c>
      <c r="O2356" t="s">
        <v>369</v>
      </c>
    </row>
    <row r="2357" spans="1:15" x14ac:dyDescent="0.25">
      <c r="D2357" t="s">
        <v>370</v>
      </c>
      <c r="E2357">
        <v>19</v>
      </c>
      <c r="G2357" t="b">
        <v>0</v>
      </c>
      <c r="H2357" t="b">
        <v>0</v>
      </c>
      <c r="I2357" t="b">
        <v>0</v>
      </c>
      <c r="J2357" t="s">
        <v>335</v>
      </c>
      <c r="K2357">
        <v>45</v>
      </c>
      <c r="N2357" t="b">
        <v>0</v>
      </c>
      <c r="O2357" t="s">
        <v>370</v>
      </c>
    </row>
    <row r="2358" spans="1:15" x14ac:dyDescent="0.25">
      <c r="D2358" t="s">
        <v>371</v>
      </c>
      <c r="E2358">
        <v>20</v>
      </c>
      <c r="G2358" t="b">
        <v>0</v>
      </c>
      <c r="H2358" t="b">
        <v>0</v>
      </c>
      <c r="I2358" t="b">
        <v>0</v>
      </c>
      <c r="J2358" t="s">
        <v>335</v>
      </c>
      <c r="K2358">
        <v>45</v>
      </c>
      <c r="N2358" t="b">
        <v>0</v>
      </c>
      <c r="O2358" t="s">
        <v>371</v>
      </c>
    </row>
    <row r="2359" spans="1:15" x14ac:dyDescent="0.25">
      <c r="D2359" t="s">
        <v>372</v>
      </c>
      <c r="E2359">
        <v>21</v>
      </c>
      <c r="G2359" t="b">
        <v>0</v>
      </c>
      <c r="H2359" t="b">
        <v>0</v>
      </c>
      <c r="I2359" t="b">
        <v>0</v>
      </c>
      <c r="J2359" t="s">
        <v>335</v>
      </c>
      <c r="K2359">
        <v>45</v>
      </c>
      <c r="N2359" t="b">
        <v>0</v>
      </c>
      <c r="O2359" t="s">
        <v>372</v>
      </c>
    </row>
    <row r="2360" spans="1:15" x14ac:dyDescent="0.25">
      <c r="D2360" t="s">
        <v>373</v>
      </c>
      <c r="E2360">
        <v>22</v>
      </c>
      <c r="G2360" t="b">
        <v>0</v>
      </c>
      <c r="H2360" t="b">
        <v>0</v>
      </c>
      <c r="I2360" t="b">
        <v>0</v>
      </c>
      <c r="J2360" t="s">
        <v>335</v>
      </c>
      <c r="K2360">
        <v>45</v>
      </c>
      <c r="N2360" t="b">
        <v>0</v>
      </c>
      <c r="O2360" t="s">
        <v>373</v>
      </c>
    </row>
    <row r="2361" spans="1:15" x14ac:dyDescent="0.25">
      <c r="D2361" t="s">
        <v>374</v>
      </c>
      <c r="E2361">
        <v>23</v>
      </c>
      <c r="G2361" t="b">
        <v>0</v>
      </c>
      <c r="H2361" t="b">
        <v>0</v>
      </c>
      <c r="I2361" t="b">
        <v>0</v>
      </c>
      <c r="J2361" t="s">
        <v>335</v>
      </c>
      <c r="K2361">
        <v>45</v>
      </c>
      <c r="N2361" t="b">
        <v>0</v>
      </c>
      <c r="O2361" t="s">
        <v>374</v>
      </c>
    </row>
    <row r="2362" spans="1:15" x14ac:dyDescent="0.25">
      <c r="D2362" t="s">
        <v>375</v>
      </c>
      <c r="E2362">
        <v>24</v>
      </c>
      <c r="G2362" t="b">
        <v>0</v>
      </c>
      <c r="H2362" t="b">
        <v>0</v>
      </c>
      <c r="I2362" t="b">
        <v>0</v>
      </c>
      <c r="J2362" t="s">
        <v>335</v>
      </c>
      <c r="K2362">
        <v>45</v>
      </c>
      <c r="N2362" t="b">
        <v>0</v>
      </c>
      <c r="O2362" t="s">
        <v>375</v>
      </c>
    </row>
    <row r="2363" spans="1:15" x14ac:dyDescent="0.25">
      <c r="D2363" t="s">
        <v>376</v>
      </c>
      <c r="E2363">
        <v>25</v>
      </c>
      <c r="G2363" t="b">
        <v>0</v>
      </c>
      <c r="H2363" t="b">
        <v>0</v>
      </c>
      <c r="I2363" t="b">
        <v>0</v>
      </c>
      <c r="J2363" t="s">
        <v>335</v>
      </c>
      <c r="K2363">
        <v>45</v>
      </c>
      <c r="N2363" t="b">
        <v>0</v>
      </c>
      <c r="O2363" t="s">
        <v>376</v>
      </c>
    </row>
    <row r="2364" spans="1:15" x14ac:dyDescent="0.25">
      <c r="D2364" t="s">
        <v>377</v>
      </c>
      <c r="E2364">
        <v>26</v>
      </c>
      <c r="G2364" t="b">
        <v>0</v>
      </c>
      <c r="H2364" t="b">
        <v>0</v>
      </c>
      <c r="I2364" t="b">
        <v>0</v>
      </c>
      <c r="J2364" t="s">
        <v>335</v>
      </c>
      <c r="K2364">
        <v>45</v>
      </c>
      <c r="N2364" t="b">
        <v>0</v>
      </c>
      <c r="O2364" t="s">
        <v>377</v>
      </c>
    </row>
    <row r="2365" spans="1:15" x14ac:dyDescent="0.25">
      <c r="D2365" t="s">
        <v>378</v>
      </c>
      <c r="E2365">
        <v>27</v>
      </c>
      <c r="G2365" t="b">
        <v>0</v>
      </c>
      <c r="H2365" t="b">
        <v>0</v>
      </c>
      <c r="I2365" t="b">
        <v>0</v>
      </c>
      <c r="J2365" t="s">
        <v>335</v>
      </c>
      <c r="K2365">
        <v>45</v>
      </c>
      <c r="N2365" t="b">
        <v>0</v>
      </c>
      <c r="O2365" t="s">
        <v>378</v>
      </c>
    </row>
    <row r="2366" spans="1:15" x14ac:dyDescent="0.25">
      <c r="D2366" t="s">
        <v>379</v>
      </c>
      <c r="E2366">
        <v>28</v>
      </c>
      <c r="G2366" t="b">
        <v>0</v>
      </c>
      <c r="H2366" t="b">
        <v>0</v>
      </c>
      <c r="I2366" t="b">
        <v>0</v>
      </c>
      <c r="J2366" t="s">
        <v>335</v>
      </c>
      <c r="K2366">
        <v>45</v>
      </c>
      <c r="N2366" t="b">
        <v>0</v>
      </c>
      <c r="O2366" t="s">
        <v>379</v>
      </c>
    </row>
    <row r="2367" spans="1:15" x14ac:dyDescent="0.25">
      <c r="A2367" t="s">
        <v>842</v>
      </c>
    </row>
    <row r="2368" spans="1:15" x14ac:dyDescent="0.25">
      <c r="A2368" t="s">
        <v>843</v>
      </c>
    </row>
    <row r="2369" spans="1:9" x14ac:dyDescent="0.25">
      <c r="C2369" t="s">
        <v>632</v>
      </c>
      <c r="D2369" t="s">
        <v>380</v>
      </c>
      <c r="E2369" t="s">
        <v>381</v>
      </c>
      <c r="I2369" t="s">
        <v>693</v>
      </c>
    </row>
    <row r="2370" spans="1:9" x14ac:dyDescent="0.25">
      <c r="C2370" t="s">
        <v>632</v>
      </c>
      <c r="D2370" t="s">
        <v>382</v>
      </c>
      <c r="E2370" t="s">
        <v>381</v>
      </c>
      <c r="I2370" t="s">
        <v>844</v>
      </c>
    </row>
    <row r="2371" spans="1:9" x14ac:dyDescent="0.25">
      <c r="C2371" t="s">
        <v>632</v>
      </c>
      <c r="D2371" t="s">
        <v>384</v>
      </c>
      <c r="E2371" t="s">
        <v>381</v>
      </c>
      <c r="I2371" t="s">
        <v>799</v>
      </c>
    </row>
    <row r="2372" spans="1:9" x14ac:dyDescent="0.25">
      <c r="C2372" t="s">
        <v>632</v>
      </c>
      <c r="D2372" t="s">
        <v>385</v>
      </c>
      <c r="E2372" t="s">
        <v>381</v>
      </c>
      <c r="I2372" t="s">
        <v>839</v>
      </c>
    </row>
    <row r="2373" spans="1:9" x14ac:dyDescent="0.25">
      <c r="C2373" t="s">
        <v>632</v>
      </c>
      <c r="D2373" t="s">
        <v>386</v>
      </c>
      <c r="E2373" t="s">
        <v>381</v>
      </c>
      <c r="I2373" t="s">
        <v>845</v>
      </c>
    </row>
    <row r="2374" spans="1:9" x14ac:dyDescent="0.25">
      <c r="C2374" t="s">
        <v>632</v>
      </c>
      <c r="D2374" t="s">
        <v>387</v>
      </c>
      <c r="E2374" t="s">
        <v>381</v>
      </c>
      <c r="I2374" t="s">
        <v>668</v>
      </c>
    </row>
    <row r="2375" spans="1:9" x14ac:dyDescent="0.25">
      <c r="C2375" t="s">
        <v>632</v>
      </c>
      <c r="D2375" t="s">
        <v>388</v>
      </c>
      <c r="E2375" t="s">
        <v>381</v>
      </c>
      <c r="I2375" t="s">
        <v>723</v>
      </c>
    </row>
    <row r="2376" spans="1:9" x14ac:dyDescent="0.25">
      <c r="A2376" t="s">
        <v>846</v>
      </c>
    </row>
  </sheetData>
  <dataValidations count="1">
    <dataValidation allowBlank="1" showInputMessage="1" showErrorMessage="1" sqref="A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8</vt:i4>
      </vt:variant>
      <vt:variant>
        <vt:lpstr>Intervalos com nome</vt:lpstr>
      </vt:variant>
      <vt:variant>
        <vt:i4>6</vt:i4>
      </vt:variant>
    </vt:vector>
  </HeadingPairs>
  <TitlesOfParts>
    <vt:vector size="14" baseType="lpstr">
      <vt:lpstr>reg_ben</vt:lpstr>
      <vt:lpstr>presenca</vt:lpstr>
      <vt:lpstr>gestao_crcr</vt:lpstr>
      <vt:lpstr>servicos_bross</vt:lpstr>
      <vt:lpstr>mac</vt:lpstr>
      <vt:lpstr>planoacao</vt:lpstr>
      <vt:lpstr>lista_covs</vt:lpstr>
      <vt:lpstr>Relatorio_Mensal</vt:lpstr>
      <vt:lpstr>gestao_crcr!Área_de_Impressão</vt:lpstr>
      <vt:lpstr>lista_covs!Área_de_Impressão</vt:lpstr>
      <vt:lpstr>mac!Área_de_Impressão</vt:lpstr>
      <vt:lpstr>planoacao!Área_de_Impressão</vt:lpstr>
      <vt:lpstr>presenca!Área_de_Impressão</vt:lpstr>
      <vt:lpstr>servicos_bross!Área_de_Impressão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</dc:creator>
  <cp:lastModifiedBy>Double Dee</cp:lastModifiedBy>
  <dcterms:created xsi:type="dcterms:W3CDTF">2018-06-05T10:51:25Z</dcterms:created>
  <dcterms:modified xsi:type="dcterms:W3CDTF">2018-06-19T11:56:57Z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867b7531-367d-4dcd-9d3c-f677a1680aac</vt:lpwstr>
  </property>
  <property fmtid="{D5CDD505-2E9C-101B-9397-08002B2CF9AE}" pid="3" name="ImportConnectionInfosXmlPartId">
    <vt:lpwstr>{93911CC6-EBCA-4927-B86A-BA07C5545E59}</vt:lpwstr>
  </property>
  <property fmtid="{D5CDD505-2E9C-101B-9397-08002B2CF9AE}" pid="4" name="ConnectionInfosStorage">
    <vt:lpwstr>WorkbookXmlParts</vt:lpwstr>
  </property>
</Properties>
</file>