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02_Škola a Školní projekty/05_Magisterske_Studium/2-rocnik-1-trimestr-strategicky-a-projektovy-management/Strategický audit/Parts/InternalResources/"/>
    </mc:Choice>
  </mc:AlternateContent>
  <xr:revisionPtr revIDLastSave="695" documentId="8_{F6B13A76-5F62-AB4F-A41C-517B7EF7D0F4}" xr6:coauthVersionLast="47" xr6:coauthVersionMax="47" xr10:uidLastSave="{74917711-A5A7-724D-92DF-29A64C35F89F}"/>
  <bookViews>
    <workbookView xWindow="8660" yWindow="2020" windowWidth="28040" windowHeight="17440" activeTab="8" xr2:uid="{12FAF507-91A5-BC41-AAAA-E86EC6315936}"/>
  </bookViews>
  <sheets>
    <sheet name="Sheet1" sheetId="1" r:id="rId1"/>
    <sheet name="Sheet2" sheetId="2" r:id="rId2"/>
    <sheet name="HDP" sheetId="3" r:id="rId3"/>
    <sheet name="Sheet4" sheetId="4" r:id="rId4"/>
    <sheet name="Sheet5" sheetId="5" r:id="rId5"/>
    <sheet name="Sheet6" sheetId="6" r:id="rId6"/>
    <sheet name="Sheet7" sheetId="7" r:id="rId7"/>
    <sheet name="takticke" sheetId="8" r:id="rId8"/>
    <sheet name="WAC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9" l="1"/>
  <c r="E4" i="9"/>
  <c r="F10" i="9"/>
  <c r="F11" i="9"/>
  <c r="F12" i="9"/>
  <c r="F9" i="9"/>
  <c r="F3" i="9"/>
  <c r="F2" i="9"/>
  <c r="B13" i="9"/>
  <c r="B14" i="9" s="1"/>
  <c r="C13" i="9"/>
  <c r="C14" i="9" s="1"/>
  <c r="D13" i="9"/>
  <c r="D14" i="9" s="1"/>
  <c r="E13" i="9"/>
  <c r="E14" i="9" s="1"/>
  <c r="C8" i="9"/>
  <c r="D8" i="9"/>
  <c r="B8" i="9"/>
  <c r="B15" i="7"/>
  <c r="C15" i="7"/>
  <c r="D15" i="7"/>
  <c r="E15" i="7"/>
  <c r="F31" i="8"/>
  <c r="E31" i="8"/>
  <c r="D31" i="8"/>
  <c r="C31" i="8"/>
  <c r="B31" i="8"/>
  <c r="F49" i="8"/>
  <c r="E49" i="8"/>
  <c r="D49" i="8"/>
  <c r="C49" i="8"/>
  <c r="B49" i="8"/>
  <c r="F47" i="8"/>
  <c r="E47" i="8"/>
  <c r="D47" i="8"/>
  <c r="C47" i="8"/>
  <c r="B47" i="8"/>
  <c r="F35" i="8"/>
  <c r="E35" i="8"/>
  <c r="D35" i="8"/>
  <c r="C35" i="8"/>
  <c r="B35" i="8"/>
  <c r="F33" i="8"/>
  <c r="E33" i="8"/>
  <c r="D33" i="8"/>
  <c r="C33" i="8"/>
  <c r="B33" i="8"/>
  <c r="B11" i="7"/>
  <c r="C11" i="7"/>
  <c r="D11" i="7"/>
  <c r="E11" i="7"/>
  <c r="B22" i="7"/>
  <c r="C22" i="7"/>
  <c r="D22" i="7"/>
  <c r="E22" i="7"/>
  <c r="F22" i="7"/>
  <c r="F15" i="7"/>
  <c r="F11" i="7"/>
  <c r="F26" i="7" s="1"/>
  <c r="C22" i="5"/>
  <c r="D22" i="5"/>
  <c r="E22" i="5"/>
  <c r="G22" i="5"/>
  <c r="F22" i="5"/>
  <c r="C4" i="3"/>
  <c r="C5" i="3"/>
  <c r="C6" i="3"/>
  <c r="C7" i="3"/>
  <c r="C8" i="3"/>
  <c r="C9" i="3"/>
  <c r="C10" i="3"/>
  <c r="C11" i="3"/>
  <c r="C12" i="3"/>
  <c r="C3" i="3"/>
  <c r="C12" i="1"/>
  <c r="C6" i="1"/>
  <c r="C7" i="1"/>
  <c r="C8" i="1"/>
  <c r="C9" i="1"/>
  <c r="C10" i="1"/>
  <c r="C11" i="1"/>
  <c r="C5" i="1"/>
  <c r="D4" i="1"/>
  <c r="D5" i="1"/>
  <c r="D6" i="1"/>
  <c r="D7" i="1"/>
  <c r="D8" i="1"/>
  <c r="D9" i="1"/>
  <c r="D10" i="1"/>
  <c r="D11" i="1"/>
  <c r="D3" i="1"/>
  <c r="E15" i="9" l="1"/>
  <c r="F8" i="9"/>
  <c r="F13" i="9"/>
  <c r="F14" i="9" s="1"/>
  <c r="B15" i="9"/>
  <c r="C15" i="9"/>
  <c r="D15" i="9"/>
  <c r="B26" i="7"/>
  <c r="C26" i="7"/>
  <c r="D26" i="7"/>
  <c r="E26" i="7"/>
  <c r="F15" i="9" l="1"/>
</calcChain>
</file>

<file path=xl/sharedStrings.xml><?xml version="1.0" encoding="utf-8"?>
<sst xmlns="http://schemas.openxmlformats.org/spreadsheetml/2006/main" count="274" uniqueCount="136">
  <si>
    <t>Year</t>
  </si>
  <si>
    <t>Zisk</t>
  </si>
  <si>
    <t>Moving average</t>
  </si>
  <si>
    <t>Růstový vývoj</t>
  </si>
  <si>
    <t>Datum</t>
  </si>
  <si>
    <t>Obrat</t>
  </si>
  <si>
    <t>Čistý zisk</t>
  </si>
  <si>
    <t>Růst bilanční sumy</t>
  </si>
  <si>
    <t>Růst obratu</t>
  </si>
  <si>
    <t>Růst čistého zisku</t>
  </si>
  <si>
    <t>Rok</t>
  </si>
  <si>
    <t>HDP</t>
  </si>
  <si>
    <t>Růst HDP</t>
  </si>
  <si>
    <t>Bilanční suma</t>
  </si>
  <si>
    <t>Procentuální růst obratu</t>
  </si>
  <si>
    <t>Procentuální růst čistého zisku</t>
  </si>
  <si>
    <t>Procentuální růst bilanční sumy</t>
  </si>
  <si>
    <t>?</t>
  </si>
  <si>
    <t>Tržby z prodeje výrobků a služeb</t>
  </si>
  <si>
    <t>Tržby za prodej zboží</t>
  </si>
  <si>
    <t>Výkonová spotřeba</t>
  </si>
  <si>
    <t>Změna stavu zásob vlastní činnosti</t>
  </si>
  <si>
    <t>Aktivace</t>
  </si>
  <si>
    <t>Osobní náklady</t>
  </si>
  <si>
    <t>Úpravy hodnot v provozní oblasti</t>
  </si>
  <si>
    <t>Typ</t>
  </si>
  <si>
    <t>Příjem</t>
  </si>
  <si>
    <t>Náklad</t>
  </si>
  <si>
    <t>Příjem/Náklad</t>
  </si>
  <si>
    <t>Ostatní provozní výnosy</t>
  </si>
  <si>
    <t>Ostatní provozní náklady</t>
  </si>
  <si>
    <t>Výnosy z dlouhodobého finančního majetku</t>
  </si>
  <si>
    <t>Náklady vynaložené na prodané podíly</t>
  </si>
  <si>
    <t>Výnosy z ostatního dlouhodobého finančního majetku</t>
  </si>
  <si>
    <t>Náklady související s ostatním dlouhodobým majetkem</t>
  </si>
  <si>
    <t>Výnosové úroky a podobné výnosy</t>
  </si>
  <si>
    <t>Úpravy hodnot a rezervy ve fianční oblasti</t>
  </si>
  <si>
    <t>Nákladové úroky a podobné náklady</t>
  </si>
  <si>
    <t>Ostatní finanční výnosy</t>
  </si>
  <si>
    <t>Ostatní finanční náklady</t>
  </si>
  <si>
    <t>Daň z příjmů</t>
  </si>
  <si>
    <t>Převod podílu na výsledek hospodaření společníkům</t>
  </si>
  <si>
    <t>Cash flow:</t>
  </si>
  <si>
    <t>PS Cash</t>
  </si>
  <si>
    <t>EBT</t>
  </si>
  <si>
    <t>Odpisy (+)</t>
  </si>
  <si>
    <t>Úroky (+/-)</t>
  </si>
  <si>
    <t>Δ Zásoby (+/-)</t>
  </si>
  <si>
    <t>Δ Pohledávky (+/-)</t>
  </si>
  <si>
    <t>Δ Závazky (+/-)</t>
  </si>
  <si>
    <t>Zaplacená daň (-)</t>
  </si>
  <si>
    <t>Provozní CF</t>
  </si>
  <si>
    <t>Nákup fixních aktiv (-)</t>
  </si>
  <si>
    <t>Půjčky ve skupině (+/-)</t>
  </si>
  <si>
    <t>Investiční CF</t>
  </si>
  <si>
    <t>Zvýšení ZK (+)</t>
  </si>
  <si>
    <t>Bankovní úvěry (+)</t>
  </si>
  <si>
    <t>Splátky bankovních úvěrů (-)</t>
  </si>
  <si>
    <t>Emitované dluhopisy (+)</t>
  </si>
  <si>
    <t>Vyplacené dluhopisy (-)</t>
  </si>
  <si>
    <t>Finanční CF</t>
  </si>
  <si>
    <t>Δ Cash (+/-)</t>
  </si>
  <si>
    <t>KS Cash</t>
  </si>
  <si>
    <t>Výše vlastního kapitálu k bilanční sumě</t>
  </si>
  <si>
    <t>31 164/23 898</t>
  </si>
  <si>
    <t>36 115/25 517</t>
  </si>
  <si>
    <t>33 632/17 236</t>
  </si>
  <si>
    <t>36 739/22 300</t>
  </si>
  <si>
    <t>44 179/26 871</t>
  </si>
  <si>
    <t>Obratovost pohledávek</t>
  </si>
  <si>
    <t>67 197/11 275</t>
  </si>
  <si>
    <t>72 345/12 615</t>
  </si>
  <si>
    <t>76 690/11 322</t>
  </si>
  <si>
    <t>92 918/14 215</t>
  </si>
  <si>
    <t>104 449/14 016</t>
  </si>
  <si>
    <t>EBITDA</t>
  </si>
  <si>
    <t>13 792 + 1742</t>
  </si>
  <si>
    <t>15 920 + 1734</t>
  </si>
  <si>
    <t>16 413 + 1873</t>
  </si>
  <si>
    <t>22 682 + 1706</t>
  </si>
  <si>
    <t>28 203 + 1696</t>
  </si>
  <si>
    <t>Počty pracovních úrazů (volitelně všechno níže)</t>
  </si>
  <si>
    <t>Počty nových smluv (Registr smluv)</t>
  </si>
  <si>
    <t>0 + ?</t>
  </si>
  <si>
    <t>3 + ?</t>
  </si>
  <si>
    <t>2 + ?</t>
  </si>
  <si>
    <t>13 + ?</t>
  </si>
  <si>
    <t>Nových produktů a služeb na trhu</t>
  </si>
  <si>
    <t>Rentabilita vlastního kapitálu</t>
  </si>
  <si>
    <t>ROS</t>
  </si>
  <si>
    <t>Hrubá marže</t>
  </si>
  <si>
    <t>67 197 - 15 771 (Zároveň dát procenta)</t>
  </si>
  <si>
    <t>72 345 - 17 006</t>
  </si>
  <si>
    <t>76 690 - 17 362</t>
  </si>
  <si>
    <t>92 918 - 24 402</t>
  </si>
  <si>
    <t>104 449 - 21 735</t>
  </si>
  <si>
    <t>Likvidita (Běžná)</t>
  </si>
  <si>
    <t>25 581 / 6 130</t>
  </si>
  <si>
    <t>29 374 / 7598</t>
  </si>
  <si>
    <t>27 490 / 13 030</t>
  </si>
  <si>
    <t>30 837 / 11 792</t>
  </si>
  <si>
    <t>37 952 / 15 423</t>
  </si>
  <si>
    <t>Rating</t>
  </si>
  <si>
    <t>98.75</t>
  </si>
  <si>
    <t>Taktické ukazatele</t>
  </si>
  <si>
    <t>Vývoj v čase</t>
  </si>
  <si>
    <t>51426 (426,08%)</t>
  </si>
  <si>
    <t>55339 (425,41%)</t>
  </si>
  <si>
    <t>59328 (441,71%)</t>
  </si>
  <si>
    <t>68516 (380,78%)</t>
  </si>
  <si>
    <t>82714 (480,56%)</t>
  </si>
  <si>
    <t>Opraveno pořadí</t>
  </si>
  <si>
    <t>Vlastní kapitál</t>
  </si>
  <si>
    <t>Cizí kapitál</t>
  </si>
  <si>
    <t>Daňová sazba</t>
  </si>
  <si>
    <t>Náklady na vlastní kapitál</t>
  </si>
  <si>
    <t>Náklady na cizí kapitál</t>
  </si>
  <si>
    <t>WACC</t>
  </si>
  <si>
    <t>NOPAT</t>
  </si>
  <si>
    <t>C</t>
  </si>
  <si>
    <t>Stálá aktiva</t>
  </si>
  <si>
    <t>Oběžná aktiva</t>
  </si>
  <si>
    <t>Krátkodobé závazky</t>
  </si>
  <si>
    <t>Čistý pracovní kapitál</t>
  </si>
  <si>
    <t>EVA</t>
  </si>
  <si>
    <t>24585,5 *</t>
  </si>
  <si>
    <t>20317*</t>
  </si>
  <si>
    <t>4045*</t>
  </si>
  <si>
    <t>13621*</t>
  </si>
  <si>
    <t>34394,5*</t>
  </si>
  <si>
    <t>13607,5*</t>
  </si>
  <si>
    <t>20787*</t>
  </si>
  <si>
    <t>24832*</t>
  </si>
  <si>
    <t>18714,8356514323*</t>
  </si>
  <si>
    <t>0,0645201493463154*</t>
  </si>
  <si>
    <t>Bil. Suma s čas. Rozliš.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</si>
</sst>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3" fontId="0" fillId="0" borderId="0" xfId="0" applyNumberFormat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1" xfId="0" applyNumberFormat="1" applyFont="1" applyBorder="1" applyAlignment="1"/>
    <xf numFmtId="164" fontId="0" fillId="0" borderId="0" xfId="1" applyNumberFormat="1" applyFont="1"/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/>
    <xf numFmtId="165" fontId="0" fillId="0" borderId="0" xfId="0" applyNumberFormat="1"/>
    <xf numFmtId="0" fontId="0" fillId="0" borderId="0" xfId="0"/>
    <xf numFmtId="0" fontId="0" fillId="0" borderId="0" xfId="0" applyFill="1" applyBorder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Čistý zisk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Sheet1!$B$2:$B$12</c:f>
              <c:numCache>
                <c:formatCode>#,##0</c:formatCode>
                <c:ptCount val="11"/>
                <c:pt idx="0">
                  <c:v>11690</c:v>
                </c:pt>
                <c:pt idx="1">
                  <c:v>13399</c:v>
                </c:pt>
                <c:pt idx="2" formatCode="General">
                  <c:v>9092</c:v>
                </c:pt>
                <c:pt idx="3">
                  <c:v>12622</c:v>
                </c:pt>
                <c:pt idx="4">
                  <c:v>10314</c:v>
                </c:pt>
                <c:pt idx="5">
                  <c:v>11054</c:v>
                </c:pt>
                <c:pt idx="6">
                  <c:v>12619</c:v>
                </c:pt>
                <c:pt idx="7">
                  <c:v>13181</c:v>
                </c:pt>
                <c:pt idx="8">
                  <c:v>18063</c:v>
                </c:pt>
                <c:pt idx="9">
                  <c:v>22571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69919"/>
        <c:axId val="21021181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3" formatCode="#,##0">
                  <c:v>11393.666666666666</c:v>
                </c:pt>
                <c:pt idx="4" formatCode="#,##0">
                  <c:v>11704.333333333334</c:v>
                </c:pt>
                <c:pt idx="5" formatCode="#,##0">
                  <c:v>10676</c:v>
                </c:pt>
                <c:pt idx="6" formatCode="#,##0">
                  <c:v>11330</c:v>
                </c:pt>
                <c:pt idx="7" formatCode="#,##0">
                  <c:v>11329</c:v>
                </c:pt>
                <c:pt idx="8" formatCode="#,##0">
                  <c:v>12284.666666666666</c:v>
                </c:pt>
                <c:pt idx="9" formatCode="#,##0">
                  <c:v>14621</c:v>
                </c:pt>
                <c:pt idx="10" formatCode="#,##0">
                  <c:v>17938.333333333332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69919"/>
        <c:axId val="2102118159"/>
      </c:lineChart>
      <c:catAx>
        <c:axId val="212516991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02118159"/>
        <c:crosses val="autoZero"/>
        <c:auto val="1"/>
        <c:lblAlgn val="ctr"/>
        <c:lblOffset val="100"/>
        <c:noMultiLvlLbl val="0"/>
      </c:catAx>
      <c:valAx>
        <c:axId val="21021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251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31750</xdr:rowOff>
    </xdr:from>
    <xdr:to>
      <xdr:col>13</xdr:col>
      <xdr:colOff>311150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022EC-F0B0-5243-8E2E-D66BC51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5497-553A-494F-B435-0CA2E6F17831}">
  <dimension ref="A1:D12"/>
  <sheetViews>
    <sheetView workbookViewId="0">
      <selection activeCell="L8" sqref="L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2010</v>
      </c>
      <c r="B2" s="2">
        <v>11690</v>
      </c>
    </row>
    <row r="3" spans="1:4">
      <c r="A3" s="1">
        <v>2011</v>
      </c>
      <c r="B3" s="2">
        <v>13399</v>
      </c>
      <c r="D3">
        <f>((B3/B2)-1)*100</f>
        <v>14.619332763045346</v>
      </c>
    </row>
    <row r="4" spans="1:4">
      <c r="A4" s="1">
        <v>2012</v>
      </c>
      <c r="B4">
        <v>9092</v>
      </c>
      <c r="D4">
        <f t="shared" ref="D4:D11" si="0">((B4/B3)-1)*100</f>
        <v>-32.144189864915298</v>
      </c>
    </row>
    <row r="5" spans="1:4">
      <c r="A5" s="1">
        <v>2013</v>
      </c>
      <c r="B5" s="2">
        <v>12622</v>
      </c>
      <c r="C5" s="2">
        <f>AVERAGE(B2:B4)</f>
        <v>11393.666666666666</v>
      </c>
      <c r="D5">
        <f t="shared" si="0"/>
        <v>38.825340959084919</v>
      </c>
    </row>
    <row r="6" spans="1:4">
      <c r="A6" s="1">
        <v>2014</v>
      </c>
      <c r="B6" s="2">
        <v>10314</v>
      </c>
      <c r="C6" s="2">
        <f t="shared" ref="C6:C12" si="1">AVERAGE(B3:B5)</f>
        <v>11704.333333333334</v>
      </c>
      <c r="D6">
        <f t="shared" si="0"/>
        <v>-18.285533196006977</v>
      </c>
    </row>
    <row r="7" spans="1:4">
      <c r="A7" s="1">
        <v>2015</v>
      </c>
      <c r="B7" s="2">
        <v>11054</v>
      </c>
      <c r="C7" s="2">
        <f t="shared" si="1"/>
        <v>10676</v>
      </c>
      <c r="D7">
        <f t="shared" si="0"/>
        <v>7.1747139809966942</v>
      </c>
    </row>
    <row r="8" spans="1:4">
      <c r="A8" s="1">
        <v>2016</v>
      </c>
      <c r="B8" s="2">
        <v>12619</v>
      </c>
      <c r="C8" s="2">
        <f t="shared" si="1"/>
        <v>11330</v>
      </c>
      <c r="D8">
        <f t="shared" si="0"/>
        <v>14.157770942645186</v>
      </c>
    </row>
    <row r="9" spans="1:4">
      <c r="A9" s="1">
        <v>2017</v>
      </c>
      <c r="B9" s="2">
        <v>13181</v>
      </c>
      <c r="C9" s="2">
        <f t="shared" si="1"/>
        <v>11329</v>
      </c>
      <c r="D9">
        <f t="shared" si="0"/>
        <v>4.453601711704569</v>
      </c>
    </row>
    <row r="10" spans="1:4">
      <c r="A10" s="1">
        <v>2018</v>
      </c>
      <c r="B10" s="2">
        <v>18063</v>
      </c>
      <c r="C10" s="2">
        <f t="shared" si="1"/>
        <v>12284.666666666666</v>
      </c>
      <c r="D10">
        <f t="shared" si="0"/>
        <v>37.038160989302796</v>
      </c>
    </row>
    <row r="11" spans="1:4">
      <c r="A11" s="1">
        <v>2019</v>
      </c>
      <c r="B11" s="2">
        <v>22571</v>
      </c>
      <c r="C11" s="2">
        <f t="shared" si="1"/>
        <v>14621</v>
      </c>
      <c r="D11">
        <f t="shared" si="0"/>
        <v>24.95709461329789</v>
      </c>
    </row>
    <row r="12" spans="1:4">
      <c r="A12" s="1">
        <v>2020</v>
      </c>
      <c r="C12" s="2">
        <f t="shared" si="1"/>
        <v>17938.333333333332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54D-75BA-CD44-BB88-97897E7D397B}">
  <dimension ref="A1:K12"/>
  <sheetViews>
    <sheetView workbookViewId="0">
      <selection activeCell="B11" sqref="B8:B11"/>
    </sheetView>
  </sheetViews>
  <sheetFormatPr baseColWidth="10" defaultRowHeight="16"/>
  <cols>
    <col min="1" max="1" width="6.6640625" bestFit="1" customWidth="1"/>
    <col min="2" max="2" width="7.6640625" bestFit="1" customWidth="1"/>
    <col min="3" max="3" width="8.5" bestFit="1" customWidth="1"/>
    <col min="4" max="4" width="12.33203125" bestFit="1" customWidth="1"/>
    <col min="5" max="5" width="10.6640625" bestFit="1" customWidth="1"/>
    <col min="6" max="6" width="15.5" bestFit="1" customWidth="1"/>
    <col min="7" max="7" width="16.5" bestFit="1" customWidth="1"/>
    <col min="8" max="8" width="21.1640625" bestFit="1" customWidth="1"/>
    <col min="9" max="9" width="26.1640625" bestFit="1" customWidth="1"/>
    <col min="10" max="10" width="27.1640625" bestFit="1" customWidth="1"/>
  </cols>
  <sheetData>
    <row r="1" spans="1:11">
      <c r="A1" t="s">
        <v>4</v>
      </c>
      <c r="B1" t="s">
        <v>5</v>
      </c>
      <c r="C1" t="s">
        <v>6</v>
      </c>
      <c r="D1" t="s">
        <v>13</v>
      </c>
      <c r="E1" t="s">
        <v>8</v>
      </c>
      <c r="F1" t="s">
        <v>9</v>
      </c>
      <c r="G1" t="s">
        <v>7</v>
      </c>
      <c r="H1" t="s">
        <v>14</v>
      </c>
      <c r="I1" t="s">
        <v>15</v>
      </c>
      <c r="J1" t="s">
        <v>16</v>
      </c>
      <c r="K1" t="s">
        <v>12</v>
      </c>
    </row>
    <row r="2" spans="1:11">
      <c r="A2">
        <v>2009</v>
      </c>
      <c r="B2" s="2">
        <v>61160</v>
      </c>
      <c r="C2" s="2">
        <v>6962</v>
      </c>
      <c r="D2">
        <v>32075</v>
      </c>
      <c r="G2" s="2">
        <v>32075</v>
      </c>
    </row>
    <row r="3" spans="1:11">
      <c r="A3">
        <v>2010</v>
      </c>
      <c r="B3" s="2">
        <v>67974</v>
      </c>
      <c r="C3" s="2">
        <v>11690</v>
      </c>
      <c r="D3">
        <v>38581</v>
      </c>
      <c r="E3" s="2">
        <v>6814</v>
      </c>
      <c r="F3" s="2">
        <v>4728</v>
      </c>
      <c r="G3">
        <v>6506</v>
      </c>
      <c r="H3" s="6">
        <v>0.11141268803139306</v>
      </c>
      <c r="I3" s="6">
        <v>0.67911519678253374</v>
      </c>
      <c r="J3" s="6">
        <v>0.20283710054559626</v>
      </c>
      <c r="K3" s="6">
        <v>8.1561111936850166E-3</v>
      </c>
    </row>
    <row r="4" spans="1:11">
      <c r="A4">
        <v>2011</v>
      </c>
      <c r="B4" s="2">
        <v>64259</v>
      </c>
      <c r="C4" s="2">
        <v>13399</v>
      </c>
      <c r="D4">
        <v>30801</v>
      </c>
      <c r="E4" s="2">
        <v>-3715</v>
      </c>
      <c r="F4" s="2">
        <v>1709</v>
      </c>
      <c r="G4">
        <v>-7780</v>
      </c>
      <c r="H4" s="6">
        <v>-5.4653249771971633E-2</v>
      </c>
      <c r="I4" s="6">
        <v>0.14619332763045337</v>
      </c>
      <c r="J4" s="6">
        <v>-0.20165366372048418</v>
      </c>
      <c r="K4" s="6">
        <v>1.7460744103153261E-2</v>
      </c>
    </row>
    <row r="5" spans="1:11">
      <c r="A5">
        <v>2012</v>
      </c>
      <c r="B5" s="2">
        <v>61174</v>
      </c>
      <c r="C5">
        <v>9092</v>
      </c>
      <c r="D5">
        <v>27022</v>
      </c>
      <c r="E5" s="2">
        <v>-3085</v>
      </c>
      <c r="F5" s="2">
        <v>-4307</v>
      </c>
      <c r="G5">
        <v>-3779</v>
      </c>
      <c r="H5" s="6">
        <v>-4.8008839228746165E-2</v>
      </c>
      <c r="I5" s="6">
        <v>-0.3214418986491529</v>
      </c>
      <c r="J5" s="6">
        <v>-0.12269082172656733</v>
      </c>
      <c r="K5" s="6">
        <v>7.3253610129432123E-3</v>
      </c>
    </row>
    <row r="6" spans="1:11">
      <c r="A6">
        <v>2013</v>
      </c>
      <c r="B6" s="2">
        <v>63775</v>
      </c>
      <c r="C6" s="2">
        <v>12622</v>
      </c>
      <c r="D6">
        <v>30758</v>
      </c>
      <c r="E6" s="2">
        <v>2601</v>
      </c>
      <c r="F6" s="2">
        <v>3530</v>
      </c>
      <c r="G6">
        <v>3736</v>
      </c>
      <c r="H6" s="6">
        <v>4.2518063229476578E-2</v>
      </c>
      <c r="I6" s="6">
        <v>0.38825340959084909</v>
      </c>
      <c r="J6" s="6">
        <v>0.13825771593516395</v>
      </c>
      <c r="K6" s="6">
        <v>1.3206992812309566E-2</v>
      </c>
    </row>
    <row r="7" spans="1:11">
      <c r="A7">
        <v>2014</v>
      </c>
      <c r="B7" s="2">
        <v>63594</v>
      </c>
      <c r="C7" s="2">
        <v>10314</v>
      </c>
      <c r="D7">
        <v>29937</v>
      </c>
      <c r="E7" s="2">
        <v>-181</v>
      </c>
      <c r="F7" s="2">
        <v>-2308</v>
      </c>
      <c r="G7">
        <v>-821</v>
      </c>
      <c r="H7" s="6">
        <v>-2.8381027048216385E-3</v>
      </c>
      <c r="I7" s="6">
        <v>-0.18285533196006973</v>
      </c>
      <c r="J7" s="6">
        <v>-2.6692242668574031E-2</v>
      </c>
      <c r="K7" s="6">
        <v>4.8968664564937467E-2</v>
      </c>
    </row>
    <row r="8" spans="1:11">
      <c r="A8">
        <v>2015</v>
      </c>
      <c r="B8" s="2">
        <v>67197</v>
      </c>
      <c r="C8" s="2">
        <v>11054</v>
      </c>
      <c r="D8">
        <v>31164</v>
      </c>
      <c r="E8" s="2">
        <v>3603</v>
      </c>
      <c r="F8" s="2">
        <v>740</v>
      </c>
      <c r="G8">
        <v>1227</v>
      </c>
      <c r="H8" s="6">
        <v>5.6656288329087652E-2</v>
      </c>
      <c r="I8" s="6">
        <v>7.1747139809967039E-2</v>
      </c>
      <c r="J8" s="6">
        <v>4.0986070748572002E-2</v>
      </c>
      <c r="K8" s="6">
        <v>6.517326235285642E-2</v>
      </c>
    </row>
    <row r="9" spans="1:11">
      <c r="A9">
        <v>2016</v>
      </c>
      <c r="B9" s="2">
        <v>72345</v>
      </c>
      <c r="C9" s="2">
        <v>12619</v>
      </c>
      <c r="D9">
        <v>36115</v>
      </c>
      <c r="E9" s="2">
        <v>5148</v>
      </c>
      <c r="F9" s="2">
        <v>1565</v>
      </c>
      <c r="G9">
        <v>4951</v>
      </c>
      <c r="H9" s="6">
        <v>7.6610562971561227E-2</v>
      </c>
      <c r="I9" s="6">
        <v>0.14157770942645195</v>
      </c>
      <c r="J9" s="6">
        <v>0.15886920806058272</v>
      </c>
      <c r="K9" s="6">
        <v>3.6091515626266175E-2</v>
      </c>
    </row>
    <row r="10" spans="1:11">
      <c r="A10">
        <v>2017</v>
      </c>
      <c r="B10" s="2">
        <v>76690</v>
      </c>
      <c r="C10" s="2">
        <v>13181</v>
      </c>
      <c r="D10">
        <v>33632</v>
      </c>
      <c r="E10" s="2">
        <v>4345</v>
      </c>
      <c r="F10" s="2">
        <v>562</v>
      </c>
      <c r="G10">
        <v>-2483</v>
      </c>
      <c r="H10" s="6">
        <v>6.0059437417927984E-2</v>
      </c>
      <c r="I10" s="6">
        <v>4.4536017117045724E-2</v>
      </c>
      <c r="J10" s="6">
        <v>-6.8752595874290459E-2</v>
      </c>
      <c r="K10" s="6">
        <v>6.7425249387702071E-2</v>
      </c>
    </row>
    <row r="11" spans="1:11">
      <c r="A11">
        <v>2018</v>
      </c>
      <c r="B11" s="2">
        <v>92918</v>
      </c>
      <c r="C11" s="2">
        <v>18063</v>
      </c>
      <c r="D11">
        <v>36739</v>
      </c>
      <c r="E11" s="2">
        <v>16228</v>
      </c>
      <c r="F11" s="2">
        <v>4882</v>
      </c>
      <c r="G11">
        <v>3107</v>
      </c>
      <c r="H11" s="6">
        <v>0.21160516364584692</v>
      </c>
      <c r="I11" s="6">
        <v>0.37038160989302782</v>
      </c>
      <c r="J11" s="6">
        <v>9.2382254995242621E-2</v>
      </c>
      <c r="K11" s="6">
        <v>5.8272662562527805E-2</v>
      </c>
    </row>
    <row r="12" spans="1:11">
      <c r="A12">
        <v>2019</v>
      </c>
      <c r="B12" s="2">
        <v>104449</v>
      </c>
      <c r="C12" s="2">
        <v>22571</v>
      </c>
      <c r="D12">
        <v>44179</v>
      </c>
      <c r="E12" s="2">
        <v>11531</v>
      </c>
      <c r="F12" s="2">
        <v>4508</v>
      </c>
      <c r="G12">
        <v>7440</v>
      </c>
      <c r="H12" s="6">
        <v>0.12409866764243742</v>
      </c>
      <c r="I12" s="6">
        <v>0.249570946132979</v>
      </c>
      <c r="J12" s="6">
        <v>0.20250959470862026</v>
      </c>
      <c r="K12" s="6">
        <v>6.960487489471319E-2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859C-9123-2847-9D54-40720F605C69}">
  <dimension ref="A1:C12"/>
  <sheetViews>
    <sheetView workbookViewId="0">
      <selection activeCell="B12" sqref="B12"/>
    </sheetView>
  </sheetViews>
  <sheetFormatPr baseColWidth="10" defaultRowHeight="16"/>
  <sheetData>
    <row r="1" spans="1:3">
      <c r="A1" t="s">
        <v>10</v>
      </c>
      <c r="B1" t="s">
        <v>11</v>
      </c>
      <c r="C1" t="s">
        <v>12</v>
      </c>
    </row>
    <row r="2" spans="1:3">
      <c r="A2" s="5">
        <v>2009</v>
      </c>
      <c r="B2" s="3">
        <v>3956052</v>
      </c>
    </row>
    <row r="3" spans="1:3">
      <c r="A3" s="5">
        <v>2010</v>
      </c>
      <c r="B3" s="4">
        <v>3988318</v>
      </c>
      <c r="C3" s="6">
        <f>(B3-B2)/B2</f>
        <v>8.1561111936850166E-3</v>
      </c>
    </row>
    <row r="4" spans="1:3">
      <c r="A4" s="5">
        <v>2011</v>
      </c>
      <c r="B4" s="4">
        <v>4057957</v>
      </c>
      <c r="C4" s="6">
        <f t="shared" ref="C4:C12" si="0">(B4-B3)/B3</f>
        <v>1.7460744103153261E-2</v>
      </c>
    </row>
    <row r="5" spans="1:3">
      <c r="A5" s="5">
        <v>2012</v>
      </c>
      <c r="B5" s="4">
        <v>4087683</v>
      </c>
      <c r="C5" s="6">
        <f t="shared" si="0"/>
        <v>7.3253610129432123E-3</v>
      </c>
    </row>
    <row r="6" spans="1:3">
      <c r="A6" s="5">
        <v>2013</v>
      </c>
      <c r="B6" s="4">
        <v>4141669</v>
      </c>
      <c r="C6" s="6">
        <f t="shared" si="0"/>
        <v>1.3206992812309566E-2</v>
      </c>
    </row>
    <row r="7" spans="1:3">
      <c r="A7" s="5">
        <v>2014</v>
      </c>
      <c r="B7" s="4">
        <v>4344481</v>
      </c>
      <c r="C7" s="6">
        <f t="shared" si="0"/>
        <v>4.8968664564937467E-2</v>
      </c>
    </row>
    <row r="8" spans="1:3">
      <c r="A8" s="5">
        <v>2015</v>
      </c>
      <c r="B8" s="4">
        <v>4627625</v>
      </c>
      <c r="C8" s="6">
        <f t="shared" si="0"/>
        <v>6.517326235285642E-2</v>
      </c>
    </row>
    <row r="9" spans="1:3">
      <c r="A9" s="5">
        <v>2016</v>
      </c>
      <c r="B9" s="4">
        <v>4794643</v>
      </c>
      <c r="C9" s="6">
        <f t="shared" si="0"/>
        <v>3.6091515626266175E-2</v>
      </c>
    </row>
    <row r="10" spans="1:3">
      <c r="A10" s="5">
        <v>2017</v>
      </c>
      <c r="B10" s="4">
        <v>5117923</v>
      </c>
      <c r="C10" s="6">
        <f t="shared" si="0"/>
        <v>6.7425249387702071E-2</v>
      </c>
    </row>
    <row r="11" spans="1:3">
      <c r="A11" s="5">
        <v>2018</v>
      </c>
      <c r="B11" s="4">
        <v>5416158</v>
      </c>
      <c r="C11" s="6">
        <f t="shared" si="0"/>
        <v>5.8272662562527805E-2</v>
      </c>
    </row>
    <row r="12" spans="1:3">
      <c r="A12" s="5">
        <v>2019</v>
      </c>
      <c r="B12" s="4">
        <v>5793149</v>
      </c>
      <c r="C12" s="6">
        <f t="shared" si="0"/>
        <v>6.960487489471319E-2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ED4E-B367-C848-B1E0-9C78E5C12237}">
  <dimension ref="A1:P40"/>
  <sheetViews>
    <sheetView topLeftCell="A9" workbookViewId="0">
      <selection activeCell="A40" sqref="A30:F40"/>
    </sheetView>
  </sheetViews>
  <sheetFormatPr baseColWidth="10" defaultRowHeight="16"/>
  <cols>
    <col min="1" max="1" width="27.1640625" bestFit="1" customWidth="1"/>
    <col min="2" max="2" width="9.1640625" bestFit="1" customWidth="1"/>
    <col min="3" max="4" width="9.83203125" bestFit="1" customWidth="1"/>
    <col min="5" max="5" width="9.1640625" bestFit="1" customWidth="1"/>
    <col min="6" max="6" width="9.83203125" bestFit="1" customWidth="1"/>
    <col min="7" max="7" width="8.1640625" bestFit="1" customWidth="1"/>
    <col min="8" max="8" width="9.1640625" bestFit="1" customWidth="1"/>
    <col min="9" max="9" width="8.83203125" bestFit="1" customWidth="1"/>
    <col min="10" max="11" width="9.1640625" bestFit="1" customWidth="1"/>
  </cols>
  <sheetData>
    <row r="1" spans="1:11">
      <c r="A1" s="7"/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</row>
    <row r="2" spans="1:11">
      <c r="A2" s="7" t="s">
        <v>5</v>
      </c>
      <c r="B2" s="8">
        <v>67974</v>
      </c>
      <c r="C2" s="8">
        <v>64259</v>
      </c>
      <c r="D2" s="8">
        <v>61174</v>
      </c>
      <c r="E2" s="8">
        <v>63775</v>
      </c>
      <c r="F2" s="8">
        <v>63594</v>
      </c>
      <c r="G2" s="8">
        <v>67197</v>
      </c>
      <c r="H2" s="8">
        <v>72345</v>
      </c>
      <c r="I2" s="8">
        <v>76690</v>
      </c>
      <c r="J2" s="8">
        <v>92918</v>
      </c>
      <c r="K2" s="8">
        <v>104449</v>
      </c>
    </row>
    <row r="3" spans="1:11">
      <c r="A3" s="7" t="s">
        <v>8</v>
      </c>
      <c r="B3" s="8">
        <v>6814</v>
      </c>
      <c r="C3" s="8">
        <v>-3715</v>
      </c>
      <c r="D3" s="8">
        <v>-3085</v>
      </c>
      <c r="E3" s="8">
        <v>2601</v>
      </c>
      <c r="F3" s="8">
        <v>-181</v>
      </c>
      <c r="G3" s="8">
        <v>3603</v>
      </c>
      <c r="H3" s="8">
        <v>5148</v>
      </c>
      <c r="I3" s="8">
        <v>4345</v>
      </c>
      <c r="J3" s="8">
        <v>16228</v>
      </c>
      <c r="K3" s="8">
        <v>11531</v>
      </c>
    </row>
    <row r="4" spans="1:11">
      <c r="A4" s="7" t="s">
        <v>14</v>
      </c>
      <c r="B4" s="9">
        <v>0.111413</v>
      </c>
      <c r="C4" s="9">
        <v>-5.4653E-2</v>
      </c>
      <c r="D4" s="9">
        <v>-4.8009000000000003E-2</v>
      </c>
      <c r="E4" s="9">
        <v>4.2518E-2</v>
      </c>
      <c r="F4" s="9">
        <v>-2.8379999999999998E-3</v>
      </c>
      <c r="G4" s="9">
        <v>5.6655999999999998E-2</v>
      </c>
      <c r="H4" s="9">
        <v>7.6610999999999999E-2</v>
      </c>
      <c r="I4" s="9">
        <v>6.0059000000000001E-2</v>
      </c>
      <c r="J4" s="9">
        <v>0.21160499999999999</v>
      </c>
      <c r="K4" s="9">
        <v>0.124099</v>
      </c>
    </row>
    <row r="5" spans="1:11">
      <c r="A5" s="7" t="s">
        <v>6</v>
      </c>
      <c r="B5" s="8">
        <v>11690</v>
      </c>
      <c r="C5" s="8">
        <v>13399</v>
      </c>
      <c r="D5" s="7">
        <v>9092</v>
      </c>
      <c r="E5" s="8">
        <v>12622</v>
      </c>
      <c r="F5" s="8">
        <v>10314</v>
      </c>
      <c r="G5" s="8">
        <v>11054</v>
      </c>
      <c r="H5" s="8">
        <v>12619</v>
      </c>
      <c r="I5" s="8">
        <v>13181</v>
      </c>
      <c r="J5" s="8">
        <v>18063</v>
      </c>
      <c r="K5" s="8">
        <v>22571</v>
      </c>
    </row>
    <row r="6" spans="1:11">
      <c r="A6" s="7" t="s">
        <v>9</v>
      </c>
      <c r="B6" s="8">
        <v>4728</v>
      </c>
      <c r="C6" s="8">
        <v>1709</v>
      </c>
      <c r="D6" s="8">
        <v>-4307</v>
      </c>
      <c r="E6" s="8">
        <v>3530</v>
      </c>
      <c r="F6" s="8">
        <v>-2308</v>
      </c>
      <c r="G6" s="8">
        <v>740</v>
      </c>
      <c r="H6" s="8">
        <v>1565</v>
      </c>
      <c r="I6" s="8">
        <v>562</v>
      </c>
      <c r="J6" s="8">
        <v>4882</v>
      </c>
      <c r="K6" s="8">
        <v>4508</v>
      </c>
    </row>
    <row r="7" spans="1:11">
      <c r="A7" s="7" t="s">
        <v>15</v>
      </c>
      <c r="B7" s="9">
        <v>0.67911500000000002</v>
      </c>
      <c r="C7" s="9">
        <v>0.14619299999999999</v>
      </c>
      <c r="D7" s="9">
        <v>-0.32144200000000001</v>
      </c>
      <c r="E7" s="9">
        <v>0.38825300000000001</v>
      </c>
      <c r="F7" s="9">
        <v>-0.18285499999999999</v>
      </c>
      <c r="G7" s="9">
        <v>7.1747000000000005E-2</v>
      </c>
      <c r="H7" s="9">
        <v>0.14157800000000001</v>
      </c>
      <c r="I7" s="9">
        <v>4.4535999999999999E-2</v>
      </c>
      <c r="J7" s="9">
        <v>0.37038199999999999</v>
      </c>
      <c r="K7" s="9">
        <v>0.24957099999999999</v>
      </c>
    </row>
    <row r="8" spans="1:11">
      <c r="A8" s="7" t="s">
        <v>13</v>
      </c>
      <c r="B8" s="7">
        <v>38581</v>
      </c>
      <c r="C8" s="7">
        <v>30801</v>
      </c>
      <c r="D8" s="7">
        <v>27022</v>
      </c>
      <c r="E8" s="7">
        <v>30758</v>
      </c>
      <c r="F8" s="7">
        <v>29937</v>
      </c>
      <c r="G8" s="7">
        <v>31164</v>
      </c>
      <c r="H8" s="7">
        <v>36115</v>
      </c>
      <c r="I8" s="7">
        <v>33632</v>
      </c>
      <c r="J8" s="7">
        <v>36739</v>
      </c>
      <c r="K8" s="7">
        <v>44179</v>
      </c>
    </row>
    <row r="9" spans="1:11">
      <c r="A9" s="7" t="s">
        <v>7</v>
      </c>
      <c r="B9" s="7">
        <v>6506</v>
      </c>
      <c r="C9" s="7">
        <v>-7780</v>
      </c>
      <c r="D9" s="7">
        <v>-3779</v>
      </c>
      <c r="E9" s="7">
        <v>3736</v>
      </c>
      <c r="F9" s="7">
        <v>-821</v>
      </c>
      <c r="G9" s="7">
        <v>1227</v>
      </c>
      <c r="H9" s="7">
        <v>4951</v>
      </c>
      <c r="I9" s="7">
        <v>-2483</v>
      </c>
      <c r="J9" s="7">
        <v>3107</v>
      </c>
      <c r="K9" s="7">
        <v>7440</v>
      </c>
    </row>
    <row r="10" spans="1:11">
      <c r="A10" s="7" t="s">
        <v>16</v>
      </c>
      <c r="B10" s="9">
        <v>0.20283699999999999</v>
      </c>
      <c r="C10" s="9">
        <v>-0.201654</v>
      </c>
      <c r="D10" s="9">
        <v>-0.12269099999999999</v>
      </c>
      <c r="E10" s="9">
        <v>0.13825799999999999</v>
      </c>
      <c r="F10" s="9">
        <v>-2.6692E-2</v>
      </c>
      <c r="G10" s="9">
        <v>4.0986000000000002E-2</v>
      </c>
      <c r="H10" s="9">
        <v>0.15886900000000001</v>
      </c>
      <c r="I10" s="9">
        <v>-6.8752999999999995E-2</v>
      </c>
      <c r="J10" s="9">
        <v>9.2382000000000006E-2</v>
      </c>
      <c r="K10" s="9">
        <v>0.20251</v>
      </c>
    </row>
    <row r="11" spans="1:11">
      <c r="A11" s="7" t="s">
        <v>12</v>
      </c>
      <c r="B11" s="9">
        <v>8.1560000000000001E-3</v>
      </c>
      <c r="C11" s="9">
        <v>1.7461000000000001E-2</v>
      </c>
      <c r="D11" s="9">
        <v>7.3249999999999999E-3</v>
      </c>
      <c r="E11" s="9">
        <v>1.3207E-2</v>
      </c>
      <c r="F11" s="9">
        <v>4.8968999999999999E-2</v>
      </c>
      <c r="G11" s="9">
        <v>6.5172999999999995E-2</v>
      </c>
      <c r="H11" s="9">
        <v>3.6091999999999999E-2</v>
      </c>
      <c r="I11" s="9">
        <v>6.7424999999999999E-2</v>
      </c>
      <c r="J11" s="9">
        <v>5.8272999999999998E-2</v>
      </c>
      <c r="K11" s="9">
        <v>6.9605E-2</v>
      </c>
    </row>
    <row r="12" spans="1:11">
      <c r="A12" s="7"/>
      <c r="B12" s="8"/>
      <c r="C12" s="7"/>
      <c r="D12" s="8"/>
      <c r="E12" s="8"/>
      <c r="F12" s="7"/>
      <c r="G12" s="9"/>
      <c r="H12" s="9"/>
      <c r="I12" s="9"/>
      <c r="J12" s="9"/>
    </row>
    <row r="16" spans="1:11">
      <c r="B16" s="7">
        <v>2010</v>
      </c>
      <c r="C16" s="7">
        <v>2011</v>
      </c>
      <c r="D16" s="7">
        <v>2012</v>
      </c>
      <c r="E16" s="7">
        <v>2013</v>
      </c>
      <c r="F16" s="7">
        <v>2014</v>
      </c>
    </row>
    <row r="17" spans="1:16">
      <c r="A17" s="7" t="s">
        <v>5</v>
      </c>
      <c r="B17" s="8">
        <v>67974</v>
      </c>
      <c r="C17" s="8">
        <v>64259</v>
      </c>
      <c r="D17" s="8">
        <v>61174</v>
      </c>
      <c r="E17" s="8">
        <v>63775</v>
      </c>
      <c r="F17" s="8">
        <v>63594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 t="s">
        <v>8</v>
      </c>
      <c r="B18" s="8">
        <v>6814</v>
      </c>
      <c r="C18" s="8">
        <v>-3715</v>
      </c>
      <c r="D18" s="8">
        <v>-3085</v>
      </c>
      <c r="E18" s="8">
        <v>2601</v>
      </c>
      <c r="F18" s="8">
        <v>-181</v>
      </c>
      <c r="L18" s="8"/>
      <c r="M18" s="8"/>
      <c r="N18" s="8"/>
      <c r="O18" s="8"/>
      <c r="P18" s="8"/>
    </row>
    <row r="19" spans="1:16">
      <c r="A19" s="7" t="s">
        <v>14</v>
      </c>
      <c r="B19" s="9">
        <v>0.111413</v>
      </c>
      <c r="C19" s="9">
        <v>-5.4653E-2</v>
      </c>
      <c r="D19" s="9">
        <v>-4.8009000000000003E-2</v>
      </c>
      <c r="E19" s="9">
        <v>4.2518E-2</v>
      </c>
      <c r="F19" s="9">
        <v>-2.8379999999999998E-3</v>
      </c>
      <c r="L19" s="8"/>
      <c r="M19" s="8"/>
      <c r="N19" s="8"/>
      <c r="O19" s="8"/>
      <c r="P19" s="8"/>
    </row>
    <row r="20" spans="1:16">
      <c r="A20" s="7" t="s">
        <v>6</v>
      </c>
      <c r="B20" s="8">
        <v>11690</v>
      </c>
      <c r="C20" s="8">
        <v>13399</v>
      </c>
      <c r="D20" s="7">
        <v>9092</v>
      </c>
      <c r="E20" s="8">
        <v>12622</v>
      </c>
      <c r="F20" s="8">
        <v>10314</v>
      </c>
      <c r="L20" s="7"/>
      <c r="M20" s="7"/>
      <c r="N20" s="7"/>
      <c r="O20" s="7"/>
      <c r="P20" s="7"/>
    </row>
    <row r="21" spans="1:16">
      <c r="A21" s="7" t="s">
        <v>9</v>
      </c>
      <c r="B21" s="8">
        <v>4728</v>
      </c>
      <c r="C21" s="8">
        <v>1709</v>
      </c>
      <c r="D21" s="8">
        <v>-4307</v>
      </c>
      <c r="E21" s="8">
        <v>3530</v>
      </c>
      <c r="F21" s="8">
        <v>-2308</v>
      </c>
      <c r="L21" s="8"/>
      <c r="M21" s="8"/>
      <c r="N21" s="8"/>
      <c r="O21" s="8"/>
      <c r="P21" s="8"/>
    </row>
    <row r="22" spans="1:16">
      <c r="A22" s="7" t="s">
        <v>15</v>
      </c>
      <c r="B22" s="9">
        <v>0.67911500000000002</v>
      </c>
      <c r="C22" s="9">
        <v>0.14619299999999999</v>
      </c>
      <c r="D22" s="9">
        <v>-0.32144200000000001</v>
      </c>
      <c r="E22" s="9">
        <v>0.38825300000000001</v>
      </c>
      <c r="F22" s="9">
        <v>-0.18285499999999999</v>
      </c>
      <c r="L22" s="8"/>
      <c r="M22" s="8"/>
      <c r="N22" s="8"/>
      <c r="O22" s="8"/>
      <c r="P22" s="8"/>
    </row>
    <row r="23" spans="1:16">
      <c r="A23" s="7" t="s">
        <v>13</v>
      </c>
      <c r="B23" s="7">
        <v>38581</v>
      </c>
      <c r="C23" s="7">
        <v>30801</v>
      </c>
      <c r="D23" s="7">
        <v>27022</v>
      </c>
      <c r="E23" s="7">
        <v>30758</v>
      </c>
      <c r="F23" s="7">
        <v>29937</v>
      </c>
      <c r="L23" s="7"/>
      <c r="M23" s="7"/>
      <c r="N23" s="7"/>
      <c r="O23" s="7"/>
      <c r="P23" s="7"/>
    </row>
    <row r="24" spans="1:16">
      <c r="A24" s="7" t="s">
        <v>7</v>
      </c>
      <c r="B24" s="7">
        <v>6506</v>
      </c>
      <c r="C24" s="7">
        <v>-7780</v>
      </c>
      <c r="D24" s="7">
        <v>-3779</v>
      </c>
      <c r="E24" s="7">
        <v>3736</v>
      </c>
      <c r="F24" s="7">
        <v>-821</v>
      </c>
      <c r="L24" s="9"/>
      <c r="M24" s="9"/>
      <c r="N24" s="9"/>
      <c r="O24" s="9"/>
      <c r="P24" s="9"/>
    </row>
    <row r="25" spans="1:16">
      <c r="A25" s="7" t="s">
        <v>16</v>
      </c>
      <c r="B25" s="9">
        <v>0.20283699999999999</v>
      </c>
      <c r="C25" s="9">
        <v>-0.201654</v>
      </c>
      <c r="D25" s="9">
        <v>-0.12269099999999999</v>
      </c>
      <c r="E25" s="9">
        <v>0.13825799999999999</v>
      </c>
      <c r="F25" s="9">
        <v>-2.6692E-2</v>
      </c>
      <c r="L25" s="9"/>
      <c r="M25" s="9"/>
      <c r="N25" s="9"/>
      <c r="O25" s="9"/>
      <c r="P25" s="9"/>
    </row>
    <row r="26" spans="1:16">
      <c r="A26" s="7" t="s">
        <v>12</v>
      </c>
      <c r="B26" s="9">
        <v>8.1560000000000001E-3</v>
      </c>
      <c r="C26" s="9">
        <v>1.7461000000000001E-2</v>
      </c>
      <c r="D26" s="9">
        <v>7.3249999999999999E-3</v>
      </c>
      <c r="E26" s="9">
        <v>1.3207E-2</v>
      </c>
      <c r="F26" s="9">
        <v>4.8968999999999999E-2</v>
      </c>
      <c r="L26" s="9"/>
      <c r="M26" s="9"/>
      <c r="N26" s="9"/>
      <c r="O26" s="9"/>
      <c r="P26" s="9"/>
    </row>
    <row r="27" spans="1:16">
      <c r="E27" s="7"/>
      <c r="F27" s="7"/>
      <c r="G27" s="9"/>
      <c r="H27" s="9"/>
      <c r="I27" s="9"/>
      <c r="J27" s="9"/>
      <c r="K27" s="9"/>
      <c r="L27" s="9"/>
      <c r="M27" s="9"/>
      <c r="N27" s="9"/>
      <c r="O27" s="9"/>
      <c r="P27" s="9"/>
    </row>
    <row r="30" spans="1:16">
      <c r="B30" s="7">
        <v>2015</v>
      </c>
      <c r="C30" s="7">
        <v>2016</v>
      </c>
      <c r="D30" s="7">
        <v>2017</v>
      </c>
      <c r="E30" s="7">
        <v>2018</v>
      </c>
      <c r="F30" s="7">
        <v>2019</v>
      </c>
    </row>
    <row r="31" spans="1:16">
      <c r="A31" s="7" t="s">
        <v>5</v>
      </c>
      <c r="B31" s="8">
        <v>67197</v>
      </c>
      <c r="C31" s="8">
        <v>72345</v>
      </c>
      <c r="D31" s="8">
        <v>76690</v>
      </c>
      <c r="E31" s="8">
        <v>92918</v>
      </c>
      <c r="F31" s="8">
        <v>104449</v>
      </c>
    </row>
    <row r="32" spans="1:16">
      <c r="A32" s="7" t="s">
        <v>8</v>
      </c>
      <c r="B32" s="8">
        <v>3603</v>
      </c>
      <c r="C32" s="8">
        <v>5148</v>
      </c>
      <c r="D32" s="8">
        <v>4345</v>
      </c>
      <c r="E32" s="8">
        <v>16228</v>
      </c>
      <c r="F32" s="8">
        <v>11531</v>
      </c>
    </row>
    <row r="33" spans="1:6">
      <c r="A33" s="7" t="s">
        <v>14</v>
      </c>
      <c r="B33" s="9">
        <v>5.6655999999999998E-2</v>
      </c>
      <c r="C33" s="9">
        <v>7.6610999999999999E-2</v>
      </c>
      <c r="D33" s="9">
        <v>6.0059000000000001E-2</v>
      </c>
      <c r="E33" s="9">
        <v>0.21160499999999999</v>
      </c>
      <c r="F33" s="9">
        <v>0.124099</v>
      </c>
    </row>
    <row r="34" spans="1:6">
      <c r="A34" s="7" t="s">
        <v>6</v>
      </c>
      <c r="B34" s="8">
        <v>11054</v>
      </c>
      <c r="C34" s="8">
        <v>12619</v>
      </c>
      <c r="D34" s="8">
        <v>13181</v>
      </c>
      <c r="E34" s="8">
        <v>18063</v>
      </c>
      <c r="F34" s="8">
        <v>22571</v>
      </c>
    </row>
    <row r="35" spans="1:6">
      <c r="A35" s="7" t="s">
        <v>9</v>
      </c>
      <c r="B35" s="8">
        <v>740</v>
      </c>
      <c r="C35" s="8">
        <v>1565</v>
      </c>
      <c r="D35" s="8">
        <v>562</v>
      </c>
      <c r="E35" s="8">
        <v>4882</v>
      </c>
      <c r="F35" s="8">
        <v>4508</v>
      </c>
    </row>
    <row r="36" spans="1:6">
      <c r="A36" s="7" t="s">
        <v>15</v>
      </c>
      <c r="B36" s="9">
        <v>7.1747000000000005E-2</v>
      </c>
      <c r="C36" s="9">
        <v>0.14157800000000001</v>
      </c>
      <c r="D36" s="9">
        <v>4.4535999999999999E-2</v>
      </c>
      <c r="E36" s="9">
        <v>0.37038199999999999</v>
      </c>
      <c r="F36" s="9">
        <v>0.24957099999999999</v>
      </c>
    </row>
    <row r="37" spans="1:6">
      <c r="A37" s="7" t="s">
        <v>13</v>
      </c>
      <c r="B37" s="7">
        <v>31164</v>
      </c>
      <c r="C37" s="7">
        <v>36115</v>
      </c>
      <c r="D37" s="7">
        <v>33632</v>
      </c>
      <c r="E37" s="7">
        <v>36739</v>
      </c>
      <c r="F37" s="7">
        <v>44179</v>
      </c>
    </row>
    <row r="38" spans="1:6">
      <c r="A38" s="7" t="s">
        <v>7</v>
      </c>
      <c r="B38" s="7">
        <v>1227</v>
      </c>
      <c r="C38" s="7">
        <v>4951</v>
      </c>
      <c r="D38" s="7">
        <v>-2483</v>
      </c>
      <c r="E38" s="7">
        <v>3107</v>
      </c>
      <c r="F38" s="7">
        <v>7440</v>
      </c>
    </row>
    <row r="39" spans="1:6">
      <c r="A39" s="7" t="s">
        <v>16</v>
      </c>
      <c r="B39" s="9">
        <v>4.0986000000000002E-2</v>
      </c>
      <c r="C39" s="9">
        <v>0.15886900000000001</v>
      </c>
      <c r="D39" s="9">
        <v>-6.8752999999999995E-2</v>
      </c>
      <c r="E39" s="9">
        <v>9.2382000000000006E-2</v>
      </c>
      <c r="F39" s="9">
        <v>0.20251</v>
      </c>
    </row>
    <row r="40" spans="1:6">
      <c r="A40" s="7" t="s">
        <v>12</v>
      </c>
      <c r="B40" s="9">
        <v>6.5172999999999995E-2</v>
      </c>
      <c r="C40" s="9">
        <v>3.6091999999999999E-2</v>
      </c>
      <c r="D40" s="9">
        <v>6.7424999999999999E-2</v>
      </c>
      <c r="E40" s="9">
        <v>5.8272999999999998E-2</v>
      </c>
      <c r="F40" s="9">
        <v>6.9605E-2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4A10-510F-434E-8214-2345FF6F6886}">
  <dimension ref="A1:G22"/>
  <sheetViews>
    <sheetView workbookViewId="0">
      <selection activeCell="A27" sqref="A27"/>
    </sheetView>
  </sheetViews>
  <sheetFormatPr baseColWidth="10" defaultRowHeight="16"/>
  <cols>
    <col min="1" max="1" width="46" bestFit="1" customWidth="1"/>
    <col min="2" max="2" width="29.6640625" customWidth="1"/>
  </cols>
  <sheetData>
    <row r="1" spans="1:7">
      <c r="B1" t="s">
        <v>25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>
      <c r="A2" t="s">
        <v>18</v>
      </c>
      <c r="B2" t="s">
        <v>26</v>
      </c>
      <c r="C2" s="2">
        <v>67108</v>
      </c>
      <c r="D2" s="2">
        <v>72345</v>
      </c>
      <c r="E2" s="2">
        <v>76690</v>
      </c>
      <c r="F2" s="2">
        <v>92916</v>
      </c>
      <c r="G2" s="2">
        <v>104449</v>
      </c>
    </row>
    <row r="3" spans="1:7">
      <c r="A3" t="s">
        <v>19</v>
      </c>
      <c r="B3" t="s">
        <v>26</v>
      </c>
    </row>
    <row r="4" spans="1:7">
      <c r="A4" t="s">
        <v>20</v>
      </c>
      <c r="B4" t="s">
        <v>27</v>
      </c>
      <c r="C4" s="2">
        <v>15771</v>
      </c>
      <c r="D4" s="2">
        <v>17006</v>
      </c>
      <c r="E4" s="2">
        <v>17362</v>
      </c>
      <c r="F4">
        <v>24402</v>
      </c>
      <c r="G4" s="2">
        <v>21735</v>
      </c>
    </row>
    <row r="5" spans="1:7">
      <c r="A5" t="s">
        <v>21</v>
      </c>
      <c r="B5" t="s">
        <v>28</v>
      </c>
      <c r="C5">
        <v>89</v>
      </c>
      <c r="D5">
        <v>53</v>
      </c>
      <c r="E5">
        <v>24</v>
      </c>
      <c r="F5">
        <v>-144</v>
      </c>
      <c r="G5">
        <v>123</v>
      </c>
    </row>
    <row r="6" spans="1:7">
      <c r="A6" t="s">
        <v>22</v>
      </c>
      <c r="B6" t="s">
        <v>27</v>
      </c>
    </row>
    <row r="7" spans="1:7">
      <c r="A7" t="s">
        <v>23</v>
      </c>
      <c r="B7" t="s">
        <v>27</v>
      </c>
      <c r="C7" s="2">
        <v>34801</v>
      </c>
      <c r="D7" s="2">
        <v>36779</v>
      </c>
      <c r="E7" s="2">
        <v>39338</v>
      </c>
      <c r="F7" s="2">
        <v>42901</v>
      </c>
      <c r="G7" s="2">
        <v>49693</v>
      </c>
    </row>
    <row r="8" spans="1:7">
      <c r="A8" t="s">
        <v>24</v>
      </c>
      <c r="C8">
        <v>1805</v>
      </c>
      <c r="D8">
        <v>1734</v>
      </c>
      <c r="E8">
        <v>1873</v>
      </c>
      <c r="F8">
        <v>1706</v>
      </c>
      <c r="G8">
        <v>1696</v>
      </c>
    </row>
    <row r="9" spans="1:7">
      <c r="A9" t="s">
        <v>29</v>
      </c>
      <c r="B9" t="s">
        <v>26</v>
      </c>
      <c r="C9">
        <v>203</v>
      </c>
      <c r="D9">
        <v>848</v>
      </c>
      <c r="E9">
        <v>476</v>
      </c>
      <c r="F9">
        <v>599</v>
      </c>
      <c r="G9">
        <v>1171</v>
      </c>
    </row>
    <row r="10" spans="1:7">
      <c r="A10" t="s">
        <v>30</v>
      </c>
      <c r="B10" t="s">
        <v>27</v>
      </c>
      <c r="C10">
        <v>765</v>
      </c>
      <c r="D10">
        <v>1094</v>
      </c>
      <c r="E10">
        <v>923</v>
      </c>
      <c r="F10">
        <v>764</v>
      </c>
      <c r="G10">
        <v>1445</v>
      </c>
    </row>
    <row r="11" spans="1:7">
      <c r="A11" t="s">
        <v>31</v>
      </c>
      <c r="B11" t="s">
        <v>26</v>
      </c>
    </row>
    <row r="12" spans="1:7">
      <c r="A12" t="s">
        <v>32</v>
      </c>
      <c r="B12" t="s">
        <v>27</v>
      </c>
    </row>
    <row r="13" spans="1:7">
      <c r="A13" t="s">
        <v>33</v>
      </c>
      <c r="B13" t="s">
        <v>26</v>
      </c>
    </row>
    <row r="14" spans="1:7">
      <c r="A14" t="s">
        <v>34</v>
      </c>
      <c r="B14" t="s">
        <v>27</v>
      </c>
    </row>
    <row r="15" spans="1:7">
      <c r="A15" t="s">
        <v>35</v>
      </c>
      <c r="B15" t="s">
        <v>26</v>
      </c>
      <c r="C15">
        <v>3</v>
      </c>
      <c r="D15">
        <v>0</v>
      </c>
      <c r="E15">
        <v>0</v>
      </c>
      <c r="F15">
        <v>0</v>
      </c>
      <c r="G15">
        <v>33</v>
      </c>
    </row>
    <row r="16" spans="1:7">
      <c r="A16" t="s">
        <v>36</v>
      </c>
    </row>
    <row r="17" spans="1:7">
      <c r="A17" t="s">
        <v>37</v>
      </c>
      <c r="B17" t="s">
        <v>27</v>
      </c>
    </row>
    <row r="18" spans="1:7">
      <c r="A18" t="s">
        <v>38</v>
      </c>
      <c r="B18" t="s">
        <v>26</v>
      </c>
      <c r="C18">
        <v>49</v>
      </c>
      <c r="D18">
        <v>5</v>
      </c>
      <c r="E18">
        <v>217</v>
      </c>
      <c r="F18">
        <v>121</v>
      </c>
      <c r="G18">
        <v>106</v>
      </c>
    </row>
    <row r="19" spans="1:7">
      <c r="A19" t="s">
        <v>39</v>
      </c>
      <c r="B19" t="s">
        <v>27</v>
      </c>
      <c r="C19">
        <v>719</v>
      </c>
      <c r="D19">
        <v>612</v>
      </c>
      <c r="E19">
        <v>1450</v>
      </c>
      <c r="F19">
        <v>1307</v>
      </c>
      <c r="G19">
        <v>2664</v>
      </c>
    </row>
    <row r="20" spans="1:7">
      <c r="A20" t="s">
        <v>40</v>
      </c>
      <c r="B20" t="s">
        <v>27</v>
      </c>
      <c r="C20">
        <v>2738</v>
      </c>
      <c r="D20">
        <v>3301</v>
      </c>
      <c r="E20">
        <v>3232</v>
      </c>
      <c r="F20">
        <v>4619</v>
      </c>
      <c r="G20">
        <v>5632</v>
      </c>
    </row>
    <row r="21" spans="1:7">
      <c r="A21" t="s">
        <v>41</v>
      </c>
      <c r="B21" t="s">
        <v>27</v>
      </c>
    </row>
    <row r="22" spans="1:7">
      <c r="A22" t="s">
        <v>42</v>
      </c>
      <c r="C22" s="2">
        <f>SUM(C2:C21)</f>
        <v>124051</v>
      </c>
      <c r="D22" s="2">
        <f>SUM(D2:D21)</f>
        <v>133777</v>
      </c>
      <c r="E22" s="2">
        <f>SUM(E2:E21)</f>
        <v>141585</v>
      </c>
      <c r="F22" s="2">
        <f>SUM(F2:F20)+144+144</f>
        <v>169479</v>
      </c>
      <c r="G22" s="2">
        <f>SUM(G2:G21)</f>
        <v>188747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7F3-3253-AE48-B165-0A2DE67FC02A}">
  <dimension ref="A1:F22"/>
  <sheetViews>
    <sheetView workbookViewId="0">
      <selection activeCell="A22" sqref="A1:F22"/>
    </sheetView>
  </sheetViews>
  <sheetFormatPr baseColWidth="10" defaultRowHeight="16"/>
  <cols>
    <col min="1" max="1" width="46.83203125" bestFit="1" customWidth="1"/>
    <col min="2" max="6" width="7.164062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18</v>
      </c>
      <c r="B2">
        <v>67108</v>
      </c>
      <c r="C2">
        <v>72345</v>
      </c>
      <c r="D2">
        <v>76690</v>
      </c>
      <c r="E2">
        <v>92916</v>
      </c>
      <c r="F2">
        <v>104449</v>
      </c>
    </row>
    <row r="3" spans="1:6">
      <c r="A3" t="s">
        <v>19</v>
      </c>
    </row>
    <row r="4" spans="1:6">
      <c r="A4" t="s">
        <v>20</v>
      </c>
      <c r="B4">
        <v>15771</v>
      </c>
      <c r="C4">
        <v>17006</v>
      </c>
      <c r="D4">
        <v>17362</v>
      </c>
      <c r="E4">
        <v>24402</v>
      </c>
      <c r="F4">
        <v>21735</v>
      </c>
    </row>
    <row r="5" spans="1:6">
      <c r="A5" t="s">
        <v>21</v>
      </c>
      <c r="B5">
        <v>89</v>
      </c>
      <c r="C5">
        <v>53</v>
      </c>
      <c r="D5">
        <v>24</v>
      </c>
      <c r="E5">
        <v>-144</v>
      </c>
      <c r="F5">
        <v>123</v>
      </c>
    </row>
    <row r="6" spans="1:6">
      <c r="A6" t="s">
        <v>22</v>
      </c>
    </row>
    <row r="7" spans="1:6">
      <c r="A7" t="s">
        <v>23</v>
      </c>
      <c r="B7">
        <v>34801</v>
      </c>
      <c r="C7">
        <v>36779</v>
      </c>
      <c r="D7">
        <v>39338</v>
      </c>
      <c r="E7">
        <v>42901</v>
      </c>
      <c r="F7">
        <v>49693</v>
      </c>
    </row>
    <row r="8" spans="1:6">
      <c r="A8" t="s">
        <v>24</v>
      </c>
      <c r="B8">
        <v>1805</v>
      </c>
      <c r="C8">
        <v>1734</v>
      </c>
      <c r="D8">
        <v>1873</v>
      </c>
      <c r="E8">
        <v>1706</v>
      </c>
      <c r="F8">
        <v>1696</v>
      </c>
    </row>
    <row r="9" spans="1:6">
      <c r="A9" t="s">
        <v>29</v>
      </c>
      <c r="B9">
        <v>203</v>
      </c>
      <c r="C9">
        <v>848</v>
      </c>
      <c r="D9">
        <v>476</v>
      </c>
      <c r="E9">
        <v>599</v>
      </c>
      <c r="F9">
        <v>1171</v>
      </c>
    </row>
    <row r="10" spans="1:6">
      <c r="A10" t="s">
        <v>30</v>
      </c>
      <c r="B10">
        <v>765</v>
      </c>
      <c r="C10">
        <v>1094</v>
      </c>
      <c r="D10">
        <v>923</v>
      </c>
      <c r="E10">
        <v>764</v>
      </c>
      <c r="F10">
        <v>1445</v>
      </c>
    </row>
    <row r="11" spans="1:6">
      <c r="A11" t="s">
        <v>31</v>
      </c>
    </row>
    <row r="12" spans="1:6">
      <c r="A12" t="s">
        <v>32</v>
      </c>
    </row>
    <row r="13" spans="1:6">
      <c r="A13" t="s">
        <v>33</v>
      </c>
    </row>
    <row r="14" spans="1:6">
      <c r="A14" t="s">
        <v>34</v>
      </c>
    </row>
    <row r="15" spans="1:6">
      <c r="A15" t="s">
        <v>35</v>
      </c>
      <c r="B15">
        <v>3</v>
      </c>
      <c r="C15">
        <v>0</v>
      </c>
      <c r="D15">
        <v>0</v>
      </c>
      <c r="E15">
        <v>0</v>
      </c>
      <c r="F15">
        <v>33</v>
      </c>
    </row>
    <row r="16" spans="1:6">
      <c r="A16" t="s">
        <v>36</v>
      </c>
    </row>
    <row r="17" spans="1:6">
      <c r="A17" t="s">
        <v>37</v>
      </c>
    </row>
    <row r="18" spans="1:6">
      <c r="A18" t="s">
        <v>38</v>
      </c>
      <c r="B18">
        <v>49</v>
      </c>
      <c r="C18">
        <v>5</v>
      </c>
      <c r="D18">
        <v>217</v>
      </c>
      <c r="E18">
        <v>121</v>
      </c>
      <c r="F18">
        <v>106</v>
      </c>
    </row>
    <row r="19" spans="1:6">
      <c r="A19" t="s">
        <v>39</v>
      </c>
      <c r="B19">
        <v>719</v>
      </c>
      <c r="C19">
        <v>612</v>
      </c>
      <c r="D19">
        <v>1450</v>
      </c>
      <c r="E19">
        <v>1307</v>
      </c>
      <c r="F19">
        <v>2664</v>
      </c>
    </row>
    <row r="20" spans="1:6">
      <c r="A20" t="s">
        <v>40</v>
      </c>
      <c r="B20">
        <v>2738</v>
      </c>
      <c r="C20">
        <v>3301</v>
      </c>
      <c r="D20">
        <v>3232</v>
      </c>
      <c r="E20">
        <v>4619</v>
      </c>
      <c r="F20">
        <v>5632</v>
      </c>
    </row>
    <row r="21" spans="1:6">
      <c r="A21" t="s">
        <v>41</v>
      </c>
    </row>
    <row r="22" spans="1:6">
      <c r="A22" t="s">
        <v>42</v>
      </c>
      <c r="B22">
        <v>124051</v>
      </c>
      <c r="C22">
        <v>133777</v>
      </c>
      <c r="D22">
        <v>141585</v>
      </c>
      <c r="E22">
        <v>169479</v>
      </c>
      <c r="F22">
        <v>188747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47BA-BEE7-9B44-BF1B-8133CDC4F313}">
  <dimension ref="A1:F26"/>
  <sheetViews>
    <sheetView zoomScaleNormal="100" workbookViewId="0">
      <selection activeCell="B10" sqref="B10"/>
    </sheetView>
  </sheetViews>
  <sheetFormatPr baseColWidth="10" defaultRowHeight="16"/>
  <cols>
    <col min="1" max="1" width="24.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43</v>
      </c>
      <c r="B2" s="2">
        <v>13678</v>
      </c>
      <c r="C2" s="2">
        <v>13917</v>
      </c>
      <c r="D2" s="2">
        <v>16423</v>
      </c>
      <c r="E2" s="2">
        <v>15857</v>
      </c>
      <c r="F2" s="2">
        <v>16181</v>
      </c>
    </row>
    <row r="4" spans="1:6">
      <c r="A4" t="s">
        <v>44</v>
      </c>
      <c r="B4" s="2">
        <v>13792</v>
      </c>
      <c r="C4" s="2">
        <v>15920</v>
      </c>
      <c r="D4" s="2">
        <v>16413</v>
      </c>
      <c r="E4" s="2">
        <v>22682</v>
      </c>
      <c r="F4" s="2">
        <v>28203</v>
      </c>
    </row>
    <row r="5" spans="1:6">
      <c r="A5" t="s">
        <v>45</v>
      </c>
      <c r="B5">
        <v>1762</v>
      </c>
      <c r="C5">
        <v>1734</v>
      </c>
      <c r="D5">
        <v>1873</v>
      </c>
      <c r="E5">
        <v>1706</v>
      </c>
      <c r="F5">
        <v>1696</v>
      </c>
    </row>
    <row r="6" spans="1:6">
      <c r="A6" t="s">
        <v>46</v>
      </c>
      <c r="B6">
        <v>0</v>
      </c>
      <c r="C6">
        <v>0</v>
      </c>
      <c r="D6" s="2">
        <v>0</v>
      </c>
      <c r="E6" s="2">
        <v>0</v>
      </c>
      <c r="F6" s="2">
        <v>0</v>
      </c>
    </row>
    <row r="7" spans="1:6">
      <c r="A7" t="s">
        <v>47</v>
      </c>
      <c r="B7">
        <v>89</v>
      </c>
      <c r="C7">
        <v>-53</v>
      </c>
      <c r="D7">
        <v>-24</v>
      </c>
      <c r="E7">
        <v>144</v>
      </c>
      <c r="F7">
        <v>123</v>
      </c>
    </row>
    <row r="8" spans="1:6">
      <c r="A8" t="s">
        <v>48</v>
      </c>
      <c r="B8">
        <v>1021</v>
      </c>
      <c r="C8">
        <v>1340</v>
      </c>
      <c r="D8" s="2">
        <v>-1293</v>
      </c>
      <c r="E8" s="2">
        <v>2879</v>
      </c>
      <c r="F8" s="2">
        <v>-14</v>
      </c>
    </row>
    <row r="9" spans="1:6">
      <c r="A9" t="s">
        <v>49</v>
      </c>
      <c r="B9">
        <v>-29</v>
      </c>
      <c r="C9">
        <v>1468</v>
      </c>
      <c r="D9">
        <v>5432</v>
      </c>
      <c r="E9">
        <v>-1238</v>
      </c>
      <c r="F9">
        <v>3604</v>
      </c>
    </row>
    <row r="10" spans="1:6">
      <c r="A10" t="s">
        <v>50</v>
      </c>
      <c r="B10">
        <v>-2738</v>
      </c>
      <c r="C10">
        <v>-3301</v>
      </c>
      <c r="D10" s="2">
        <v>-3232</v>
      </c>
      <c r="E10" s="2">
        <v>-4619</v>
      </c>
      <c r="F10" s="2">
        <v>-5632</v>
      </c>
    </row>
    <row r="11" spans="1:6">
      <c r="A11" t="s">
        <v>51</v>
      </c>
      <c r="B11" s="2">
        <f t="shared" ref="B11:E11" si="0">SUM(B4:B10)</f>
        <v>13897</v>
      </c>
      <c r="C11" s="2">
        <f t="shared" si="0"/>
        <v>17108</v>
      </c>
      <c r="D11" s="2">
        <f t="shared" si="0"/>
        <v>19169</v>
      </c>
      <c r="E11" s="2">
        <f t="shared" si="0"/>
        <v>21554</v>
      </c>
      <c r="F11" s="2">
        <f>SUM(F4:F10)</f>
        <v>27980</v>
      </c>
    </row>
    <row r="13" spans="1:6">
      <c r="A13" t="s">
        <v>52</v>
      </c>
      <c r="B13">
        <v>0</v>
      </c>
      <c r="C13">
        <v>-384</v>
      </c>
      <c r="D13" s="2">
        <v>0</v>
      </c>
      <c r="E13" s="2">
        <v>-60</v>
      </c>
      <c r="F13" s="2">
        <v>-502</v>
      </c>
    </row>
    <row r="14" spans="1:6">
      <c r="A14" t="s">
        <v>53</v>
      </c>
      <c r="B14">
        <v>0</v>
      </c>
      <c r="C14">
        <v>0</v>
      </c>
      <c r="D14">
        <v>0</v>
      </c>
      <c r="E14">
        <v>0</v>
      </c>
      <c r="F14" s="2">
        <v>0</v>
      </c>
    </row>
    <row r="15" spans="1:6">
      <c r="A15" t="s">
        <v>54</v>
      </c>
      <c r="B15" s="2">
        <f t="shared" ref="B15:D15" si="1">SUM(B13:B14)</f>
        <v>0</v>
      </c>
      <c r="C15" s="2">
        <f t="shared" si="1"/>
        <v>-384</v>
      </c>
      <c r="D15" s="2">
        <f t="shared" si="1"/>
        <v>0</v>
      </c>
      <c r="E15" s="2">
        <f>SUM(E13:E14)</f>
        <v>-60</v>
      </c>
      <c r="F15" s="2">
        <f>SUM(F13:F14)</f>
        <v>-502</v>
      </c>
    </row>
    <row r="17" spans="1:6">
      <c r="A17" t="s">
        <v>55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56</v>
      </c>
      <c r="B18">
        <v>0</v>
      </c>
      <c r="C18">
        <v>0</v>
      </c>
      <c r="D18">
        <v>0</v>
      </c>
      <c r="E18">
        <v>0</v>
      </c>
      <c r="F18" s="2">
        <v>0</v>
      </c>
    </row>
    <row r="19" spans="1:6">
      <c r="A19" t="s">
        <v>57</v>
      </c>
      <c r="B19">
        <v>0</v>
      </c>
      <c r="C19">
        <v>0</v>
      </c>
      <c r="D19">
        <v>0</v>
      </c>
      <c r="E19">
        <v>0</v>
      </c>
      <c r="F19" s="2">
        <v>0</v>
      </c>
    </row>
    <row r="20" spans="1:6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60</v>
      </c>
      <c r="B22">
        <f t="shared" ref="B22:E22" si="2">SUM(B17:B21)</f>
        <v>0</v>
      </c>
      <c r="C22">
        <f t="shared" si="2"/>
        <v>0</v>
      </c>
      <c r="D22">
        <f t="shared" si="2"/>
        <v>0</v>
      </c>
      <c r="E22">
        <f t="shared" si="2"/>
        <v>0</v>
      </c>
      <c r="F22">
        <f>SUM(F17:F21)</f>
        <v>0</v>
      </c>
    </row>
    <row r="24" spans="1:6">
      <c r="A24" t="s">
        <v>61</v>
      </c>
      <c r="B24" s="2">
        <v>13917</v>
      </c>
      <c r="C24" s="2">
        <v>16423</v>
      </c>
      <c r="D24" s="2">
        <v>15857</v>
      </c>
      <c r="E24" s="2">
        <v>16181</v>
      </c>
      <c r="F24" s="2">
        <v>23618</v>
      </c>
    </row>
    <row r="26" spans="1:6">
      <c r="A26" t="s">
        <v>62</v>
      </c>
      <c r="B26" s="2">
        <f t="shared" ref="B26:E26" si="3">B2+B11+B15+B22</f>
        <v>27575</v>
      </c>
      <c r="C26" s="2">
        <f t="shared" si="3"/>
        <v>30641</v>
      </c>
      <c r="D26" s="2">
        <f t="shared" si="3"/>
        <v>35592</v>
      </c>
      <c r="E26" s="2">
        <f t="shared" si="3"/>
        <v>37351</v>
      </c>
      <c r="F26" s="2">
        <f>F2+F11+F15+F22</f>
        <v>43659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79C3-D7BE-4E4E-AAAB-BB9F0A476C3D}">
  <dimension ref="A1:L67"/>
  <sheetViews>
    <sheetView topLeftCell="B22" workbookViewId="0">
      <selection activeCell="L31" sqref="L31"/>
    </sheetView>
  </sheetViews>
  <sheetFormatPr baseColWidth="10" defaultRowHeight="16"/>
  <cols>
    <col min="1" max="1" width="40.5" bestFit="1" customWidth="1"/>
    <col min="2" max="2" width="33.5" bestFit="1" customWidth="1"/>
    <col min="3" max="3" width="13.83203125" bestFit="1" customWidth="1"/>
    <col min="4" max="5" width="14" bestFit="1" customWidth="1"/>
    <col min="6" max="6" width="14.83203125" bestFit="1" customWidth="1"/>
  </cols>
  <sheetData>
    <row r="1" spans="1:6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68</v>
      </c>
    </row>
    <row r="2" spans="1:6">
      <c r="A2" s="12"/>
      <c r="B2" s="12"/>
      <c r="C2" s="12"/>
      <c r="D2" s="12"/>
      <c r="E2" s="12"/>
      <c r="F2" s="12"/>
    </row>
    <row r="3" spans="1:6">
      <c r="A3" s="12" t="s">
        <v>69</v>
      </c>
      <c r="B3" s="12" t="s">
        <v>70</v>
      </c>
      <c r="C3" s="12" t="s">
        <v>71</v>
      </c>
      <c r="D3" s="12" t="s">
        <v>72</v>
      </c>
      <c r="E3" s="12" t="s">
        <v>73</v>
      </c>
      <c r="F3" s="12" t="s">
        <v>74</v>
      </c>
    </row>
    <row r="4" spans="1:6">
      <c r="A4" s="12"/>
      <c r="B4" s="12"/>
      <c r="C4" s="12"/>
      <c r="D4" s="12"/>
      <c r="E4" s="12"/>
      <c r="F4" s="12"/>
    </row>
    <row r="5" spans="1:6">
      <c r="A5" s="12" t="s">
        <v>75</v>
      </c>
      <c r="B5" s="12" t="s">
        <v>76</v>
      </c>
      <c r="C5" s="12" t="s">
        <v>77</v>
      </c>
      <c r="D5" s="12" t="s">
        <v>78</v>
      </c>
      <c r="E5" s="12" t="s">
        <v>79</v>
      </c>
      <c r="F5" s="12" t="s">
        <v>80</v>
      </c>
    </row>
    <row r="6" spans="1:6">
      <c r="A6" s="12"/>
      <c r="B6" s="12"/>
      <c r="C6" s="12"/>
      <c r="D6" s="12"/>
      <c r="E6" s="12"/>
      <c r="F6" s="12"/>
    </row>
    <row r="7" spans="1:6">
      <c r="A7" s="12" t="s">
        <v>81</v>
      </c>
      <c r="B7" s="12" t="s">
        <v>17</v>
      </c>
      <c r="C7" s="12" t="s">
        <v>17</v>
      </c>
      <c r="D7" s="12" t="s">
        <v>17</v>
      </c>
      <c r="E7" s="12" t="s">
        <v>17</v>
      </c>
      <c r="F7" s="12" t="s">
        <v>17</v>
      </c>
    </row>
    <row r="8" spans="1:6">
      <c r="A8" s="12"/>
      <c r="B8" s="12"/>
      <c r="C8" s="12"/>
      <c r="D8" s="12"/>
      <c r="E8" s="12"/>
      <c r="F8" s="12"/>
    </row>
    <row r="9" spans="1:6">
      <c r="A9" s="12" t="s">
        <v>82</v>
      </c>
      <c r="B9" s="12" t="s">
        <v>83</v>
      </c>
      <c r="C9" s="12" t="s">
        <v>83</v>
      </c>
      <c r="D9" s="12" t="s">
        <v>84</v>
      </c>
      <c r="E9" s="12" t="s">
        <v>85</v>
      </c>
      <c r="F9" s="12" t="s">
        <v>86</v>
      </c>
    </row>
    <row r="10" spans="1:6">
      <c r="A10" s="12"/>
      <c r="B10" s="12"/>
      <c r="C10" s="12"/>
      <c r="D10" s="12"/>
      <c r="E10" s="12"/>
      <c r="F10" s="12"/>
    </row>
    <row r="11" spans="1:6">
      <c r="A11" s="12" t="s">
        <v>87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</row>
    <row r="12" spans="1:6">
      <c r="A12" s="12"/>
      <c r="B12" s="12"/>
      <c r="C12" s="12"/>
      <c r="D12" s="12"/>
      <c r="E12" s="12"/>
      <c r="F12" s="12"/>
    </row>
    <row r="13" spans="1:6">
      <c r="A13" s="12" t="s">
        <v>88</v>
      </c>
      <c r="B13" s="12">
        <v>46.225000000000001</v>
      </c>
      <c r="C13" s="12">
        <v>49.453000000000003</v>
      </c>
      <c r="D13" s="12">
        <v>76.474000000000004</v>
      </c>
      <c r="E13" s="12">
        <v>81</v>
      </c>
      <c r="F13" s="12">
        <v>83.988</v>
      </c>
    </row>
    <row r="14" spans="1:6">
      <c r="A14" s="12"/>
      <c r="B14" s="12"/>
      <c r="C14" s="12"/>
      <c r="D14" s="12"/>
      <c r="E14" s="12"/>
      <c r="F14" s="12"/>
    </row>
    <row r="15" spans="1:6">
      <c r="A15" s="12" t="s">
        <v>89</v>
      </c>
      <c r="B15" s="14">
        <v>0.16400999999999999</v>
      </c>
      <c r="C15" s="14">
        <v>0.17227999999999999</v>
      </c>
      <c r="D15" s="14">
        <v>0.17076</v>
      </c>
      <c r="E15" s="15">
        <v>0.24</v>
      </c>
      <c r="F15" s="14">
        <v>0.21345</v>
      </c>
    </row>
    <row r="16" spans="1:6">
      <c r="A16" s="12"/>
      <c r="B16" s="14"/>
      <c r="C16" s="14"/>
      <c r="D16" s="14"/>
      <c r="E16" s="15"/>
      <c r="F16" s="14"/>
    </row>
    <row r="17" spans="1:12">
      <c r="A17" s="12" t="s">
        <v>90</v>
      </c>
      <c r="B17" s="12" t="s">
        <v>91</v>
      </c>
      <c r="C17" s="12" t="s">
        <v>92</v>
      </c>
      <c r="D17" s="12" t="s">
        <v>93</v>
      </c>
      <c r="E17" s="12" t="s">
        <v>94</v>
      </c>
      <c r="F17" s="12" t="s">
        <v>95</v>
      </c>
    </row>
    <row r="18" spans="1:12">
      <c r="A18" s="12"/>
      <c r="B18" s="12"/>
      <c r="C18" s="12"/>
      <c r="D18" s="12"/>
      <c r="E18" s="12"/>
      <c r="F18" s="12"/>
    </row>
    <row r="19" spans="1:12">
      <c r="A19" s="12" t="s">
        <v>96</v>
      </c>
      <c r="B19" s="12" t="s">
        <v>97</v>
      </c>
      <c r="C19" s="12" t="s">
        <v>98</v>
      </c>
      <c r="D19" s="12" t="s">
        <v>99</v>
      </c>
      <c r="E19" s="12" t="s">
        <v>100</v>
      </c>
      <c r="F19" s="12" t="s">
        <v>101</v>
      </c>
    </row>
    <row r="20" spans="1:12">
      <c r="A20" s="12"/>
      <c r="B20" s="12"/>
      <c r="C20" s="12"/>
      <c r="D20" s="12"/>
      <c r="E20" s="12"/>
      <c r="F20" s="12"/>
    </row>
    <row r="21" spans="1:12">
      <c r="A21" s="12" t="s">
        <v>102</v>
      </c>
      <c r="B21" s="12">
        <v>100</v>
      </c>
      <c r="C21" s="12"/>
      <c r="D21" s="12" t="s">
        <v>103</v>
      </c>
      <c r="E21" s="12"/>
      <c r="F21" s="12" t="s">
        <v>103</v>
      </c>
    </row>
    <row r="22" spans="1:12">
      <c r="A22" s="12"/>
      <c r="B22" s="12"/>
      <c r="C22" s="12"/>
      <c r="D22" s="12"/>
      <c r="E22" s="12"/>
      <c r="F22" s="12"/>
    </row>
    <row r="27" spans="1:12">
      <c r="A27" s="12" t="s">
        <v>104</v>
      </c>
      <c r="B27" s="12" t="s">
        <v>105</v>
      </c>
      <c r="C27" s="12"/>
      <c r="D27" s="12"/>
      <c r="E27" s="12"/>
      <c r="F27" s="12"/>
    </row>
    <row r="28" spans="1:12">
      <c r="A28" s="12"/>
      <c r="B28" s="12"/>
      <c r="C28" s="12"/>
      <c r="D28" s="12"/>
      <c r="E28" s="12"/>
      <c r="F28" s="12"/>
    </row>
    <row r="29" spans="1:12">
      <c r="A29" s="12"/>
      <c r="B29" s="12">
        <v>2015</v>
      </c>
      <c r="C29" s="12">
        <v>2016</v>
      </c>
      <c r="D29" s="12">
        <v>2017</v>
      </c>
      <c r="E29" s="12">
        <v>2018</v>
      </c>
      <c r="F29" s="12">
        <v>2019</v>
      </c>
      <c r="H29">
        <v>2015</v>
      </c>
      <c r="I29">
        <v>2016</v>
      </c>
      <c r="J29">
        <v>2017</v>
      </c>
      <c r="K29">
        <v>2018</v>
      </c>
      <c r="L29">
        <v>2019</v>
      </c>
    </row>
    <row r="30" spans="1:12">
      <c r="A30" s="12"/>
      <c r="B30" s="12"/>
      <c r="C30" s="12"/>
      <c r="D30" s="12"/>
      <c r="E30" s="12"/>
      <c r="F30" s="12"/>
    </row>
    <row r="31" spans="1:12">
      <c r="A31" s="12" t="s">
        <v>63</v>
      </c>
      <c r="B31" s="12">
        <f>23898/31164</f>
        <v>0.76684636118598382</v>
      </c>
      <c r="C31" s="12">
        <f>25517/36115</f>
        <v>0.70654852554340297</v>
      </c>
      <c r="D31" s="12">
        <f>17236/33632</f>
        <v>0.51248810656517607</v>
      </c>
      <c r="E31" s="12">
        <f>22300/36739</f>
        <v>0.60698440349492366</v>
      </c>
      <c r="F31" s="12">
        <f>26871/44179</f>
        <v>0.60823015459833862</v>
      </c>
      <c r="H31" s="11">
        <v>0.76684636118598382</v>
      </c>
      <c r="I31" s="11">
        <v>0.70654852554340297</v>
      </c>
      <c r="J31" s="11">
        <v>0.51248810656517607</v>
      </c>
      <c r="K31" s="11">
        <v>0.60698440349492366</v>
      </c>
      <c r="L31" s="11">
        <v>0.60823015459833862</v>
      </c>
    </row>
    <row r="32" spans="1:12">
      <c r="A32" s="12"/>
      <c r="B32" s="12"/>
      <c r="C32" s="12"/>
      <c r="D32" s="12"/>
      <c r="E32" s="12"/>
      <c r="F32" s="12"/>
      <c r="G32" t="s">
        <v>111</v>
      </c>
    </row>
    <row r="33" spans="1:6">
      <c r="A33" s="12" t="s">
        <v>69</v>
      </c>
      <c r="B33" s="12">
        <f>67197/11275</f>
        <v>5.9598226164079824</v>
      </c>
      <c r="C33" s="12">
        <f>72345/12615</f>
        <v>5.7348394768133177</v>
      </c>
      <c r="D33" s="12">
        <f>76690/11322</f>
        <v>6.7735382441264793</v>
      </c>
      <c r="E33" s="12">
        <f>92918/14215</f>
        <v>6.5366162504396765</v>
      </c>
      <c r="F33" s="12">
        <f>104449/14016</f>
        <v>7.4521261415525117</v>
      </c>
    </row>
    <row r="34" spans="1:6">
      <c r="A34" s="12"/>
      <c r="B34" s="12"/>
      <c r="C34" s="12"/>
      <c r="D34" s="12"/>
      <c r="E34" s="12"/>
      <c r="F34" s="12"/>
    </row>
    <row r="35" spans="1:6">
      <c r="A35" s="12" t="s">
        <v>75</v>
      </c>
      <c r="B35" s="12">
        <f>13792+1742</f>
        <v>15534</v>
      </c>
      <c r="C35" s="12">
        <f>15920+1734</f>
        <v>17654</v>
      </c>
      <c r="D35" s="12">
        <f>16413+1873</f>
        <v>18286</v>
      </c>
      <c r="E35" s="12">
        <f>22682+1706</f>
        <v>24388</v>
      </c>
      <c r="F35" s="12">
        <f>28203+1696</f>
        <v>29899</v>
      </c>
    </row>
    <row r="36" spans="1:6">
      <c r="A36" s="12"/>
      <c r="B36" s="12"/>
      <c r="C36" s="12"/>
      <c r="D36" s="12"/>
      <c r="E36" s="12"/>
      <c r="F36" s="12"/>
    </row>
    <row r="37" spans="1:6">
      <c r="A37" s="12" t="s">
        <v>81</v>
      </c>
      <c r="B37" s="12" t="s">
        <v>17</v>
      </c>
      <c r="C37" s="12" t="s">
        <v>17</v>
      </c>
      <c r="D37" s="12" t="s">
        <v>17</v>
      </c>
      <c r="E37" s="12" t="s">
        <v>17</v>
      </c>
      <c r="F37" s="12" t="s">
        <v>17</v>
      </c>
    </row>
    <row r="38" spans="1:6">
      <c r="A38" s="12"/>
      <c r="B38" s="12"/>
      <c r="C38" s="12"/>
      <c r="D38" s="12"/>
      <c r="E38" s="12"/>
      <c r="F38" s="12"/>
    </row>
    <row r="39" spans="1:6">
      <c r="A39" s="12" t="s">
        <v>82</v>
      </c>
      <c r="B39" s="12" t="s">
        <v>83</v>
      </c>
      <c r="C39" s="12" t="s">
        <v>83</v>
      </c>
      <c r="D39" s="12" t="s">
        <v>84</v>
      </c>
      <c r="E39" s="12" t="s">
        <v>85</v>
      </c>
      <c r="F39" s="12" t="s">
        <v>86</v>
      </c>
    </row>
    <row r="40" spans="1:6">
      <c r="A40" s="12"/>
      <c r="B40" s="12"/>
      <c r="C40" s="12"/>
      <c r="D40" s="12"/>
      <c r="E40" s="12"/>
      <c r="F40" s="12"/>
    </row>
    <row r="41" spans="1:6">
      <c r="A41" s="12" t="s">
        <v>87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</row>
    <row r="42" spans="1:6">
      <c r="A42" s="12"/>
      <c r="B42" s="12"/>
      <c r="C42" s="12"/>
      <c r="D42" s="12"/>
      <c r="E42" s="12"/>
      <c r="F42" s="12"/>
    </row>
    <row r="43" spans="1:6">
      <c r="A43" s="12" t="s">
        <v>88</v>
      </c>
      <c r="B43" s="12">
        <v>46.225000000000001</v>
      </c>
      <c r="C43" s="12">
        <v>49.453000000000003</v>
      </c>
      <c r="D43" s="12">
        <v>76.474000000000004</v>
      </c>
      <c r="E43" s="12">
        <v>81</v>
      </c>
      <c r="F43" s="12">
        <v>83.988</v>
      </c>
    </row>
    <row r="44" spans="1:6">
      <c r="A44" s="12"/>
      <c r="B44" s="12"/>
      <c r="C44" s="12"/>
      <c r="D44" s="12"/>
      <c r="E44" s="12"/>
      <c r="F44" s="12"/>
    </row>
    <row r="45" spans="1:6">
      <c r="A45" s="12" t="s">
        <v>89</v>
      </c>
      <c r="B45" s="14">
        <v>0.16400999999999999</v>
      </c>
      <c r="C45" s="14">
        <v>0.17227999999999999</v>
      </c>
      <c r="D45" s="14">
        <v>0.17076</v>
      </c>
      <c r="E45" s="15">
        <v>0.24</v>
      </c>
      <c r="F45" s="14">
        <v>0.21345</v>
      </c>
    </row>
    <row r="46" spans="1:6">
      <c r="A46" s="12"/>
      <c r="B46" s="14"/>
      <c r="C46" s="14"/>
      <c r="D46" s="14"/>
      <c r="E46" s="15"/>
      <c r="F46" s="14"/>
    </row>
    <row r="47" spans="1:6">
      <c r="A47" s="12" t="s">
        <v>90</v>
      </c>
      <c r="B47" s="12" t="str">
        <f>67197-15771&amp;" ("&amp;ROUND((67197/15771)*100,2)&amp;"%)"</f>
        <v>51426 (426,08%)</v>
      </c>
      <c r="C47" s="12" t="str">
        <f>72345-17006&amp;" ("&amp;ROUND((72345/17006)*100,2)&amp;"%)"</f>
        <v>55339 (425,41%)</v>
      </c>
      <c r="D47" s="12" t="str">
        <f>76690-17362&amp;" ("&amp;ROUND((76690/17362)*100,2)&amp;"%)"</f>
        <v>59328 (441,71%)</v>
      </c>
      <c r="E47" s="12" t="str">
        <f>92918-24402&amp;" ("&amp;ROUND((92918/24402)*100,2)&amp;"%)"</f>
        <v>68516 (380,78%)</v>
      </c>
      <c r="F47" s="12" t="str">
        <f>104449-21735&amp;" ("&amp;ROUND((104449/21735)*100,2)&amp;"%)"</f>
        <v>82714 (480,56%)</v>
      </c>
    </row>
    <row r="48" spans="1:6">
      <c r="A48" s="12"/>
      <c r="B48" s="12"/>
      <c r="C48" s="12"/>
      <c r="D48" s="12"/>
      <c r="E48" s="12"/>
      <c r="F48" s="12"/>
    </row>
    <row r="49" spans="1:6">
      <c r="A49" s="12" t="s">
        <v>96</v>
      </c>
      <c r="B49" s="12">
        <f>25581/6130</f>
        <v>4.1730831973898859</v>
      </c>
      <c r="C49" s="12">
        <f>29374/7598</f>
        <v>3.8660173729928928</v>
      </c>
      <c r="D49" s="12">
        <f>27490/13030</f>
        <v>2.1097467382962396</v>
      </c>
      <c r="E49" s="12">
        <f>30837/11792</f>
        <v>2.6150780189959293</v>
      </c>
      <c r="F49" s="12">
        <f>37952/15423</f>
        <v>2.4607404525708358</v>
      </c>
    </row>
    <row r="50" spans="1:6">
      <c r="A50" s="12"/>
      <c r="B50" s="12"/>
      <c r="C50" s="12"/>
      <c r="D50" s="12"/>
      <c r="E50" s="12"/>
      <c r="F50" s="12"/>
    </row>
    <row r="51" spans="1:6">
      <c r="A51" s="12" t="s">
        <v>102</v>
      </c>
      <c r="B51" s="12">
        <v>100</v>
      </c>
      <c r="C51" s="12" t="s">
        <v>17</v>
      </c>
      <c r="D51" s="12" t="s">
        <v>103</v>
      </c>
      <c r="E51" s="13" t="s">
        <v>17</v>
      </c>
      <c r="F51" s="12" t="s">
        <v>103</v>
      </c>
    </row>
    <row r="52" spans="1:6">
      <c r="A52" s="12"/>
      <c r="B52" s="12"/>
      <c r="C52" s="12"/>
      <c r="D52" s="12"/>
      <c r="E52" s="13"/>
      <c r="F52" s="12"/>
    </row>
    <row r="55" spans="1:6">
      <c r="A55" t="s">
        <v>104</v>
      </c>
      <c r="B55" t="s">
        <v>105</v>
      </c>
    </row>
    <row r="56" spans="1:6">
      <c r="B56">
        <v>2015</v>
      </c>
      <c r="C56">
        <v>2016</v>
      </c>
      <c r="D56">
        <v>2017</v>
      </c>
      <c r="E56">
        <v>2018</v>
      </c>
      <c r="F56">
        <v>2019</v>
      </c>
    </row>
    <row r="57" spans="1:6">
      <c r="A57" t="s">
        <v>63</v>
      </c>
      <c r="B57">
        <v>1.3040421792618628</v>
      </c>
      <c r="C57">
        <v>1.415330955833366</v>
      </c>
      <c r="D57">
        <v>1.9512647946159201</v>
      </c>
      <c r="E57">
        <v>1.6474887892376682</v>
      </c>
      <c r="F57">
        <v>1.6441144728517734</v>
      </c>
    </row>
    <row r="58" spans="1:6">
      <c r="A58" t="s">
        <v>69</v>
      </c>
      <c r="B58">
        <v>5.9598226164079824</v>
      </c>
      <c r="C58">
        <v>5.7348394768133177</v>
      </c>
      <c r="D58">
        <v>6.7735382441264793</v>
      </c>
      <c r="E58">
        <v>6.5366162504396765</v>
      </c>
      <c r="F58">
        <v>7.4521261415525117</v>
      </c>
    </row>
    <row r="59" spans="1:6">
      <c r="A59" t="s">
        <v>75</v>
      </c>
      <c r="B59">
        <v>15534</v>
      </c>
      <c r="C59">
        <v>17654</v>
      </c>
      <c r="D59">
        <v>18286</v>
      </c>
      <c r="E59">
        <v>24388</v>
      </c>
      <c r="F59">
        <v>29899</v>
      </c>
    </row>
    <row r="60" spans="1:6">
      <c r="A60" t="s">
        <v>81</v>
      </c>
      <c r="B60" t="s">
        <v>17</v>
      </c>
      <c r="C60" t="s">
        <v>17</v>
      </c>
      <c r="D60" t="s">
        <v>17</v>
      </c>
      <c r="E60" t="s">
        <v>17</v>
      </c>
      <c r="F60" t="s">
        <v>17</v>
      </c>
    </row>
    <row r="61" spans="1:6">
      <c r="A61" t="s">
        <v>82</v>
      </c>
      <c r="B61" t="s">
        <v>83</v>
      </c>
      <c r="C61" t="s">
        <v>83</v>
      </c>
      <c r="D61" t="s">
        <v>84</v>
      </c>
      <c r="E61" t="s">
        <v>85</v>
      </c>
      <c r="F61" t="s">
        <v>86</v>
      </c>
    </row>
    <row r="62" spans="1:6">
      <c r="A62" t="s">
        <v>87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t="s">
        <v>88</v>
      </c>
      <c r="B63">
        <v>46.225000000000001</v>
      </c>
      <c r="C63">
        <v>49.453000000000003</v>
      </c>
      <c r="D63">
        <v>76.474000000000004</v>
      </c>
      <c r="E63">
        <v>81</v>
      </c>
      <c r="F63">
        <v>83.988</v>
      </c>
    </row>
    <row r="64" spans="1:6">
      <c r="A64" t="s">
        <v>89</v>
      </c>
      <c r="B64">
        <v>0.16400999999999999</v>
      </c>
      <c r="C64">
        <v>0.17227999999999999</v>
      </c>
      <c r="D64">
        <v>0.17076</v>
      </c>
      <c r="E64">
        <v>0.24</v>
      </c>
      <c r="F64">
        <v>0.21345</v>
      </c>
    </row>
    <row r="65" spans="1:6">
      <c r="A65" t="s">
        <v>90</v>
      </c>
      <c r="B65" t="s">
        <v>106</v>
      </c>
      <c r="C65" t="s">
        <v>107</v>
      </c>
      <c r="D65" t="s">
        <v>108</v>
      </c>
      <c r="E65" t="s">
        <v>109</v>
      </c>
      <c r="F65" t="s">
        <v>110</v>
      </c>
    </row>
    <row r="66" spans="1:6">
      <c r="A66" t="s">
        <v>96</v>
      </c>
      <c r="B66">
        <v>4.1730831973898859</v>
      </c>
      <c r="C66">
        <v>3.8660173729928928</v>
      </c>
      <c r="D66">
        <v>2.1097467382962396</v>
      </c>
      <c r="E66">
        <v>2.6150780189959293</v>
      </c>
      <c r="F66">
        <v>2.4607404525708358</v>
      </c>
    </row>
    <row r="67" spans="1:6">
      <c r="A67" t="s">
        <v>102</v>
      </c>
      <c r="B67">
        <v>100</v>
      </c>
      <c r="C67" t="s">
        <v>17</v>
      </c>
      <c r="D67" t="s">
        <v>103</v>
      </c>
      <c r="E67" t="s">
        <v>17</v>
      </c>
      <c r="F67" t="s">
        <v>103</v>
      </c>
    </row>
  </sheetData>
  <mergeCells count="144">
    <mergeCell ref="A3:A4"/>
    <mergeCell ref="B3:B4"/>
    <mergeCell ref="C3:C4"/>
    <mergeCell ref="D3:D4"/>
    <mergeCell ref="E3:E4"/>
    <mergeCell ref="F3:F4"/>
    <mergeCell ref="A1:A2"/>
    <mergeCell ref="B1:B2"/>
    <mergeCell ref="C1:C2"/>
    <mergeCell ref="D1:D2"/>
    <mergeCell ref="E1:E2"/>
    <mergeCell ref="F1:F2"/>
    <mergeCell ref="A7:A8"/>
    <mergeCell ref="B7:B8"/>
    <mergeCell ref="C7:C8"/>
    <mergeCell ref="D7:D8"/>
    <mergeCell ref="E7:E8"/>
    <mergeCell ref="F7:F8"/>
    <mergeCell ref="A5:A6"/>
    <mergeCell ref="B5:B6"/>
    <mergeCell ref="C5:C6"/>
    <mergeCell ref="D5:D6"/>
    <mergeCell ref="E5:E6"/>
    <mergeCell ref="F5:F6"/>
    <mergeCell ref="A11:A12"/>
    <mergeCell ref="B11:B12"/>
    <mergeCell ref="C11:C12"/>
    <mergeCell ref="D11:D12"/>
    <mergeCell ref="E11:E12"/>
    <mergeCell ref="F11:F12"/>
    <mergeCell ref="A9:A10"/>
    <mergeCell ref="B9:B10"/>
    <mergeCell ref="C9:C10"/>
    <mergeCell ref="D9:D10"/>
    <mergeCell ref="E9:E10"/>
    <mergeCell ref="F9:F10"/>
    <mergeCell ref="A15:A16"/>
    <mergeCell ref="B15:B16"/>
    <mergeCell ref="C15:C16"/>
    <mergeCell ref="D15:D16"/>
    <mergeCell ref="E15:E16"/>
    <mergeCell ref="F15:F16"/>
    <mergeCell ref="A13:A14"/>
    <mergeCell ref="B13:B14"/>
    <mergeCell ref="C13:C14"/>
    <mergeCell ref="D13:D14"/>
    <mergeCell ref="E13:E14"/>
    <mergeCell ref="F13:F14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A27:A28"/>
    <mergeCell ref="B27:B28"/>
    <mergeCell ref="C27:C28"/>
    <mergeCell ref="D27:D28"/>
    <mergeCell ref="E27:E28"/>
    <mergeCell ref="F27:F28"/>
    <mergeCell ref="A21:A22"/>
    <mergeCell ref="B21:B22"/>
    <mergeCell ref="C21:C22"/>
    <mergeCell ref="D21:D22"/>
    <mergeCell ref="E21:E22"/>
    <mergeCell ref="F21:F22"/>
    <mergeCell ref="A31:A32"/>
    <mergeCell ref="B31:B32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29:F30"/>
    <mergeCell ref="A35:A36"/>
    <mergeCell ref="B35:B36"/>
    <mergeCell ref="C35:C36"/>
    <mergeCell ref="D35:D36"/>
    <mergeCell ref="E35:E36"/>
    <mergeCell ref="F35:F36"/>
    <mergeCell ref="A33:A34"/>
    <mergeCell ref="B33:B34"/>
    <mergeCell ref="C33:C34"/>
    <mergeCell ref="D33:D34"/>
    <mergeCell ref="E33:E34"/>
    <mergeCell ref="F33:F34"/>
    <mergeCell ref="A39:A40"/>
    <mergeCell ref="B39:B40"/>
    <mergeCell ref="C39:C40"/>
    <mergeCell ref="D39:D40"/>
    <mergeCell ref="E39:E40"/>
    <mergeCell ref="F39:F40"/>
    <mergeCell ref="A37:A38"/>
    <mergeCell ref="B37:B38"/>
    <mergeCell ref="C37:C38"/>
    <mergeCell ref="D37:D38"/>
    <mergeCell ref="E37:E38"/>
    <mergeCell ref="F37:F38"/>
    <mergeCell ref="A43:A44"/>
    <mergeCell ref="B43:B44"/>
    <mergeCell ref="C43:C44"/>
    <mergeCell ref="D43:D44"/>
    <mergeCell ref="E43:E44"/>
    <mergeCell ref="F43:F44"/>
    <mergeCell ref="A41:A42"/>
    <mergeCell ref="B41:B42"/>
    <mergeCell ref="C41:C42"/>
    <mergeCell ref="D41:D42"/>
    <mergeCell ref="E41:E42"/>
    <mergeCell ref="F41:F42"/>
    <mergeCell ref="A47:A48"/>
    <mergeCell ref="B47:B48"/>
    <mergeCell ref="C47:C48"/>
    <mergeCell ref="D47:D48"/>
    <mergeCell ref="E47:E48"/>
    <mergeCell ref="F47:F48"/>
    <mergeCell ref="A45:A46"/>
    <mergeCell ref="B45:B46"/>
    <mergeCell ref="C45:C46"/>
    <mergeCell ref="D45:D46"/>
    <mergeCell ref="E45:E46"/>
    <mergeCell ref="F45:F46"/>
    <mergeCell ref="A51:A52"/>
    <mergeCell ref="B51:B52"/>
    <mergeCell ref="C51:C52"/>
    <mergeCell ref="D51:D52"/>
    <mergeCell ref="E51:E52"/>
    <mergeCell ref="F51:F52"/>
    <mergeCell ref="A49:A50"/>
    <mergeCell ref="B49:B50"/>
    <mergeCell ref="C49:C50"/>
    <mergeCell ref="D49:D50"/>
    <mergeCell ref="E49:E50"/>
    <mergeCell ref="F49:F5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DA7B-E8AA-F74A-BC04-7BFC4608ACD7}">
  <dimension ref="A1:F32"/>
  <sheetViews>
    <sheetView tabSelected="1" workbookViewId="0">
      <selection activeCell="E15" sqref="E15"/>
    </sheetView>
  </sheetViews>
  <sheetFormatPr baseColWidth="10" defaultRowHeight="16"/>
  <cols>
    <col min="1" max="1" width="22.1640625" bestFit="1" customWidth="1"/>
    <col min="5" max="5" width="11.1640625" bestFit="1" customWidth="1"/>
    <col min="6" max="6" width="11.5" bestFit="1" customWidth="1"/>
    <col min="7" max="7" width="10.33203125" bestFit="1" customWidth="1"/>
  </cols>
  <sheetData>
    <row r="1" spans="1:6">
      <c r="B1">
        <v>2016</v>
      </c>
      <c r="C1">
        <v>2017</v>
      </c>
      <c r="D1">
        <v>2018</v>
      </c>
      <c r="E1">
        <v>2019</v>
      </c>
      <c r="F1">
        <v>2020</v>
      </c>
    </row>
    <row r="2" spans="1:6">
      <c r="A2" t="s">
        <v>112</v>
      </c>
      <c r="B2" s="2">
        <v>25517</v>
      </c>
      <c r="C2" s="2">
        <v>17236</v>
      </c>
      <c r="D2" s="2">
        <v>22300</v>
      </c>
      <c r="E2" s="2">
        <v>26871</v>
      </c>
      <c r="F2" s="2">
        <f>AVERAGE(D2:E2)</f>
        <v>24585.5</v>
      </c>
    </row>
    <row r="3" spans="1:6">
      <c r="A3" t="s">
        <v>113</v>
      </c>
      <c r="B3" s="2">
        <v>7701</v>
      </c>
      <c r="C3" s="2">
        <v>13057</v>
      </c>
      <c r="D3" s="2">
        <v>11819</v>
      </c>
      <c r="E3" s="2">
        <v>15423</v>
      </c>
      <c r="F3" s="2">
        <f>AVERAGE(D3:E3)</f>
        <v>13621</v>
      </c>
    </row>
    <row r="4" spans="1:6" s="10" customFormat="1">
      <c r="A4" s="10" t="s">
        <v>135</v>
      </c>
      <c r="B4" s="2"/>
      <c r="C4" s="2"/>
      <c r="D4" s="2"/>
      <c r="E4" s="2">
        <f>1883+E2+E3</f>
        <v>44177</v>
      </c>
      <c r="F4" s="2"/>
    </row>
    <row r="5" spans="1:6">
      <c r="A5" t="s">
        <v>114</v>
      </c>
      <c r="B5">
        <v>0.19</v>
      </c>
      <c r="C5">
        <v>0.19</v>
      </c>
      <c r="D5">
        <v>0.19</v>
      </c>
      <c r="E5">
        <v>0.19</v>
      </c>
      <c r="F5">
        <v>0.19</v>
      </c>
    </row>
    <row r="6" spans="1:6">
      <c r="A6" t="s">
        <v>115</v>
      </c>
      <c r="B6">
        <v>8.0699999999999994E-2</v>
      </c>
      <c r="C6">
        <v>8.0699999999999994E-2</v>
      </c>
      <c r="D6">
        <v>8.0699999999999994E-2</v>
      </c>
      <c r="E6">
        <v>8.0699999999999994E-2</v>
      </c>
      <c r="F6">
        <v>8.0699999999999994E-2</v>
      </c>
    </row>
    <row r="7" spans="1:6">
      <c r="A7" t="s">
        <v>116</v>
      </c>
      <c r="B7">
        <v>4.36E-2</v>
      </c>
      <c r="C7">
        <v>4.36E-2</v>
      </c>
      <c r="D7">
        <v>4.36E-2</v>
      </c>
      <c r="E7">
        <v>4.36E-2</v>
      </c>
      <c r="F7">
        <v>4.36E-2</v>
      </c>
    </row>
    <row r="8" spans="1:6">
      <c r="A8" t="s">
        <v>117</v>
      </c>
      <c r="B8">
        <f>B6*(B2/(B2+B3))+B7*(B3/(B2+B3))*(1-B5)</f>
        <v>7.0178530194472871E-2</v>
      </c>
      <c r="C8">
        <f>C6*(C2/(C2+C3))+C7*(C3/(C2+C3))*(1-C5)</f>
        <v>6.1138421813620308E-2</v>
      </c>
      <c r="D8">
        <f>D6*(D2/(D2+D3))+D7*(D3/(D2+D3))*(1-D5)</f>
        <v>6.497874509803922E-2</v>
      </c>
      <c r="E8">
        <f>E6*(E2/(E4))+E7*(E3/(E4))*(1-E5)</f>
        <v>6.1415858206759162E-2</v>
      </c>
      <c r="F8">
        <f>F6*(F2/(F2+F3))+F7*(F3/(F2+F3))*(1-F5)</f>
        <v>6.452014934631542E-2</v>
      </c>
    </row>
    <row r="9" spans="1:6">
      <c r="A9" t="s">
        <v>118</v>
      </c>
      <c r="B9" s="2">
        <v>12619</v>
      </c>
      <c r="C9" s="2">
        <v>13181</v>
      </c>
      <c r="D9" s="2">
        <v>18063</v>
      </c>
      <c r="E9" s="2">
        <v>22571</v>
      </c>
      <c r="F9" s="2">
        <f>AVERAGE(D9:E9)</f>
        <v>20317</v>
      </c>
    </row>
    <row r="10" spans="1:6">
      <c r="A10" t="s">
        <v>120</v>
      </c>
      <c r="B10">
        <v>4297</v>
      </c>
      <c r="C10">
        <v>3904</v>
      </c>
      <c r="D10">
        <v>3851</v>
      </c>
      <c r="E10">
        <v>4239</v>
      </c>
      <c r="F10" s="2">
        <f t="shared" ref="F10:F12" si="0">AVERAGE(D10:E10)</f>
        <v>4045</v>
      </c>
    </row>
    <row r="11" spans="1:6">
      <c r="A11" t="s">
        <v>121</v>
      </c>
      <c r="B11" s="2">
        <v>29374</v>
      </c>
      <c r="C11" s="2">
        <v>27490</v>
      </c>
      <c r="D11" s="2">
        <v>30837</v>
      </c>
      <c r="E11" s="2">
        <v>37952</v>
      </c>
      <c r="F11" s="2">
        <f t="shared" si="0"/>
        <v>34394.5</v>
      </c>
    </row>
    <row r="12" spans="1:6">
      <c r="A12" t="s">
        <v>122</v>
      </c>
      <c r="B12">
        <v>7598</v>
      </c>
      <c r="C12" s="2">
        <v>13030</v>
      </c>
      <c r="D12" s="2">
        <v>11792</v>
      </c>
      <c r="E12" s="2">
        <v>15423</v>
      </c>
      <c r="F12" s="2">
        <f t="shared" si="0"/>
        <v>13607.5</v>
      </c>
    </row>
    <row r="13" spans="1:6">
      <c r="A13" t="s">
        <v>123</v>
      </c>
      <c r="B13" s="2">
        <f t="shared" ref="B13:F13" si="1">B11-B12</f>
        <v>21776</v>
      </c>
      <c r="C13" s="2">
        <f t="shared" si="1"/>
        <v>14460</v>
      </c>
      <c r="D13" s="2">
        <f t="shared" si="1"/>
        <v>19045</v>
      </c>
      <c r="E13" s="2">
        <f>E11-E12</f>
        <v>22529</v>
      </c>
      <c r="F13" s="2">
        <f t="shared" si="1"/>
        <v>20787</v>
      </c>
    </row>
    <row r="14" spans="1:6">
      <c r="A14" t="s">
        <v>119</v>
      </c>
      <c r="B14" s="2">
        <f t="shared" ref="B14:D14" si="2">B10+B13</f>
        <v>26073</v>
      </c>
      <c r="C14" s="2">
        <f t="shared" si="2"/>
        <v>18364</v>
      </c>
      <c r="D14" s="2">
        <f t="shared" si="2"/>
        <v>22896</v>
      </c>
      <c r="E14" s="2">
        <f>E10+E13</f>
        <v>26768</v>
      </c>
      <c r="F14" s="2">
        <f>F10+F13</f>
        <v>24832</v>
      </c>
    </row>
    <row r="15" spans="1:6">
      <c r="A15" t="s">
        <v>124</v>
      </c>
      <c r="B15" s="2">
        <f t="shared" ref="B15:F15" si="3">B9-(B8*B14)</f>
        <v>10789.235182239509</v>
      </c>
      <c r="C15" s="2">
        <f t="shared" si="3"/>
        <v>12058.254021814677</v>
      </c>
      <c r="D15" s="2">
        <f t="shared" si="3"/>
        <v>16575.246652235295</v>
      </c>
      <c r="E15" s="2">
        <f>E9-(E8*E14)</f>
        <v>20927.02030752147</v>
      </c>
      <c r="F15" s="2">
        <f t="shared" si="3"/>
        <v>18714.835651432295</v>
      </c>
    </row>
    <row r="19" spans="1:6">
      <c r="B19">
        <v>2016</v>
      </c>
      <c r="C19">
        <v>2017</v>
      </c>
      <c r="D19">
        <v>2018</v>
      </c>
      <c r="E19">
        <v>2019</v>
      </c>
      <c r="F19">
        <v>2020</v>
      </c>
    </row>
    <row r="20" spans="1:6">
      <c r="A20" t="s">
        <v>112</v>
      </c>
      <c r="B20">
        <v>25517</v>
      </c>
      <c r="C20">
        <v>17236</v>
      </c>
      <c r="D20">
        <v>22300</v>
      </c>
      <c r="E20">
        <v>26871</v>
      </c>
      <c r="F20" t="s">
        <v>125</v>
      </c>
    </row>
    <row r="21" spans="1:6">
      <c r="A21" t="s">
        <v>113</v>
      </c>
      <c r="B21">
        <v>7701</v>
      </c>
      <c r="C21">
        <v>13057</v>
      </c>
      <c r="D21">
        <v>11819</v>
      </c>
      <c r="E21">
        <v>15423</v>
      </c>
      <c r="F21" t="s">
        <v>128</v>
      </c>
    </row>
    <row r="22" spans="1:6">
      <c r="A22" t="s">
        <v>114</v>
      </c>
      <c r="B22">
        <v>0.19</v>
      </c>
      <c r="C22">
        <v>0.19</v>
      </c>
      <c r="D22">
        <v>0.19</v>
      </c>
      <c r="E22">
        <v>0.19</v>
      </c>
      <c r="F22">
        <v>0.19</v>
      </c>
    </row>
    <row r="23" spans="1:6">
      <c r="A23" t="s">
        <v>115</v>
      </c>
      <c r="B23">
        <v>8.0699999999999994E-2</v>
      </c>
      <c r="C23">
        <v>8.0699999999999994E-2</v>
      </c>
      <c r="D23">
        <v>8.0699999999999994E-2</v>
      </c>
      <c r="E23">
        <v>8.0699999999999994E-2</v>
      </c>
      <c r="F23">
        <v>8.0699999999999994E-2</v>
      </c>
    </row>
    <row r="24" spans="1:6">
      <c r="A24" t="s">
        <v>116</v>
      </c>
      <c r="B24">
        <v>4.36E-2</v>
      </c>
      <c r="C24">
        <v>4.36E-2</v>
      </c>
      <c r="D24">
        <v>4.36E-2</v>
      </c>
      <c r="E24">
        <v>4.36E-2</v>
      </c>
      <c r="F24">
        <v>4.36E-2</v>
      </c>
    </row>
    <row r="25" spans="1:6">
      <c r="A25" t="s">
        <v>117</v>
      </c>
      <c r="B25">
        <v>7.0178530194472871E-2</v>
      </c>
      <c r="C25">
        <v>6.1138421813620308E-2</v>
      </c>
      <c r="D25">
        <v>6.497874509803922E-2</v>
      </c>
      <c r="E25">
        <v>6.4150195488721806E-2</v>
      </c>
      <c r="F25" t="s">
        <v>134</v>
      </c>
    </row>
    <row r="26" spans="1:6">
      <c r="A26" t="s">
        <v>118</v>
      </c>
      <c r="B26">
        <v>12619</v>
      </c>
      <c r="C26">
        <v>13181</v>
      </c>
      <c r="D26">
        <v>18063</v>
      </c>
      <c r="E26">
        <v>22571</v>
      </c>
      <c r="F26" t="s">
        <v>126</v>
      </c>
    </row>
    <row r="27" spans="1:6">
      <c r="A27" t="s">
        <v>120</v>
      </c>
      <c r="B27">
        <v>4297</v>
      </c>
      <c r="C27">
        <v>3904</v>
      </c>
      <c r="D27">
        <v>3851</v>
      </c>
      <c r="E27">
        <v>4239</v>
      </c>
      <c r="F27" t="s">
        <v>127</v>
      </c>
    </row>
    <row r="28" spans="1:6">
      <c r="A28" t="s">
        <v>121</v>
      </c>
      <c r="B28">
        <v>29374</v>
      </c>
      <c r="C28">
        <v>27490</v>
      </c>
      <c r="D28">
        <v>30837</v>
      </c>
      <c r="E28">
        <v>37952</v>
      </c>
      <c r="F28" t="s">
        <v>129</v>
      </c>
    </row>
    <row r="29" spans="1:6">
      <c r="A29" t="s">
        <v>122</v>
      </c>
      <c r="B29">
        <v>7598</v>
      </c>
      <c r="C29">
        <v>13030</v>
      </c>
      <c r="D29">
        <v>11792</v>
      </c>
      <c r="E29">
        <v>15423</v>
      </c>
      <c r="F29" t="s">
        <v>130</v>
      </c>
    </row>
    <row r="30" spans="1:6">
      <c r="A30" t="s">
        <v>123</v>
      </c>
      <c r="B30">
        <v>21776</v>
      </c>
      <c r="C30">
        <v>14460</v>
      </c>
      <c r="D30">
        <v>19045</v>
      </c>
      <c r="E30">
        <v>22529</v>
      </c>
      <c r="F30" t="s">
        <v>131</v>
      </c>
    </row>
    <row r="31" spans="1:6">
      <c r="A31" t="s">
        <v>119</v>
      </c>
      <c r="B31">
        <v>26073</v>
      </c>
      <c r="C31">
        <v>18364</v>
      </c>
      <c r="D31">
        <v>22896</v>
      </c>
      <c r="E31">
        <v>26768</v>
      </c>
      <c r="F31" t="s">
        <v>132</v>
      </c>
    </row>
    <row r="32" spans="1:6">
      <c r="A32" t="s">
        <v>124</v>
      </c>
      <c r="B32">
        <v>10789.235182239509</v>
      </c>
      <c r="C32">
        <v>12058.254021814677</v>
      </c>
      <c r="D32">
        <v>16575.246652235295</v>
      </c>
      <c r="E32">
        <v>20853.827567157896</v>
      </c>
      <c r="F3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HDP</vt:lpstr>
      <vt:lpstr>Sheet4</vt:lpstr>
      <vt:lpstr>Sheet5</vt:lpstr>
      <vt:lpstr>Sheet6</vt:lpstr>
      <vt:lpstr>Sheet7</vt:lpstr>
      <vt:lpstr>takticke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2022-01-07T13:20:26Z</dcterms:created>
  <dcterms:modified xsi:type="dcterms:W3CDTF">2022-01-09T09:55:14Z</dcterms:modified>
</cp:coreProperties>
</file>