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di-fs01.ue.poznan\Profiles$\88190\Downloads\"/>
    </mc:Choice>
  </mc:AlternateContent>
  <bookViews>
    <workbookView xWindow="0" yWindow="0" windowWidth="28800" windowHeight="12330" activeTab="4"/>
  </bookViews>
  <sheets>
    <sheet name="Dane" sheetId="1" r:id="rId1"/>
    <sheet name="Regresja krokowa" sheetId="2" r:id="rId2"/>
    <sheet name="Model" sheetId="3" r:id="rId3"/>
    <sheet name="Testy" sheetId="4" r:id="rId4"/>
    <sheet name="Trendy" sheetId="5" r:id="rId5"/>
  </sheets>
  <definedNames>
    <definedName name="_xlnm._FilterDatabase" localSheetId="3" hidden="1">Testy!$B$6:$D$25</definedName>
  </definedNames>
  <calcPr calcId="162913"/>
</workbook>
</file>

<file path=xl/calcChain.xml><?xml version="1.0" encoding="utf-8"?>
<calcChain xmlns="http://schemas.openxmlformats.org/spreadsheetml/2006/main">
  <c r="E17" i="5" l="1"/>
  <c r="N92" i="5"/>
  <c r="L97" i="5"/>
  <c r="K97" i="5"/>
  <c r="C97" i="5"/>
  <c r="L96" i="5"/>
  <c r="K96" i="5"/>
  <c r="C96" i="5"/>
  <c r="L95" i="5"/>
  <c r="K95" i="5"/>
  <c r="C95" i="5"/>
  <c r="L94" i="5"/>
  <c r="K94" i="5"/>
  <c r="C94" i="5"/>
  <c r="L93" i="5"/>
  <c r="K93" i="5"/>
  <c r="C93" i="5"/>
  <c r="L92" i="5"/>
  <c r="K92" i="5"/>
  <c r="C92" i="5"/>
  <c r="L91" i="5"/>
  <c r="K91" i="5"/>
  <c r="C91" i="5"/>
  <c r="L90" i="5"/>
  <c r="K90" i="5"/>
  <c r="C90" i="5"/>
  <c r="L89" i="5"/>
  <c r="K89" i="5"/>
  <c r="C89" i="5"/>
  <c r="L88" i="5"/>
  <c r="K88" i="5"/>
  <c r="C88" i="5"/>
  <c r="L87" i="5"/>
  <c r="K87" i="5"/>
  <c r="C87" i="5"/>
  <c r="L86" i="5"/>
  <c r="K86" i="5"/>
  <c r="C86" i="5"/>
  <c r="L85" i="5"/>
  <c r="K85" i="5"/>
  <c r="C85" i="5"/>
  <c r="L84" i="5"/>
  <c r="K84" i="5"/>
  <c r="C84" i="5"/>
  <c r="L83" i="5"/>
  <c r="K83" i="5"/>
  <c r="C83" i="5"/>
  <c r="L82" i="5"/>
  <c r="K82" i="5"/>
  <c r="C82" i="5"/>
  <c r="L81" i="5"/>
  <c r="K81" i="5"/>
  <c r="C81" i="5"/>
  <c r="L80" i="5"/>
  <c r="K80" i="5"/>
  <c r="C80" i="5"/>
  <c r="L79" i="5"/>
  <c r="K79" i="5"/>
  <c r="C79" i="5"/>
  <c r="L78" i="5"/>
  <c r="K78" i="5"/>
  <c r="C78" i="5"/>
  <c r="N77" i="5" a="1"/>
  <c r="O81" i="5" s="1"/>
  <c r="F80" i="5"/>
  <c r="F78" i="5"/>
  <c r="E77" i="5" a="1"/>
  <c r="E81" i="5" s="1"/>
  <c r="E77" i="5"/>
  <c r="K73" i="5"/>
  <c r="C73" i="5"/>
  <c r="K72" i="5"/>
  <c r="C72" i="5"/>
  <c r="K71" i="5"/>
  <c r="C71" i="5"/>
  <c r="K70" i="5"/>
  <c r="C70" i="5"/>
  <c r="K69" i="5"/>
  <c r="C69" i="5"/>
  <c r="K68" i="5"/>
  <c r="C68" i="5"/>
  <c r="K67" i="5"/>
  <c r="C67" i="5"/>
  <c r="K66" i="5"/>
  <c r="C66" i="5"/>
  <c r="K65" i="5"/>
  <c r="C65" i="5"/>
  <c r="K64" i="5"/>
  <c r="C64" i="5"/>
  <c r="K63" i="5"/>
  <c r="C63" i="5"/>
  <c r="K62" i="5"/>
  <c r="C62" i="5"/>
  <c r="K61" i="5"/>
  <c r="C61" i="5"/>
  <c r="K60" i="5"/>
  <c r="C60" i="5"/>
  <c r="K59" i="5"/>
  <c r="C59" i="5"/>
  <c r="K58" i="5"/>
  <c r="C58" i="5"/>
  <c r="K57" i="5"/>
  <c r="C57" i="5"/>
  <c r="K56" i="5"/>
  <c r="C56" i="5"/>
  <c r="K55" i="5"/>
  <c r="C55" i="5"/>
  <c r="K54" i="5"/>
  <c r="C54" i="5"/>
  <c r="M53" i="5" a="1"/>
  <c r="L48" i="5"/>
  <c r="K48" i="5"/>
  <c r="C48" i="5"/>
  <c r="L47" i="5"/>
  <c r="K47" i="5"/>
  <c r="C47" i="5"/>
  <c r="L46" i="5"/>
  <c r="K46" i="5"/>
  <c r="C46" i="5"/>
  <c r="L45" i="5"/>
  <c r="K45" i="5"/>
  <c r="C45" i="5"/>
  <c r="L44" i="5"/>
  <c r="K44" i="5"/>
  <c r="C44" i="5"/>
  <c r="L43" i="5"/>
  <c r="K43" i="5"/>
  <c r="C43" i="5"/>
  <c r="L42" i="5"/>
  <c r="K42" i="5"/>
  <c r="C42" i="5"/>
  <c r="L41" i="5"/>
  <c r="K41" i="5"/>
  <c r="C41" i="5"/>
  <c r="L40" i="5"/>
  <c r="K40" i="5"/>
  <c r="C40" i="5"/>
  <c r="L39" i="5"/>
  <c r="K39" i="5"/>
  <c r="C39" i="5"/>
  <c r="L38" i="5"/>
  <c r="K38" i="5"/>
  <c r="C38" i="5"/>
  <c r="L37" i="5"/>
  <c r="K37" i="5"/>
  <c r="C37" i="5"/>
  <c r="L36" i="5"/>
  <c r="K36" i="5"/>
  <c r="C36" i="5"/>
  <c r="L35" i="5"/>
  <c r="K35" i="5"/>
  <c r="C35" i="5"/>
  <c r="L34" i="5"/>
  <c r="K34" i="5"/>
  <c r="C34" i="5"/>
  <c r="L33" i="5"/>
  <c r="K33" i="5"/>
  <c r="C33" i="5"/>
  <c r="L32" i="5"/>
  <c r="K32" i="5"/>
  <c r="N28" i="5" s="1" a="1"/>
  <c r="O32" i="5" s="1"/>
  <c r="C32" i="5"/>
  <c r="L31" i="5"/>
  <c r="K31" i="5"/>
  <c r="C31" i="5"/>
  <c r="L30" i="5"/>
  <c r="K30" i="5"/>
  <c r="C30" i="5"/>
  <c r="L29" i="5"/>
  <c r="K29" i="5"/>
  <c r="C29" i="5"/>
  <c r="O30" i="5"/>
  <c r="P30" i="5" s="1"/>
  <c r="N29" i="5"/>
  <c r="E28" i="5" a="1"/>
  <c r="K24" i="5"/>
  <c r="C24" i="5"/>
  <c r="K23" i="5"/>
  <c r="C23" i="5"/>
  <c r="K22" i="5"/>
  <c r="C22" i="5"/>
  <c r="K21" i="5"/>
  <c r="C21" i="5"/>
  <c r="K20" i="5"/>
  <c r="C20" i="5"/>
  <c r="K19" i="5"/>
  <c r="C19" i="5"/>
  <c r="K18" i="5"/>
  <c r="C18" i="5"/>
  <c r="K17" i="5"/>
  <c r="C17" i="5"/>
  <c r="K16" i="5"/>
  <c r="C16" i="5"/>
  <c r="K15" i="5"/>
  <c r="C15" i="5"/>
  <c r="K14" i="5"/>
  <c r="C14" i="5"/>
  <c r="K13" i="5"/>
  <c r="C13" i="5"/>
  <c r="K12" i="5"/>
  <c r="C12" i="5"/>
  <c r="K11" i="5"/>
  <c r="C11" i="5"/>
  <c r="K10" i="5"/>
  <c r="C10" i="5"/>
  <c r="K9" i="5"/>
  <c r="C9" i="5"/>
  <c r="K8" i="5"/>
  <c r="C8" i="5"/>
  <c r="K7" i="5"/>
  <c r="C7" i="5"/>
  <c r="E4" i="5" s="1" a="1"/>
  <c r="K6" i="5"/>
  <c r="C6" i="5"/>
  <c r="K5" i="5"/>
  <c r="M4" i="5" s="1" a="1"/>
  <c r="C5" i="5"/>
  <c r="E133" i="4"/>
  <c r="H132" i="4"/>
  <c r="G132" i="4"/>
  <c r="F132" i="4"/>
  <c r="H131" i="4"/>
  <c r="G131" i="4"/>
  <c r="F131" i="4"/>
  <c r="H130" i="4"/>
  <c r="G130" i="4"/>
  <c r="F130" i="4"/>
  <c r="H129" i="4"/>
  <c r="G129" i="4"/>
  <c r="F129" i="4"/>
  <c r="H128" i="4"/>
  <c r="G128" i="4"/>
  <c r="F128" i="4"/>
  <c r="H127" i="4"/>
  <c r="G127" i="4"/>
  <c r="F127" i="4"/>
  <c r="H126" i="4"/>
  <c r="G126" i="4"/>
  <c r="F126" i="4"/>
  <c r="H125" i="4"/>
  <c r="G125" i="4"/>
  <c r="F125" i="4"/>
  <c r="H124" i="4"/>
  <c r="G124" i="4"/>
  <c r="F124" i="4"/>
  <c r="H123" i="4"/>
  <c r="G123" i="4"/>
  <c r="F123" i="4"/>
  <c r="H122" i="4"/>
  <c r="G122" i="4"/>
  <c r="F122" i="4"/>
  <c r="H121" i="4"/>
  <c r="G121" i="4"/>
  <c r="F121" i="4"/>
  <c r="H120" i="4"/>
  <c r="G120" i="4"/>
  <c r="F120" i="4"/>
  <c r="K119" i="4"/>
  <c r="H119" i="4"/>
  <c r="G119" i="4"/>
  <c r="F119" i="4"/>
  <c r="F133" i="4" s="1"/>
  <c r="K114" i="4" s="1"/>
  <c r="H118" i="4"/>
  <c r="G118" i="4"/>
  <c r="F118" i="4"/>
  <c r="H117" i="4"/>
  <c r="G117" i="4"/>
  <c r="F117" i="4"/>
  <c r="H116" i="4"/>
  <c r="G116" i="4"/>
  <c r="F116" i="4"/>
  <c r="H115" i="4"/>
  <c r="G115" i="4"/>
  <c r="F115" i="4"/>
  <c r="H114" i="4"/>
  <c r="G114" i="4"/>
  <c r="F114" i="4"/>
  <c r="H113" i="4"/>
  <c r="H133" i="4" s="1"/>
  <c r="K116" i="4" s="1"/>
  <c r="G113" i="4"/>
  <c r="F113" i="4"/>
  <c r="G107" i="4"/>
  <c r="G106" i="4"/>
  <c r="G105" i="4"/>
  <c r="G104" i="4"/>
  <c r="G103" i="4"/>
  <c r="K102" i="4"/>
  <c r="G102" i="4"/>
  <c r="K101" i="4"/>
  <c r="G101" i="4"/>
  <c r="G100" i="4"/>
  <c r="G99" i="4"/>
  <c r="G98" i="4"/>
  <c r="G97" i="4"/>
  <c r="G96" i="4"/>
  <c r="G95" i="4"/>
  <c r="G94" i="4"/>
  <c r="G93" i="4"/>
  <c r="G92" i="4"/>
  <c r="G91" i="4"/>
  <c r="G90" i="4"/>
  <c r="G108" i="4" s="1"/>
  <c r="K93" i="4" s="1"/>
  <c r="K100" i="4" s="1"/>
  <c r="G89" i="4"/>
  <c r="L91" i="4"/>
  <c r="K91" i="4"/>
  <c r="J91" i="4"/>
  <c r="J90" i="4"/>
  <c r="L89" i="4"/>
  <c r="J89" i="4"/>
  <c r="K88" i="4"/>
  <c r="L87" i="4"/>
  <c r="K87" i="4"/>
  <c r="J87" i="4" a="1"/>
  <c r="C82" i="4"/>
  <c r="J68" i="4"/>
  <c r="K66" i="4"/>
  <c r="I65" i="4"/>
  <c r="I64" i="4" a="1"/>
  <c r="I67" i="4" s="1"/>
  <c r="F53" i="4"/>
  <c r="G49" i="4"/>
  <c r="F49" i="4"/>
  <c r="E49" i="4"/>
  <c r="G48" i="4"/>
  <c r="F48" i="4"/>
  <c r="E48" i="4"/>
  <c r="G47" i="4"/>
  <c r="F47" i="4"/>
  <c r="E47" i="4"/>
  <c r="G46" i="4"/>
  <c r="F46" i="4"/>
  <c r="E46" i="4"/>
  <c r="G45" i="4"/>
  <c r="F45" i="4"/>
  <c r="E45" i="4"/>
  <c r="G44" i="4"/>
  <c r="F44" i="4"/>
  <c r="E44" i="4"/>
  <c r="G43" i="4"/>
  <c r="F43" i="4"/>
  <c r="E43" i="4"/>
  <c r="G42" i="4"/>
  <c r="F42" i="4"/>
  <c r="E42" i="4"/>
  <c r="G41" i="4"/>
  <c r="F41" i="4"/>
  <c r="E41" i="4"/>
  <c r="G40" i="4"/>
  <c r="F40" i="4"/>
  <c r="E40" i="4"/>
  <c r="G39" i="4"/>
  <c r="F39" i="4"/>
  <c r="E39" i="4"/>
  <c r="G38" i="4"/>
  <c r="F38" i="4"/>
  <c r="E38" i="4"/>
  <c r="G37" i="4"/>
  <c r="F37" i="4"/>
  <c r="E37" i="4"/>
  <c r="G36" i="4"/>
  <c r="F36" i="4"/>
  <c r="E36" i="4"/>
  <c r="G35" i="4"/>
  <c r="F35" i="4"/>
  <c r="E35" i="4"/>
  <c r="G34" i="4"/>
  <c r="F34" i="4"/>
  <c r="E34" i="4"/>
  <c r="G33" i="4"/>
  <c r="F33" i="4"/>
  <c r="E33" i="4"/>
  <c r="G32" i="4"/>
  <c r="F32" i="4"/>
  <c r="E32" i="4"/>
  <c r="G31" i="4"/>
  <c r="F31" i="4"/>
  <c r="E31" i="4"/>
  <c r="G30" i="4"/>
  <c r="F30" i="4"/>
  <c r="E30" i="4"/>
  <c r="L29" i="4" a="1"/>
  <c r="N33" i="4" s="1"/>
  <c r="L10" i="4"/>
  <c r="K9" i="4"/>
  <c r="J8" i="4"/>
  <c r="L6" i="4"/>
  <c r="J6" i="4" a="1"/>
  <c r="J10" i="4" s="1"/>
  <c r="H10" i="4"/>
  <c r="G9" i="4"/>
  <c r="G13" i="4" s="1"/>
  <c r="F8" i="4"/>
  <c r="H6" i="4"/>
  <c r="F6" i="4" a="1"/>
  <c r="F10" i="4" s="1"/>
  <c r="L61" i="3"/>
  <c r="L44" i="3"/>
  <c r="L59" i="3" s="1"/>
  <c r="L58" i="3" s="1"/>
  <c r="H46" i="3"/>
  <c r="I45" i="3"/>
  <c r="G45" i="3"/>
  <c r="H44" i="3"/>
  <c r="I43" i="3"/>
  <c r="L52" i="3" s="1"/>
  <c r="G43" i="3"/>
  <c r="L50" i="3" s="1"/>
  <c r="H42" i="3"/>
  <c r="G42" i="3" a="1"/>
  <c r="I46" i="3" s="1"/>
  <c r="G42" i="3"/>
  <c r="L53" i="3" s="1"/>
  <c r="K39" i="3"/>
  <c r="M30" i="3"/>
  <c r="M29" i="3"/>
  <c r="M28" i="3"/>
  <c r="M27" i="3"/>
  <c r="M26" i="3"/>
  <c r="M25" i="3"/>
  <c r="K9" i="3"/>
  <c r="M12" i="3" s="1"/>
  <c r="L8" i="3"/>
  <c r="L7" i="3"/>
  <c r="M6" i="3"/>
  <c r="O5" i="3"/>
  <c r="K5" i="3"/>
  <c r="J5" i="3" a="1"/>
  <c r="N9" i="3" s="1"/>
  <c r="O128" i="2"/>
  <c r="H132" i="2"/>
  <c r="J131" i="2"/>
  <c r="I129" i="2"/>
  <c r="H129" i="2"/>
  <c r="H128" i="2" a="1"/>
  <c r="I130" i="2" s="1"/>
  <c r="O120" i="2"/>
  <c r="I123" i="2"/>
  <c r="H123" i="2"/>
  <c r="I121" i="2"/>
  <c r="H121" i="2"/>
  <c r="H120" i="2" a="1"/>
  <c r="O113" i="2"/>
  <c r="K115" i="2"/>
  <c r="H115" i="2"/>
  <c r="H114" i="2"/>
  <c r="J113" i="2"/>
  <c r="J112" i="2"/>
  <c r="L111" i="2"/>
  <c r="H111" i="2" a="1"/>
  <c r="H111" i="2"/>
  <c r="P91" i="2"/>
  <c r="L94" i="2"/>
  <c r="J93" i="2"/>
  <c r="H92" i="2"/>
  <c r="L90" i="2"/>
  <c r="H90" i="2" a="1"/>
  <c r="M94" i="2" s="1"/>
  <c r="M83" i="2"/>
  <c r="L83" i="2"/>
  <c r="M81" i="2"/>
  <c r="L81" i="2"/>
  <c r="L80" i="2" a="1"/>
  <c r="L76" i="2"/>
  <c r="L74" i="2"/>
  <c r="L73" i="2" a="1"/>
  <c r="M76" i="2" s="1"/>
  <c r="L69" i="2"/>
  <c r="L67" i="2"/>
  <c r="L66" i="2" a="1"/>
  <c r="M69" i="2" s="1"/>
  <c r="M60" i="2"/>
  <c r="I45" i="2" a="1"/>
  <c r="K42" i="2"/>
  <c r="J42" i="2"/>
  <c r="K41" i="2"/>
  <c r="J41" i="2"/>
  <c r="I41" i="2"/>
  <c r="J40" i="2"/>
  <c r="I40" i="2"/>
  <c r="K39" i="2"/>
  <c r="I39" i="2"/>
  <c r="K38" i="2"/>
  <c r="J38" i="2"/>
  <c r="I38" i="2" a="1"/>
  <c r="I42" i="2" s="1"/>
  <c r="I38" i="2"/>
  <c r="N38" i="2" s="1"/>
  <c r="J33" i="2"/>
  <c r="I31" i="2" a="1"/>
  <c r="I31" i="2"/>
  <c r="N24" i="2"/>
  <c r="K28" i="2"/>
  <c r="K27" i="2"/>
  <c r="J27" i="2"/>
  <c r="J26" i="2"/>
  <c r="I26" i="2"/>
  <c r="I25" i="2"/>
  <c r="K24" i="2"/>
  <c r="I24" i="2" a="1"/>
  <c r="J28" i="2" s="1"/>
  <c r="I24" i="2"/>
  <c r="O11" i="2"/>
  <c r="L11" i="2" a="1"/>
  <c r="L14" i="2" s="1"/>
  <c r="I11" i="2" a="1"/>
  <c r="P7" i="2"/>
  <c r="P6" i="2"/>
  <c r="O6" i="2"/>
  <c r="P5" i="2"/>
  <c r="P4" i="2"/>
  <c r="O4" i="2"/>
  <c r="P3" i="2"/>
  <c r="O3" i="2" a="1"/>
  <c r="O7" i="2" s="1"/>
  <c r="O3" i="2"/>
  <c r="P8" i="2" s="1"/>
  <c r="L3" i="2" a="1"/>
  <c r="L6" i="2" s="1"/>
  <c r="I6" i="2"/>
  <c r="I4" i="2"/>
  <c r="I3" i="2" a="1"/>
  <c r="J7" i="2" s="1"/>
  <c r="I14" i="2" l="1"/>
  <c r="I12" i="2"/>
  <c r="J13" i="2"/>
  <c r="K49" i="2"/>
  <c r="J48" i="2"/>
  <c r="I47" i="2"/>
  <c r="K45" i="2"/>
  <c r="J49" i="2"/>
  <c r="I48" i="2"/>
  <c r="K46" i="2"/>
  <c r="J45" i="2"/>
  <c r="O45" i="2" s="1"/>
  <c r="K47" i="2"/>
  <c r="L95" i="2"/>
  <c r="O7" i="5"/>
  <c r="N6" i="5"/>
  <c r="P6" i="5" s="1"/>
  <c r="M5" i="5"/>
  <c r="M4" i="5"/>
  <c r="M9" i="5" s="1"/>
  <c r="O8" i="5"/>
  <c r="N7" i="5"/>
  <c r="M6" i="5"/>
  <c r="O4" i="5"/>
  <c r="O9" i="5" s="1"/>
  <c r="O6" i="5"/>
  <c r="N8" i="5"/>
  <c r="O5" i="5"/>
  <c r="M8" i="5"/>
  <c r="N5" i="5"/>
  <c r="M7" i="5"/>
  <c r="N4" i="5"/>
  <c r="I3" i="2"/>
  <c r="J8" i="2" s="1"/>
  <c r="J4" i="2"/>
  <c r="J6" i="2"/>
  <c r="M3" i="2"/>
  <c r="J11" i="2"/>
  <c r="J14" i="2"/>
  <c r="M11" i="2"/>
  <c r="K35" i="2"/>
  <c r="J34" i="2"/>
  <c r="I33" i="2"/>
  <c r="K31" i="2"/>
  <c r="J35" i="2"/>
  <c r="I34" i="2"/>
  <c r="K32" i="2"/>
  <c r="J31" i="2"/>
  <c r="K33" i="2"/>
  <c r="I46" i="2"/>
  <c r="K48" i="2"/>
  <c r="M67" i="2"/>
  <c r="M74" i="2"/>
  <c r="M90" i="2"/>
  <c r="I92" i="2"/>
  <c r="K93" i="2"/>
  <c r="M14" i="2"/>
  <c r="M12" i="2"/>
  <c r="L11" i="2"/>
  <c r="M16" i="2" s="1"/>
  <c r="M13" i="2"/>
  <c r="N56" i="3"/>
  <c r="L56" i="3"/>
  <c r="O70" i="2"/>
  <c r="O69" i="2"/>
  <c r="O68" i="2"/>
  <c r="O67" i="2"/>
  <c r="O66" i="2"/>
  <c r="L66" i="2"/>
  <c r="L71" i="2" s="1"/>
  <c r="N70" i="2"/>
  <c r="N69" i="2"/>
  <c r="N68" i="2"/>
  <c r="N67" i="2"/>
  <c r="N66" i="2"/>
  <c r="N71" i="2" s="1"/>
  <c r="L68" i="2"/>
  <c r="L70" i="2"/>
  <c r="O77" i="2"/>
  <c r="O76" i="2"/>
  <c r="O75" i="2"/>
  <c r="O74" i="2"/>
  <c r="O73" i="2"/>
  <c r="L73" i="2"/>
  <c r="L78" i="2" s="1"/>
  <c r="N77" i="2"/>
  <c r="N76" i="2"/>
  <c r="N75" i="2"/>
  <c r="N74" i="2"/>
  <c r="N73" i="2"/>
  <c r="L75" i="2"/>
  <c r="L77" i="2"/>
  <c r="O84" i="2"/>
  <c r="O83" i="2"/>
  <c r="O82" i="2"/>
  <c r="O81" i="2"/>
  <c r="O80" i="2"/>
  <c r="L80" i="2"/>
  <c r="L85" i="2" s="1"/>
  <c r="N84" i="2"/>
  <c r="N83" i="2"/>
  <c r="N82" i="2"/>
  <c r="N81" i="2"/>
  <c r="N80" i="2"/>
  <c r="N85" i="2" s="1"/>
  <c r="L82" i="2"/>
  <c r="L84" i="2"/>
  <c r="J115" i="2"/>
  <c r="K114" i="2"/>
  <c r="L113" i="2"/>
  <c r="H113" i="2"/>
  <c r="I112" i="2"/>
  <c r="J111" i="2"/>
  <c r="J116" i="2" s="1"/>
  <c r="I115" i="2"/>
  <c r="J114" i="2"/>
  <c r="K113" i="2"/>
  <c r="L112" i="2"/>
  <c r="H112" i="2"/>
  <c r="H116" i="2" s="1"/>
  <c r="I111" i="2"/>
  <c r="I116" i="2" s="1"/>
  <c r="K112" i="2"/>
  <c r="I114" i="2"/>
  <c r="L115" i="2"/>
  <c r="K124" i="2"/>
  <c r="K123" i="2"/>
  <c r="K122" i="2"/>
  <c r="K121" i="2"/>
  <c r="K120" i="2"/>
  <c r="H120" i="2"/>
  <c r="H125" i="2" s="1"/>
  <c r="J124" i="2"/>
  <c r="J123" i="2"/>
  <c r="J122" i="2"/>
  <c r="J121" i="2"/>
  <c r="J120" i="2"/>
  <c r="J125" i="2" s="1"/>
  <c r="H122" i="2"/>
  <c r="H124" i="2"/>
  <c r="H128" i="2"/>
  <c r="H133" i="2" s="1"/>
  <c r="M6" i="2"/>
  <c r="M4" i="2"/>
  <c r="L3" i="2"/>
  <c r="M8" i="2" s="1"/>
  <c r="M5" i="2"/>
  <c r="I5" i="2"/>
  <c r="I7" i="2"/>
  <c r="L4" i="2"/>
  <c r="L7" i="2"/>
  <c r="J12" i="2"/>
  <c r="I15" i="2"/>
  <c r="L12" i="2"/>
  <c r="L15" i="2"/>
  <c r="N28" i="2"/>
  <c r="I32" i="2"/>
  <c r="N35" i="2" s="1"/>
  <c r="K34" i="2"/>
  <c r="J46" i="2"/>
  <c r="I49" i="2"/>
  <c r="K94" i="2"/>
  <c r="M93" i="2"/>
  <c r="I93" i="2"/>
  <c r="K92" i="2"/>
  <c r="M91" i="2"/>
  <c r="I91" i="2"/>
  <c r="K90" i="2"/>
  <c r="H90" i="2"/>
  <c r="H95" i="2" s="1"/>
  <c r="J94" i="2"/>
  <c r="L93" i="2"/>
  <c r="H93" i="2"/>
  <c r="J92" i="2"/>
  <c r="L91" i="2"/>
  <c r="H91" i="2"/>
  <c r="J90" i="2"/>
  <c r="J91" i="2"/>
  <c r="L92" i="2"/>
  <c r="H94" i="2"/>
  <c r="J3" i="2"/>
  <c r="J5" i="2"/>
  <c r="L5" i="2"/>
  <c r="M7" i="2"/>
  <c r="I11" i="2"/>
  <c r="J16" i="2" s="1"/>
  <c r="I13" i="2"/>
  <c r="J15" i="2"/>
  <c r="L13" i="2"/>
  <c r="M15" i="2"/>
  <c r="J32" i="2"/>
  <c r="I35" i="2"/>
  <c r="I45" i="2"/>
  <c r="N45" i="2" s="1"/>
  <c r="J47" i="2"/>
  <c r="M66" i="2"/>
  <c r="M71" i="2" s="1"/>
  <c r="M68" i="2"/>
  <c r="M70" i="2"/>
  <c r="M73" i="2"/>
  <c r="M78" i="2" s="1"/>
  <c r="M75" i="2"/>
  <c r="M77" i="2"/>
  <c r="M80" i="2"/>
  <c r="M85" i="2" s="1"/>
  <c r="M82" i="2"/>
  <c r="M84" i="2"/>
  <c r="I90" i="2"/>
  <c r="K91" i="2"/>
  <c r="M92" i="2"/>
  <c r="I94" i="2"/>
  <c r="K111" i="2"/>
  <c r="I113" i="2"/>
  <c r="L114" i="2"/>
  <c r="I120" i="2"/>
  <c r="I125" i="2" s="1"/>
  <c r="I122" i="2"/>
  <c r="I124" i="2"/>
  <c r="J132" i="2"/>
  <c r="I131" i="2"/>
  <c r="H130" i="2"/>
  <c r="J128" i="2"/>
  <c r="I132" i="2"/>
  <c r="H131" i="2"/>
  <c r="J129" i="2"/>
  <c r="I128" i="2"/>
  <c r="I133" i="2" s="1"/>
  <c r="J130" i="2"/>
  <c r="J25" i="2"/>
  <c r="K26" i="2"/>
  <c r="I28" i="2"/>
  <c r="L5" i="3"/>
  <c r="J6" i="3"/>
  <c r="N6" i="3"/>
  <c r="N7" i="3"/>
  <c r="M8" i="3"/>
  <c r="L9" i="3"/>
  <c r="N53" i="3"/>
  <c r="N58" i="3"/>
  <c r="N43" i="3"/>
  <c r="O5" i="2"/>
  <c r="J24" i="2"/>
  <c r="O28" i="2" s="1"/>
  <c r="K25" i="2"/>
  <c r="I27" i="2"/>
  <c r="J39" i="2"/>
  <c r="O38" i="2" s="1"/>
  <c r="K40" i="2"/>
  <c r="J5" i="3"/>
  <c r="M5" i="3"/>
  <c r="K6" i="3"/>
  <c r="J7" i="3"/>
  <c r="O7" i="3"/>
  <c r="N8" i="3"/>
  <c r="M9" i="3"/>
  <c r="O8" i="3"/>
  <c r="K8" i="3"/>
  <c r="K37" i="3" s="1"/>
  <c r="M7" i="3"/>
  <c r="O6" i="3"/>
  <c r="N5" i="3"/>
  <c r="L6" i="3"/>
  <c r="K7" i="3"/>
  <c r="K17" i="3" s="1"/>
  <c r="K18" i="3" s="1"/>
  <c r="J8" i="3"/>
  <c r="J9" i="3"/>
  <c r="O9" i="3"/>
  <c r="E7" i="5"/>
  <c r="E5" i="5"/>
  <c r="F8" i="5"/>
  <c r="F6" i="5"/>
  <c r="G6" i="5" s="1"/>
  <c r="F4" i="5"/>
  <c r="F9" i="5" s="1"/>
  <c r="F5" i="5"/>
  <c r="E8" i="5"/>
  <c r="F7" i="5"/>
  <c r="E4" i="5"/>
  <c r="E9" i="5" s="1"/>
  <c r="E6" i="5"/>
  <c r="H43" i="3"/>
  <c r="L51" i="3" s="1"/>
  <c r="I44" i="3"/>
  <c r="G46" i="3"/>
  <c r="N44" i="3" s="1"/>
  <c r="L60" i="3" s="1"/>
  <c r="G6" i="4"/>
  <c r="H7" i="4"/>
  <c r="F9" i="4"/>
  <c r="G10" i="4"/>
  <c r="K6" i="4"/>
  <c r="L7" i="4"/>
  <c r="J9" i="4"/>
  <c r="K10" i="4"/>
  <c r="G12" i="4" s="1"/>
  <c r="L29" i="4"/>
  <c r="L30" i="4"/>
  <c r="M31" i="4"/>
  <c r="N32" i="4"/>
  <c r="J64" i="4"/>
  <c r="J66" i="4"/>
  <c r="I68" i="4"/>
  <c r="F31" i="5"/>
  <c r="F29" i="5"/>
  <c r="E28" i="5"/>
  <c r="E31" i="5"/>
  <c r="E29" i="5"/>
  <c r="E32" i="5"/>
  <c r="O57" i="5"/>
  <c r="N56" i="5"/>
  <c r="M55" i="5"/>
  <c r="O53" i="5"/>
  <c r="N57" i="5"/>
  <c r="M56" i="5"/>
  <c r="O54" i="5"/>
  <c r="N53" i="5"/>
  <c r="O55" i="5"/>
  <c r="M30" i="4"/>
  <c r="N31" i="4"/>
  <c r="L33" i="4"/>
  <c r="F28" i="5"/>
  <c r="F32" i="5"/>
  <c r="N31" i="5"/>
  <c r="M54" i="5"/>
  <c r="O56" i="5"/>
  <c r="I42" i="3"/>
  <c r="L55" i="3" s="1"/>
  <c r="N55" i="3" s="1"/>
  <c r="G44" i="3"/>
  <c r="L45" i="3" s="1"/>
  <c r="H45" i="3"/>
  <c r="F6" i="4"/>
  <c r="F7" i="4"/>
  <c r="G8" i="4"/>
  <c r="H9" i="4"/>
  <c r="J6" i="4"/>
  <c r="J7" i="4"/>
  <c r="K8" i="4"/>
  <c r="L9" i="4"/>
  <c r="M29" i="4"/>
  <c r="N30" i="4"/>
  <c r="L32" i="4"/>
  <c r="M33" i="4"/>
  <c r="I64" i="4"/>
  <c r="J65" i="4"/>
  <c r="L90" i="4"/>
  <c r="K89" i="4"/>
  <c r="J88" i="4"/>
  <c r="J87" i="4"/>
  <c r="L88" i="4"/>
  <c r="K90" i="4"/>
  <c r="E30" i="5"/>
  <c r="O28" i="5"/>
  <c r="N54" i="5"/>
  <c r="M57" i="5"/>
  <c r="G7" i="4"/>
  <c r="H8" i="4"/>
  <c r="K7" i="4"/>
  <c r="L8" i="4"/>
  <c r="N29" i="4"/>
  <c r="L31" i="4"/>
  <c r="M32" i="4"/>
  <c r="K68" i="4"/>
  <c r="J67" i="4"/>
  <c r="I66" i="4"/>
  <c r="K64" i="4"/>
  <c r="K65" i="4"/>
  <c r="K67" i="4"/>
  <c r="G133" i="4"/>
  <c r="K115" i="4" s="1"/>
  <c r="K117" i="4" s="1"/>
  <c r="K120" i="4" s="1"/>
  <c r="F30" i="5"/>
  <c r="G30" i="5" s="1"/>
  <c r="N32" i="5"/>
  <c r="N30" i="5"/>
  <c r="O31" i="5"/>
  <c r="O29" i="5"/>
  <c r="N28" i="5"/>
  <c r="N33" i="5" s="1"/>
  <c r="M53" i="5"/>
  <c r="M58" i="5" s="1"/>
  <c r="M59" i="5" s="1"/>
  <c r="N55" i="5"/>
  <c r="P55" i="5" s="1"/>
  <c r="E53" i="5" a="1"/>
  <c r="F77" i="5"/>
  <c r="F79" i="5"/>
  <c r="G79" i="5" s="1"/>
  <c r="F81" i="5"/>
  <c r="N78" i="5"/>
  <c r="N80" i="5"/>
  <c r="E78" i="5"/>
  <c r="E82" i="5" s="1"/>
  <c r="E83" i="5" s="1"/>
  <c r="E80" i="5"/>
  <c r="N77" i="5"/>
  <c r="N82" i="5" s="1"/>
  <c r="O78" i="5"/>
  <c r="O80" i="5"/>
  <c r="N79" i="5"/>
  <c r="N81" i="5"/>
  <c r="E79" i="5"/>
  <c r="O77" i="5"/>
  <c r="O79" i="5"/>
  <c r="P79" i="5" s="1"/>
  <c r="P82" i="5" l="1"/>
  <c r="O82" i="5"/>
  <c r="O83" i="5" s="1"/>
  <c r="G82" i="5"/>
  <c r="F82" i="5"/>
  <c r="F83" i="5" s="1"/>
  <c r="I47" i="4"/>
  <c r="I46" i="4"/>
  <c r="I43" i="4"/>
  <c r="I42" i="4"/>
  <c r="I39" i="4"/>
  <c r="I38" i="4"/>
  <c r="I37" i="4"/>
  <c r="I35" i="4"/>
  <c r="I33" i="4"/>
  <c r="I31" i="4"/>
  <c r="I49" i="4"/>
  <c r="I48" i="4"/>
  <c r="I45" i="4"/>
  <c r="I44" i="4"/>
  <c r="I41" i="4"/>
  <c r="I40" i="4"/>
  <c r="I36" i="4"/>
  <c r="I34" i="4"/>
  <c r="I32" i="4"/>
  <c r="I30" i="4"/>
  <c r="G33" i="5"/>
  <c r="F33" i="5"/>
  <c r="F34" i="5" s="1"/>
  <c r="E33" i="5"/>
  <c r="E34" i="5" s="1"/>
  <c r="L57" i="3"/>
  <c r="N57" i="3"/>
  <c r="K35" i="3"/>
  <c r="M35" i="3"/>
  <c r="M13" i="3"/>
  <c r="M11" i="3" s="1"/>
  <c r="K33" i="3"/>
  <c r="K14" i="3"/>
  <c r="M33" i="3"/>
  <c r="N42" i="3"/>
  <c r="L46" i="3" s="1"/>
  <c r="L54" i="3"/>
  <c r="N54" i="3" s="1"/>
  <c r="O35" i="2"/>
  <c r="N83" i="5"/>
  <c r="N34" i="5"/>
  <c r="N58" i="5"/>
  <c r="N59" i="5" s="1"/>
  <c r="O58" i="5"/>
  <c r="O59" i="5" s="1"/>
  <c r="M34" i="3"/>
  <c r="K34" i="3"/>
  <c r="K38" i="3"/>
  <c r="J95" i="2"/>
  <c r="K95" i="2"/>
  <c r="N78" i="2"/>
  <c r="F57" i="5"/>
  <c r="F55" i="5"/>
  <c r="G55" i="5" s="1"/>
  <c r="F53" i="5"/>
  <c r="E57" i="5"/>
  <c r="E55" i="5"/>
  <c r="E54" i="5"/>
  <c r="F56" i="5"/>
  <c r="E53" i="5"/>
  <c r="E58" i="5" s="1"/>
  <c r="E59" i="5" s="1"/>
  <c r="E56" i="5"/>
  <c r="F54" i="5"/>
  <c r="E10" i="5"/>
  <c r="F10" i="5"/>
  <c r="O10" i="5"/>
  <c r="M10" i="5"/>
  <c r="P33" i="5"/>
  <c r="O33" i="5"/>
  <c r="O34" i="5" s="1"/>
  <c r="M36" i="3"/>
  <c r="K36" i="3"/>
  <c r="K31" i="3"/>
  <c r="M31" i="3"/>
  <c r="L48" i="3"/>
  <c r="L49" i="3" s="1"/>
  <c r="M32" i="3"/>
  <c r="K32" i="3"/>
  <c r="K116" i="2"/>
  <c r="I95" i="2"/>
  <c r="N9" i="5"/>
  <c r="N10" i="5" s="1"/>
  <c r="F58" i="5" l="1"/>
  <c r="F59" i="5" s="1"/>
  <c r="F61" i="4"/>
  <c r="J32" i="4"/>
  <c r="H32" i="4" s="1"/>
  <c r="E61" i="4"/>
  <c r="F70" i="4"/>
  <c r="E70" i="4"/>
  <c r="J41" i="4"/>
  <c r="H41" i="4" s="1"/>
  <c r="F78" i="4"/>
  <c r="E78" i="4"/>
  <c r="J49" i="4"/>
  <c r="H49" i="4" s="1"/>
  <c r="F66" i="4"/>
  <c r="J37" i="4"/>
  <c r="H37" i="4" s="1"/>
  <c r="E66" i="4"/>
  <c r="F72" i="4"/>
  <c r="E72" i="4"/>
  <c r="J43" i="4"/>
  <c r="H43" i="4" s="1"/>
  <c r="J40" i="4"/>
  <c r="H40" i="4" s="1"/>
  <c r="F69" i="4"/>
  <c r="E69" i="4"/>
  <c r="F64" i="4"/>
  <c r="J35" i="4"/>
  <c r="H35" i="4" s="1"/>
  <c r="E64" i="4"/>
  <c r="L47" i="3"/>
  <c r="E63" i="4"/>
  <c r="J34" i="4"/>
  <c r="H34" i="4" s="1"/>
  <c r="F63" i="4"/>
  <c r="J44" i="4"/>
  <c r="H44" i="4" s="1"/>
  <c r="F73" i="4"/>
  <c r="E73" i="4"/>
  <c r="F60" i="4"/>
  <c r="E60" i="4"/>
  <c r="J31" i="4"/>
  <c r="H31" i="4" s="1"/>
  <c r="J38" i="4"/>
  <c r="H38" i="4" s="1"/>
  <c r="F67" i="4"/>
  <c r="E67" i="4"/>
  <c r="J46" i="4"/>
  <c r="H46" i="4" s="1"/>
  <c r="F75" i="4"/>
  <c r="E75" i="4"/>
  <c r="K15" i="3"/>
  <c r="K16" i="3"/>
  <c r="F59" i="4"/>
  <c r="E59" i="4"/>
  <c r="I58" i="4" s="1" a="1"/>
  <c r="J30" i="4"/>
  <c r="J48" i="4"/>
  <c r="H48" i="4" s="1"/>
  <c r="F77" i="4"/>
  <c r="E77" i="4"/>
  <c r="J42" i="4"/>
  <c r="H42" i="4" s="1"/>
  <c r="E71" i="4"/>
  <c r="F71" i="4"/>
  <c r="F65" i="4"/>
  <c r="E65" i="4"/>
  <c r="J36" i="4"/>
  <c r="H36" i="4" s="1"/>
  <c r="F74" i="4"/>
  <c r="J45" i="4"/>
  <c r="H45" i="4" s="1"/>
  <c r="E74" i="4"/>
  <c r="F62" i="4"/>
  <c r="J33" i="4"/>
  <c r="H33" i="4" s="1"/>
  <c r="E62" i="4"/>
  <c r="F68" i="4"/>
  <c r="E68" i="4"/>
  <c r="J39" i="4"/>
  <c r="H39" i="4" s="1"/>
  <c r="F76" i="4"/>
  <c r="E76" i="4"/>
  <c r="J47" i="4"/>
  <c r="H47" i="4" s="1"/>
  <c r="M62" i="4" l="1"/>
  <c r="I62" i="4"/>
  <c r="J61" i="4"/>
  <c r="K60" i="4"/>
  <c r="L59" i="4"/>
  <c r="M58" i="4"/>
  <c r="K62" i="4"/>
  <c r="K61" i="4"/>
  <c r="J60" i="4"/>
  <c r="J59" i="4"/>
  <c r="J58" i="4"/>
  <c r="J62" i="4"/>
  <c r="C80" i="4" s="1"/>
  <c r="C81" i="4" s="1"/>
  <c r="I61" i="4"/>
  <c r="I60" i="4"/>
  <c r="I59" i="4"/>
  <c r="I58" i="4"/>
  <c r="M61" i="4"/>
  <c r="M60" i="4"/>
  <c r="M59" i="4"/>
  <c r="L58" i="4"/>
  <c r="L62" i="4"/>
  <c r="L61" i="4"/>
  <c r="L60" i="4"/>
  <c r="K59" i="4"/>
  <c r="K58" i="4"/>
  <c r="J50" i="4"/>
  <c r="H30" i="4"/>
  <c r="L37" i="4" s="1" a="1"/>
  <c r="P41" i="4" l="1"/>
  <c r="L41" i="4"/>
  <c r="O40" i="4"/>
  <c r="R39" i="4"/>
  <c r="N39" i="4"/>
  <c r="N41" i="4"/>
  <c r="P40" i="4"/>
  <c r="Q39" i="4"/>
  <c r="L39" i="4"/>
  <c r="O38" i="4"/>
  <c r="R37" i="4"/>
  <c r="N37" i="4"/>
  <c r="R41" i="4"/>
  <c r="M41" i="4"/>
  <c r="N40" i="4"/>
  <c r="P39" i="4"/>
  <c r="R38" i="4"/>
  <c r="N38" i="4"/>
  <c r="Q37" i="4"/>
  <c r="M37" i="4"/>
  <c r="Q41" i="4"/>
  <c r="R40" i="4"/>
  <c r="M40" i="4"/>
  <c r="O39" i="4"/>
  <c r="Q38" i="4"/>
  <c r="M38" i="4"/>
  <c r="P37" i="4"/>
  <c r="O41" i="4"/>
  <c r="Q40" i="4"/>
  <c r="L40" i="4"/>
  <c r="M39" i="4"/>
  <c r="P38" i="4"/>
  <c r="L38" i="4"/>
  <c r="O37" i="4"/>
  <c r="L37" i="4"/>
  <c r="F51" i="4" l="1"/>
  <c r="F52" i="4" s="1"/>
</calcChain>
</file>

<file path=xl/sharedStrings.xml><?xml version="1.0" encoding="utf-8"?>
<sst xmlns="http://schemas.openxmlformats.org/spreadsheetml/2006/main" count="784" uniqueCount="219">
  <si>
    <t>Y- Liczba bażantów w Polsce w tys</t>
  </si>
  <si>
    <t>X1-Liczba odstrzelonych bażantów</t>
  </si>
  <si>
    <t>X2-Powierzchnia obszarów prawnie chronionych w ha</t>
  </si>
  <si>
    <t>X3-Poweierzchnia pożarów łąk i pastwiskw ha</t>
  </si>
  <si>
    <t>X4-Liczba pożarów łąk i pastwisk</t>
  </si>
  <si>
    <t>X5-Nakłady finansowe na ochronę środowiska w tys zł</t>
  </si>
  <si>
    <t>Y</t>
  </si>
  <si>
    <t>x1</t>
  </si>
  <si>
    <t>x2</t>
  </si>
  <si>
    <t>x3</t>
  </si>
  <si>
    <t>x4</t>
  </si>
  <si>
    <t>X5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</si>
  <si>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</si>
  <si>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</si>
  <si>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</si>
  <si>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</si>
  <si>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</si>
  <si>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</si>
  <si>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</si>
  <si>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</si>
  <si>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</si>
  <si>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</si>
  <si>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</si>
  <si>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</si>
  <si>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</si>
  <si>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</si>
  <si>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</si>
  <si>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</si>
  <si>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</si>
  <si>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</si>
  <si>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</si>
  <si>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</si>
  <si>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https://bdl.stat.gov.pl/bdl/dane/podgrup/tablica</t>
  </si>
  <si>
    <t>Kategoria:</t>
  </si>
  <si>
    <t>LEŚNICTWO I ŁOWIECTWO</t>
  </si>
  <si>
    <t>Informacje w zakresie leśnictwa prezentowane są w podziale na lasy publiczne: stanowiące własność Skarbu Państwa, w tym w zarządzie Lasów Państwowych oraz lasy prywatne. Powierzchnia gruntów leśnych obejmuje powierzchnię lasów oraz gruntów związanych z gospodarką leśną.</t>
  </si>
  <si>
    <t>Grupa:</t>
  </si>
  <si>
    <t>ZWIERZĘTA ŁOWNE</t>
  </si>
  <si>
    <t>Źródło: dane Agencji Nieruchomości Rolnych, Dyrekcji Generalnej Lasów Państwowych, Polskiego Związku Łowieckiego  oraz innych jednostek prowadzących ośrodki hodowli zwierzyny.</t>
  </si>
  <si>
    <t>Podgrupa:</t>
  </si>
  <si>
    <t>Niektóre zwierzęta łowne</t>
  </si>
  <si>
    <t>Stan zwierząt w dniu 10 marca. Dane szacunkowe, dotyczą populacji wiosennych. Do 2008 roku stan zwierząt w dniu 31 marca. Do 2011 roku dane o stanie według województw oraz regionów nie obejmowały ośrodków hodowli zwierzyny zarządzanych przez Lasy Państwowe. Do 2011 r. dane nie obejmują ośrodków hodowli zwierzyny prowadzonych przez instytucje naukowo-dydaktyczne i inne uprawnione jednostki. Odstrzał w łowieckim roku gospodarczym liczonym od 1 kwietnia danego roku do 31 marca roku następnego. W 2010 roku dane o odstrzale według województw oraz regionów nie obejmowały ośrodków hodowli zwierzyny zarządzanych przez Lasy Państwowe oraz dane o odstrzale kaczek dotyczyły wyłącznie obwodów wydzierżawionych. Od 2010 roku odstrzał łosi na podstawie zgody Ministra Środowiska, w ośrodkach hodowli zwierzyny zarządzanych przez Lasy Państwowe - na Polskę ogółem. Źródło: dane Agencji Nieruchomości Rolnych, Dyrekcji Generalnej Lasów Państwowych, Polskiego Związku Łowieckiego oraz innych jednostek prowadzących ośrodki hodowli zwierzyny.</t>
  </si>
  <si>
    <t>Data ostatniej aktualizacji:</t>
  </si>
  <si>
    <t>Wymiary:</t>
  </si>
  <si>
    <t>Stan liczebny; Zwierzęta łowne;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</si>
  <si>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</si>
  <si>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</si>
  <si>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</si>
  <si>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</si>
  <si>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</si>
  <si>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bażanty</t>
  </si>
  <si>
    <t>2000</t>
  </si>
  <si>
    <t>2001</t>
  </si>
  <si>
    <t>2002</t>
  </si>
  <si>
    <t>[tys. szt.]</t>
  </si>
  <si>
    <t>0000000</t>
  </si>
  <si>
    <t>POLSKA</t>
  </si>
  <si>
    <t>odstrzał w łowieckim roku gospodarczym</t>
  </si>
  <si>
    <t>[szt.]</t>
  </si>
  <si>
    <t xml:space="preserve"> 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</si>
  <si>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</si>
  <si>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</si>
  <si>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OCHRONA PRZYRODY I RÓŻNORODNOŚCI BIOLOGICZNEJ</t>
  </si>
  <si>
    <t>-</t>
  </si>
  <si>
    <t>Obszary prawnie chronione</t>
  </si>
  <si>
    <t>Powierzchnia obszarów prawnie chronionych ogółem dla Polski od 1995 r. w celu wyeliminowania podwójnego liczenia tej samej powierzchni nie uwzględnia rezerwatów przyrody, stanowisk dokumentacyjnych, użytków ekologicznych i zespołów przyrodniczo-krajobrazowych położonych w granicach parków krajobrazowych i obszarów chronionego krajobrazu. Dane dotyczące powierzchni o szczególnych walorach przyrodniczych prawnie chronionej nie uwzględniają informacji o obszarach Natura 2000. Dane z zakresu form ochrony przyrody dotyczą stanu na 31 grudnia. Od 2009 r. w związku z wejściem w życie ustawy z dnia 23 stycznia 2009 r. o zmianie niektórych ustaw w związku ze zmianami w organizacji i podziale zadań administracji publicznej w województwie (Dz.U. 2009 nr 92 poz. 753), wprowadzającej m.in. zmiany do ustawy o ochronie przyrody, zmieniły się kompetencje części jednostek odnośnie powoływania niektórych form ochrony przyrody. Parki krajobrazowe oraz obszary chronionego krajobrazu przeszły w kompetencje sejmików województw i to one wykazują od 2009 r. wszystkie te obszary na sprawozdaniu OS-7. Stanowiska dokumentacyjne, użytki ekologiczne, zespoły przyrodniczo krajobrazowe, pomniki przyrody przeszły w kompetencje urzędów gmin i to one wykazują od 2009 r. ww. formy ochrony na sprawozdaniu SG-01. Od 1999 r. dla gmin miejsko-wiejskich sporządzane jest jedno sprawozdanie, brak informacji dla części miejskiej i części wiejskiej.</t>
  </si>
  <si>
    <t>Rodzaje obszarów; Rok</t>
  </si>
  <si>
    <t>1996</t>
  </si>
  <si>
    <t>1997</t>
  </si>
  <si>
    <t>1998</t>
  </si>
  <si>
    <t>1999</t>
  </si>
  <si>
    <t>[ha]</t>
  </si>
  <si>
    <t>OCHRONA POWIERZCHNI ZIEMI I GLEBY</t>
  </si>
  <si>
    <t>Pożary upraw rolnych łąk, rżysk i nieużytków</t>
  </si>
  <si>
    <t>Źródło: dane Komendy Głównej Państwowej Straży Pożarnej.</t>
  </si>
  <si>
    <t>Pożary; Rodzaje gruntów; Rok</t>
  </si>
  <si>
    <t>powierzchnia</t>
  </si>
  <si>
    <t>pożary</t>
  </si>
  <si>
    <t>NAKŁADY NA ŚRODKI TRWAŁE SŁUŻĄCE OCHRONIE ŚRODOWISKA I GOSPODARCE WODNEJ WG ŹRÓDEŁ FINANSOWANIA</t>
  </si>
  <si>
    <t>Nakłady na środki trwałe służące ochronie środowiska i gospodarce wodnej prezentowane są według lokalizacji inwestycji.</t>
  </si>
  <si>
    <t>Nakłady na środki trwałe służące ochronie środowiska i gospodarce wodnej</t>
  </si>
  <si>
    <t>Rodzaje wydatków; Źródła finansowania; Rok</t>
  </si>
  <si>
    <t>na ochronę środowiska</t>
  </si>
  <si>
    <t>[tys. zł]</t>
  </si>
  <si>
    <t>Regresja krokowa w przód</t>
  </si>
  <si>
    <t>t1</t>
  </si>
  <si>
    <t>t2</t>
  </si>
  <si>
    <t>t3</t>
  </si>
  <si>
    <t>x5</t>
  </si>
  <si>
    <t>t alfa</t>
  </si>
  <si>
    <t>t4</t>
  </si>
  <si>
    <t>t5</t>
  </si>
  <si>
    <t>Regresja krokowa w wstecz</t>
  </si>
  <si>
    <t xml:space="preserve">t alLFA </t>
  </si>
  <si>
    <t>Yt=-0,0009X1+0,0005X2-0,0024X3+0,0016X4+0,00001X5-5102,897</t>
  </si>
  <si>
    <t>K=</t>
  </si>
  <si>
    <t>OSK</t>
  </si>
  <si>
    <t>T=</t>
  </si>
  <si>
    <t>SKR</t>
  </si>
  <si>
    <t>T-K=</t>
  </si>
  <si>
    <t>RSK</t>
  </si>
  <si>
    <r>
      <rPr>
        <b/>
        <sz val="11"/>
        <color rgb="FF000000"/>
        <rFont val="Calibri, Arial"/>
      </rPr>
      <t>R</t>
    </r>
    <r>
      <rPr>
        <b/>
        <vertAlign val="superscript"/>
        <sz val="11"/>
        <color theme="1"/>
        <rFont val="Calibri"/>
      </rPr>
      <t>2</t>
    </r>
  </si>
  <si>
    <t>adj R2</t>
  </si>
  <si>
    <r>
      <rPr>
        <b/>
        <sz val="11"/>
        <color theme="1"/>
        <rFont val="Symbol"/>
      </rPr>
      <t>f</t>
    </r>
    <r>
      <rPr>
        <b/>
        <vertAlign val="superscript"/>
        <sz val="11"/>
        <color theme="1"/>
        <rFont val="Calibri"/>
      </rPr>
      <t>2</t>
    </r>
  </si>
  <si>
    <t>s=</t>
  </si>
  <si>
    <t>V=</t>
  </si>
  <si>
    <r>
      <rPr>
        <b/>
        <sz val="11"/>
        <color rgb="FF000000"/>
        <rFont val="Calibri, Arial"/>
      </rPr>
      <t>d</t>
    </r>
    <r>
      <rPr>
        <b/>
        <vertAlign val="subscript"/>
        <sz val="11"/>
        <color theme="1"/>
        <rFont val="Calibri"/>
      </rPr>
      <t>1</t>
    </r>
  </si>
  <si>
    <r>
      <rPr>
        <b/>
        <sz val="11"/>
        <color rgb="FF000000"/>
        <rFont val="Calibri, Arial"/>
      </rPr>
      <t>d</t>
    </r>
    <r>
      <rPr>
        <b/>
        <vertAlign val="subscript"/>
        <sz val="11"/>
        <color theme="1"/>
        <rFont val="Calibri"/>
      </rPr>
      <t>2</t>
    </r>
  </si>
  <si>
    <t>d3</t>
  </si>
  <si>
    <t>d4</t>
  </si>
  <si>
    <t>d5</t>
  </si>
  <si>
    <t>d6</t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</si>
  <si>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Calibri"/>
      </rPr>
      <t>1</t>
    </r>
  </si>
  <si>
    <t>p1-wartość</t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</si>
  <si>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Calibri"/>
      </rPr>
      <t>2</t>
    </r>
  </si>
  <si>
    <t>p2-wartość</t>
  </si>
  <si>
    <t>p3-wartość</t>
  </si>
  <si>
    <t>p4-wartość</t>
  </si>
  <si>
    <t>p5-wartość</t>
  </si>
  <si>
    <t>t6</t>
  </si>
  <si>
    <t>p6-wartość</t>
  </si>
  <si>
    <t>ud1</t>
  </si>
  <si>
    <t>ug1</t>
  </si>
  <si>
    <t>ud2</t>
  </si>
  <si>
    <t>ug2</t>
  </si>
  <si>
    <t>ud3</t>
  </si>
  <si>
    <t>ug3</t>
  </si>
  <si>
    <t>ud4</t>
  </si>
  <si>
    <t>ug4</t>
  </si>
  <si>
    <t>ud5</t>
  </si>
  <si>
    <t>ug5</t>
  </si>
  <si>
    <t>ud6</t>
  </si>
  <si>
    <t>ug6</t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</si>
  <si>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Symbol"/>
      </rPr>
      <t>a</t>
    </r>
  </si>
  <si>
    <t>F</t>
  </si>
  <si>
    <t>F alfa</t>
  </si>
  <si>
    <r>
      <rPr>
        <b/>
        <sz val="11"/>
        <color rgb="FF000000"/>
        <rFont val="Calibri, Arial"/>
      </rPr>
      <t>R</t>
    </r>
    <r>
      <rPr>
        <b/>
        <vertAlign val="superscript"/>
        <sz val="11"/>
        <color theme="1"/>
        <rFont val="Calibri"/>
      </rPr>
      <t>2</t>
    </r>
  </si>
  <si>
    <r>
      <rPr>
        <b/>
        <sz val="11"/>
        <color theme="1"/>
        <rFont val="Symbol"/>
      </rPr>
      <t>f</t>
    </r>
    <r>
      <rPr>
        <b/>
        <vertAlign val="superscript"/>
        <sz val="11"/>
        <color theme="1"/>
        <rFont val="Calibri"/>
      </rPr>
      <t>2</t>
    </r>
  </si>
  <si>
    <r>
      <rPr>
        <b/>
        <sz val="11"/>
        <color rgb="FF000000"/>
        <rFont val="Calibri, Arial"/>
      </rPr>
      <t>d</t>
    </r>
    <r>
      <rPr>
        <b/>
        <vertAlign val="subscript"/>
        <sz val="11"/>
        <color theme="1"/>
        <rFont val="Calibri"/>
      </rPr>
      <t>1</t>
    </r>
  </si>
  <si>
    <r>
      <rPr>
        <b/>
        <sz val="11"/>
        <color rgb="FF000000"/>
        <rFont val="Calibri, Arial"/>
      </rPr>
      <t>d</t>
    </r>
    <r>
      <rPr>
        <b/>
        <vertAlign val="subscript"/>
        <sz val="11"/>
        <color theme="1"/>
        <rFont val="Calibri"/>
      </rPr>
      <t>2</t>
    </r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</si>
  <si>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Calibri"/>
      </rPr>
      <t>1</t>
    </r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</si>
  <si>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Calibri"/>
      </rPr>
      <t>2</t>
    </r>
  </si>
  <si>
    <r>
      <rPr>
        <b/>
        <sz val="11"/>
        <color rgb="FF000000"/>
        <rFont val="Calibri, Arial"/>
      </rPr>
      <t>t</t>
    </r>
    <r>
      <rPr>
        <b/>
        <vertAlign val="subscript"/>
        <sz val="11"/>
        <color theme="1"/>
        <rFont val="Symbol"/>
      </rPr>
      <t>a</t>
    </r>
  </si>
  <si>
    <t>Test Goldfelda-Quandta</t>
  </si>
  <si>
    <t>F empiryczne</t>
  </si>
  <si>
    <t>ist F</t>
  </si>
  <si>
    <t>Brak podstaw do odrzucenia hipotezy zerowej. Składniki losowe są homoskedastyczne.</t>
  </si>
  <si>
    <t>Test White'a</t>
  </si>
  <si>
    <t>X5^2</t>
  </si>
  <si>
    <t>X3^2</t>
  </si>
  <si>
    <t>X5X3</t>
  </si>
  <si>
    <t>et^2</t>
  </si>
  <si>
    <t>Yt</t>
  </si>
  <si>
    <t>et</t>
  </si>
  <si>
    <t>Istotność F</t>
  </si>
  <si>
    <t xml:space="preserve">Odrzucamy hipotezę zerową na rzecz alternatywnej. Składniki losowe są heteroskedatyczne. </t>
  </si>
  <si>
    <t>F krytyczne</t>
  </si>
  <si>
    <t>Test Reset</t>
  </si>
  <si>
    <t>Yt^2</t>
  </si>
  <si>
    <t>Yt^3</t>
  </si>
  <si>
    <t>Brak podstaw do odrzucenia hipotezy zerowej. Model ma postać liniową</t>
  </si>
  <si>
    <t>Test Durbina-Watsona</t>
  </si>
  <si>
    <t>(et-et-1)^2</t>
  </si>
  <si>
    <t>DW=</t>
  </si>
  <si>
    <t>alfa</t>
  </si>
  <si>
    <t>T</t>
  </si>
  <si>
    <t>K</t>
  </si>
  <si>
    <t>dL</t>
  </si>
  <si>
    <t>dU</t>
  </si>
  <si>
    <t>r (dw)=</t>
  </si>
  <si>
    <t>r (k)=</t>
  </si>
  <si>
    <t>r (wk)=</t>
  </si>
  <si>
    <t>Składniki losowe są skorelowane</t>
  </si>
  <si>
    <t>Test Jarque-Bera</t>
  </si>
  <si>
    <t>e</t>
  </si>
  <si>
    <t>e^2</t>
  </si>
  <si>
    <t>e^3</t>
  </si>
  <si>
    <t>e^4</t>
  </si>
  <si>
    <t>odch std</t>
  </si>
  <si>
    <t>S=</t>
  </si>
  <si>
    <t>JBT=</t>
  </si>
  <si>
    <t>Chikwadrat=</t>
  </si>
  <si>
    <t>IstotnoscChi=</t>
  </si>
  <si>
    <t>Brak podstaw do odrzucenia hipotezy zerowej. Skladniki losowe mają rozkład normalny.</t>
  </si>
  <si>
    <t>Dla X3- Powierzchnia pożarów łąk i pastwiskw ha</t>
  </si>
  <si>
    <t>Hiperbola</t>
  </si>
  <si>
    <t>Parabola</t>
  </si>
  <si>
    <t>X</t>
  </si>
  <si>
    <t>Z</t>
  </si>
  <si>
    <t>V</t>
  </si>
  <si>
    <t>t</t>
  </si>
  <si>
    <t>p</t>
  </si>
  <si>
    <t>Model pomocniczy:</t>
  </si>
  <si>
    <t>Ŷ=7581+92345,8*Z</t>
  </si>
  <si>
    <t>Ŷ=70718,7+-8698,3*X+312,3*Z</t>
  </si>
  <si>
    <t>Model oryginalny:</t>
  </si>
  <si>
    <t>Ŷ=7581+92345,8*1/X</t>
  </si>
  <si>
    <t>Ŷ=70718,7+-8698,3*X+312,3*X^2</t>
  </si>
  <si>
    <t>Wykładnicza</t>
  </si>
  <si>
    <t>Potęgowa</t>
  </si>
  <si>
    <t>lnY</t>
  </si>
  <si>
    <t>lnX</t>
  </si>
  <si>
    <t>LnY</t>
  </si>
  <si>
    <t>b1</t>
  </si>
  <si>
    <t>b0</t>
  </si>
  <si>
    <t>W=10,6-0,07*t</t>
  </si>
  <si>
    <t>W=11,1+-0,61Z</t>
  </si>
  <si>
    <t>Ŷ=39755,8*e -0,07 t</t>
  </si>
  <si>
    <t>Ŷ=68630,2*X -0,61</t>
  </si>
  <si>
    <t>Dla X5-Nakłady finansowe na ochronę środowiska w tys zł</t>
  </si>
  <si>
    <t>Ŷ=11423250+-826700,7 *1/X</t>
  </si>
  <si>
    <t>Ŷ=4179878,4+913703,4*X-27194*Z</t>
  </si>
  <si>
    <t>Ŷ=11423250+-826700,7 *Z</t>
  </si>
  <si>
    <t>Ŷ=4179878,4+913703,4*X-27194*X^2</t>
  </si>
  <si>
    <t>W=15,7+0,04*t</t>
  </si>
  <si>
    <t>W=15,4+0,31Z</t>
  </si>
  <si>
    <t>Ŷ=6273513,6*e0,04t</t>
  </si>
  <si>
    <t>Ŷ=4824222*X 0,31</t>
  </si>
  <si>
    <t>Prognoza dla 2023 roku: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</si>
</sst>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dd\.mm\.yyyy"/>
    <numFmt numFmtId="166" formatCode="#,##0.0000000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9"/>
      <color rgb="FF1F1F1F"/>
      <name val="&quot;Google Sans&quot;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</font>
    <font>
      <sz val="9"/>
      <color rgb="FF000000"/>
      <name val="&quot;Google Sans Mono&quot;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Symbol"/>
    </font>
    <font>
      <sz val="11"/>
      <color rgb="FF1F1F1F"/>
      <name val="&quot;Google Sans&quot;"/>
    </font>
    <font>
      <b/>
      <sz val="10"/>
      <color theme="1"/>
      <name val="Calibri"/>
    </font>
    <font>
      <sz val="10"/>
      <color theme="1"/>
      <name val="Calibri"/>
    </font>
    <font>
      <b/>
      <sz val="11"/>
      <color rgb="FF000000"/>
      <name val="Calibri, Arial"/>
    </font>
    <font>
      <b/>
      <vertAlign val="superscript"/>
      <sz val="11"/>
      <color theme="1"/>
      <name val="Calibri"/>
    </font>
    <font>
      <b/>
      <sz val="11"/>
      <color theme="1"/>
      <name val="Symbol"/>
    </font>
    <font>
      <b/>
      <vertAlign val="subscript"/>
      <sz val="11"/>
      <color theme="1"/>
      <name val="Calibri"/>
    </font>
    <font>
      <b/>
      <vertAlign val="subscript"/>
      <sz val="11"/>
      <color theme="1"/>
      <name val="Symbol"/>
    </font>
    <font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04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3" fillId="3" borderId="0" xfId="0" applyFont="1" applyFill="1" applyAlignment="1"/>
    <xf numFmtId="0" fontId="4" fillId="0" borderId="0" xfId="0" applyFont="1" applyAlignment="1"/>
    <xf numFmtId="165" fontId="1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165" fontId="2" fillId="0" borderId="0" xfId="0" applyNumberFormat="1" applyFont="1" applyAlignment="1"/>
    <xf numFmtId="0" fontId="2" fillId="0" borderId="0" xfId="0" applyFont="1" applyAlignment="1">
      <alignment vertical="top"/>
    </xf>
    <xf numFmtId="0" fontId="1" fillId="3" borderId="0" xfId="0" applyFont="1" applyFill="1" applyAlignment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1" fillId="2" borderId="0" xfId="0" applyFont="1" applyFill="1" applyAlignment="1"/>
    <xf numFmtId="0" fontId="2" fillId="2" borderId="1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2" fillId="5" borderId="4" xfId="0" applyNumberFormat="1" applyFont="1" applyFill="1" applyBorder="1" applyAlignment="1">
      <alignment horizontal="right"/>
    </xf>
    <xf numFmtId="3" fontId="2" fillId="5" borderId="4" xfId="0" applyNumberFormat="1" applyFont="1" applyFill="1" applyBorder="1" applyAlignment="1">
      <alignment horizontal="right"/>
    </xf>
    <xf numFmtId="0" fontId="1" fillId="0" borderId="0" xfId="0" applyFont="1"/>
    <xf numFmtId="4" fontId="2" fillId="5" borderId="4" xfId="0" applyNumberFormat="1" applyFont="1" applyFill="1" applyBorder="1" applyAlignment="1">
      <alignment horizontal="right"/>
    </xf>
    <xf numFmtId="0" fontId="1" fillId="6" borderId="0" xfId="0" applyFont="1" applyFill="1" applyAlignment="1"/>
    <xf numFmtId="0" fontId="1" fillId="6" borderId="0" xfId="0" applyFont="1" applyFill="1"/>
    <xf numFmtId="0" fontId="6" fillId="4" borderId="10" xfId="0" applyFont="1" applyFill="1" applyBorder="1" applyAlignment="1"/>
    <xf numFmtId="0" fontId="6" fillId="2" borderId="10" xfId="0" applyFont="1" applyFill="1" applyBorder="1" applyAlignme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2" fillId="5" borderId="10" xfId="0" applyNumberFormat="1" applyFont="1" applyFill="1" applyBorder="1" applyAlignment="1">
      <alignment horizontal="right"/>
    </xf>
    <xf numFmtId="3" fontId="2" fillId="5" borderId="10" xfId="0" applyNumberFormat="1" applyFont="1" applyFill="1" applyBorder="1" applyAlignment="1">
      <alignment horizontal="right"/>
    </xf>
    <xf numFmtId="4" fontId="2" fillId="5" borderId="10" xfId="0" applyNumberFormat="1" applyFont="1" applyFill="1" applyBorder="1" applyAlignment="1">
      <alignment horizontal="right"/>
    </xf>
    <xf numFmtId="164" fontId="2" fillId="5" borderId="0" xfId="0" applyNumberFormat="1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4" fontId="2" fillId="5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wrapText="1"/>
    </xf>
    <xf numFmtId="0" fontId="7" fillId="3" borderId="0" xfId="0" applyFont="1" applyFill="1"/>
    <xf numFmtId="164" fontId="2" fillId="5" borderId="12" xfId="0" applyNumberFormat="1" applyFont="1" applyFill="1" applyBorder="1" applyAlignment="1">
      <alignment horizontal="right"/>
    </xf>
    <xf numFmtId="3" fontId="2" fillId="5" borderId="7" xfId="0" applyNumberFormat="1" applyFont="1" applyFill="1" applyBorder="1" applyAlignment="1">
      <alignment horizontal="right"/>
    </xf>
    <xf numFmtId="164" fontId="2" fillId="5" borderId="7" xfId="0" applyNumberFormat="1" applyFont="1" applyFill="1" applyBorder="1" applyAlignment="1">
      <alignment horizontal="right"/>
    </xf>
    <xf numFmtId="164" fontId="2" fillId="5" borderId="13" xfId="0" applyNumberFormat="1" applyFont="1" applyFill="1" applyBorder="1" applyAlignment="1">
      <alignment horizontal="right"/>
    </xf>
    <xf numFmtId="0" fontId="1" fillId="7" borderId="0" xfId="0" applyFont="1" applyFill="1"/>
    <xf numFmtId="164" fontId="2" fillId="5" borderId="14" xfId="0" applyNumberFormat="1" applyFont="1" applyFill="1" applyBorder="1" applyAlignment="1">
      <alignment horizontal="right"/>
    </xf>
    <xf numFmtId="0" fontId="1" fillId="8" borderId="0" xfId="0" applyFont="1" applyFill="1"/>
    <xf numFmtId="0" fontId="8" fillId="9" borderId="11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2" fontId="1" fillId="0" borderId="0" xfId="0" applyNumberFormat="1" applyFont="1"/>
    <xf numFmtId="0" fontId="9" fillId="9" borderId="11" xfId="0" applyFont="1" applyFill="1" applyBorder="1" applyAlignment="1">
      <alignment horizontal="center"/>
    </xf>
    <xf numFmtId="10" fontId="1" fillId="0" borderId="0" xfId="0" applyNumberFormat="1" applyFont="1"/>
    <xf numFmtId="0" fontId="9" fillId="9" borderId="11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164" fontId="1" fillId="0" borderId="0" xfId="0" applyNumberFormat="1" applyFont="1"/>
    <xf numFmtId="3" fontId="1" fillId="0" borderId="0" xfId="0" applyNumberFormat="1" applyFo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2" fillId="2" borderId="7" xfId="0" applyFont="1" applyFill="1" applyBorder="1" applyAlignment="1">
      <alignment wrapText="1"/>
    </xf>
    <xf numFmtId="0" fontId="5" fillId="0" borderId="7" xfId="0" applyFont="1" applyBorder="1"/>
    <xf numFmtId="0" fontId="5" fillId="0" borderId="3" xfId="0" applyFont="1" applyBorder="1"/>
    <xf numFmtId="0" fontId="2" fillId="2" borderId="10" xfId="0" applyFont="1" applyFill="1" applyBorder="1" applyAlignment="1">
      <alignment wrapText="1"/>
    </xf>
    <xf numFmtId="0" fontId="5" fillId="0" borderId="10" xfId="0" applyFont="1" applyBorder="1"/>
    <xf numFmtId="0" fontId="5" fillId="0" borderId="1" xfId="0" applyFont="1" applyBorder="1"/>
    <xf numFmtId="0" fontId="2" fillId="2" borderId="5" xfId="0" applyFont="1" applyFill="1" applyBorder="1" applyAlignment="1">
      <alignment wrapText="1"/>
    </xf>
    <xf numFmtId="0" fontId="5" fillId="0" borderId="8" xfId="0" applyFont="1" applyBorder="1"/>
    <xf numFmtId="0" fontId="5" fillId="0" borderId="2" xfId="0" applyFont="1" applyBorder="1"/>
    <xf numFmtId="0" fontId="2" fillId="2" borderId="6" xfId="0" applyFont="1" applyFill="1" applyBorder="1" applyAlignment="1">
      <alignment wrapText="1"/>
    </xf>
    <xf numFmtId="0" fontId="5" fillId="0" borderId="9" xfId="0" applyFont="1" applyBorder="1"/>
    <xf numFmtId="0" fontId="1" fillId="3" borderId="15" xfId="0" applyFont="1" applyFill="1" applyBorder="1"/>
    <xf numFmtId="0" fontId="1" fillId="3" borderId="15" xfId="0" applyFont="1" applyFill="1" applyBorder="1" applyAlignment="1"/>
    <xf numFmtId="0" fontId="2" fillId="3" borderId="15" xfId="0" applyFont="1" applyFill="1" applyBorder="1" applyAlignment="1">
      <alignment wrapText="1"/>
    </xf>
    <xf numFmtId="0" fontId="0" fillId="0" borderId="15" xfId="0" applyFont="1" applyBorder="1" applyAlignment="1"/>
    <xf numFmtId="164" fontId="2" fillId="3" borderId="15" xfId="0" applyNumberFormat="1" applyFont="1" applyFill="1" applyBorder="1" applyAlignment="1">
      <alignment horizontal="right"/>
    </xf>
    <xf numFmtId="3" fontId="2" fillId="3" borderId="15" xfId="0" applyNumberFormat="1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1" fillId="0" borderId="15" xfId="0" applyFont="1" applyBorder="1"/>
    <xf numFmtId="3" fontId="2" fillId="3" borderId="15" xfId="0" applyNumberFormat="1" applyFont="1" applyFill="1" applyBorder="1" applyAlignment="1">
      <alignment wrapText="1"/>
    </xf>
    <xf numFmtId="166" fontId="2" fillId="3" borderId="15" xfId="0" applyNumberFormat="1" applyFont="1" applyFill="1" applyBorder="1" applyAlignment="1">
      <alignment horizontal="right"/>
    </xf>
    <xf numFmtId="0" fontId="1" fillId="0" borderId="15" xfId="0" applyFont="1" applyBorder="1" applyAlignment="1"/>
    <xf numFmtId="10" fontId="2" fillId="3" borderId="15" xfId="0" applyNumberFormat="1" applyFont="1" applyFill="1" applyBorder="1" applyAlignment="1">
      <alignment horizontal="right"/>
    </xf>
    <xf numFmtId="10" fontId="1" fillId="0" borderId="15" xfId="0" applyNumberFormat="1" applyFont="1" applyBorder="1"/>
    <xf numFmtId="0" fontId="7" fillId="3" borderId="15" xfId="0" applyFont="1" applyFill="1" applyBorder="1"/>
    <xf numFmtId="4" fontId="2" fillId="3" borderId="15" xfId="0" applyNumberFormat="1" applyFont="1" applyFill="1" applyBorder="1" applyAlignment="1">
      <alignment horizontal="right"/>
    </xf>
    <xf numFmtId="0" fontId="3" fillId="3" borderId="15" xfId="0" applyFont="1" applyFill="1" applyBorder="1" applyAlignment="1"/>
    <xf numFmtId="3" fontId="1" fillId="3" borderId="15" xfId="0" applyNumberFormat="1" applyFont="1" applyFill="1" applyBorder="1"/>
    <xf numFmtId="4" fontId="2" fillId="3" borderId="15" xfId="0" applyNumberFormat="1" applyFont="1" applyFill="1" applyBorder="1" applyAlignment="1"/>
    <xf numFmtId="0" fontId="3" fillId="0" borderId="15" xfId="0" applyFont="1" applyBorder="1" applyAlignment="1"/>
    <xf numFmtId="0" fontId="11" fillId="0" borderId="15" xfId="0" applyFont="1" applyBorder="1" applyAlignment="1"/>
    <xf numFmtId="164" fontId="2" fillId="0" borderId="15" xfId="0" applyNumberFormat="1" applyFont="1" applyBorder="1" applyAlignment="1">
      <alignment horizontal="right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0" fillId="0" borderId="0" xfId="0" applyFont="1" applyBorder="1" applyAlignment="1"/>
    <xf numFmtId="9" fontId="2" fillId="3" borderId="15" xfId="1" applyFont="1" applyFill="1" applyBorder="1" applyAlignment="1">
      <alignment horizontal="right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Hiperbola dla X3- Powierzchnia pożarów łąk i pastwiskw ha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Trendy!$A$4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yVal>
            <c:numRef>
              <c:f>Trendy!$A$5:$A$24</c:f>
              <c:numCache>
                <c:formatCode>#,##0</c:formatCode>
                <c:ptCount val="20"/>
                <c:pt idx="0">
                  <c:v>109624</c:v>
                </c:pt>
                <c:pt idx="1">
                  <c:v>39331</c:v>
                </c:pt>
                <c:pt idx="2">
                  <c:v>36149</c:v>
                </c:pt>
                <c:pt idx="3">
                  <c:v>28998</c:v>
                </c:pt>
                <c:pt idx="4">
                  <c:v>16652</c:v>
                </c:pt>
                <c:pt idx="5">
                  <c:v>19696</c:v>
                </c:pt>
                <c:pt idx="6">
                  <c:v>13031</c:v>
                </c:pt>
                <c:pt idx="7">
                  <c:v>9855</c:v>
                </c:pt>
                <c:pt idx="8">
                  <c:v>15691</c:v>
                </c:pt>
                <c:pt idx="9">
                  <c:v>39639</c:v>
                </c:pt>
                <c:pt idx="10">
                  <c:v>10640</c:v>
                </c:pt>
                <c:pt idx="11">
                  <c:v>23817</c:v>
                </c:pt>
                <c:pt idx="12">
                  <c:v>32513</c:v>
                </c:pt>
                <c:pt idx="13">
                  <c:v>9043</c:v>
                </c:pt>
                <c:pt idx="14">
                  <c:v>10140</c:v>
                </c:pt>
                <c:pt idx="15">
                  <c:v>12924</c:v>
                </c:pt>
                <c:pt idx="16">
                  <c:v>18903</c:v>
                </c:pt>
                <c:pt idx="17">
                  <c:v>18378</c:v>
                </c:pt>
                <c:pt idx="18">
                  <c:v>5072</c:v>
                </c:pt>
                <c:pt idx="19">
                  <c:v>13758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B8-4479-80FD-328AA655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538352"/>
        <c:axId val="259539336"/>
      </c:scatterChart>
      <c:valAx>
        <c:axId val="25953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539336"/>
        <c:crosses val="autoZero"/>
        <c:crossBetween val="midCat"/>
      </c:valAx>
      <c:valAx>
        <c:axId val="2595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53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Funkcja</a:t>
            </a:r>
            <a:r>
              <a:rPr lang="pl-PL" baseline="0"/>
              <a:t> potęgowa dla X5-Nakłady finansowe na ochronę środowiska w tys zł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Trendy!$I$77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605030621172354"/>
                  <c:y val="8.14621609798775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Trendy!$I$78:$I$97</c:f>
              <c:numCache>
                <c:formatCode>#\ ##0.0</c:formatCode>
                <c:ptCount val="20"/>
                <c:pt idx="0">
                  <c:v>5141415.5999999996</c:v>
                </c:pt>
                <c:pt idx="1">
                  <c:v>5337437.2</c:v>
                </c:pt>
                <c:pt idx="2">
                  <c:v>5986499.9000000004</c:v>
                </c:pt>
                <c:pt idx="3">
                  <c:v>6877759.2000000002</c:v>
                </c:pt>
                <c:pt idx="4">
                  <c:v>7520684.2000000002</c:v>
                </c:pt>
                <c:pt idx="5">
                  <c:v>8528558</c:v>
                </c:pt>
                <c:pt idx="6">
                  <c:v>10671926.9</c:v>
                </c:pt>
                <c:pt idx="7">
                  <c:v>10926206</c:v>
                </c:pt>
                <c:pt idx="8">
                  <c:v>12158205.199999999</c:v>
                </c:pt>
                <c:pt idx="9">
                  <c:v>10127805.800000001</c:v>
                </c:pt>
                <c:pt idx="10">
                  <c:v>10851199.199999999</c:v>
                </c:pt>
                <c:pt idx="11">
                  <c:v>14248455.4</c:v>
                </c:pt>
                <c:pt idx="12">
                  <c:v>15160046.4</c:v>
                </c:pt>
                <c:pt idx="13">
                  <c:v>6517035.4000000004</c:v>
                </c:pt>
                <c:pt idx="14">
                  <c:v>6825385</c:v>
                </c:pt>
                <c:pt idx="15">
                  <c:v>10392119.5</c:v>
                </c:pt>
                <c:pt idx="16">
                  <c:v>12415204.300000001</c:v>
                </c:pt>
                <c:pt idx="17">
                  <c:v>11439859.300000001</c:v>
                </c:pt>
                <c:pt idx="18">
                  <c:v>12376568.1</c:v>
                </c:pt>
                <c:pt idx="19">
                  <c:v>13925996.5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5-469C-905C-FA6620103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47736"/>
        <c:axId val="368847080"/>
      </c:scatterChart>
      <c:valAx>
        <c:axId val="36884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847080"/>
        <c:crosses val="autoZero"/>
        <c:crossBetween val="midCat"/>
      </c:valAx>
      <c:valAx>
        <c:axId val="368847080"/>
        <c:scaling>
          <c:orientation val="minMax"/>
          <c:min val="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884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542925</xdr:colOff>
      <xdr:row>2</xdr:row>
      <xdr:rowOff>85725</xdr:rowOff>
    </xdr:from>
    <xdr:to>
      <xdr:col>22</xdr:col>
      <xdr:colOff>85725</xdr:colOff>
      <xdr:row>16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314325</xdr:colOff>
      <xdr:row>74</xdr:row>
      <xdr:rowOff>161925</xdr:rowOff>
    </xdr:from>
    <xdr:to>
      <xdr:col>21</xdr:col>
      <xdr:colOff>695325</xdr:colOff>
      <xdr:row>89</xdr:row>
      <xdr:rowOff>66675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dl.stat.gov.pl/bdl/dane/podgrup/tablica" TargetMode="External"/><Relationship Id="rId2" Type="http://schemas.openxmlformats.org/officeDocument/2006/relationships/hyperlink" Target="https://bdl.stat.gov.pl/bdl/dane/podgrup/tablica" TargetMode="External"/><Relationship Id="rId1" Type="http://schemas.openxmlformats.org/officeDocument/2006/relationships/hyperlink" Target="https://bdl.stat.gov.pl/bdl/dane/podgrup/tablica" TargetMode="External"/><Relationship Id="rId5" Type="http://schemas.openxmlformats.org/officeDocument/2006/relationships/hyperlink" Target="https://bdl.stat.gov.pl/bdl/dane/podgrup/tablica" TargetMode="External"/><Relationship Id="rId4" Type="http://schemas.openxmlformats.org/officeDocument/2006/relationships/hyperlink" Target="https://bdl.stat.gov.pl/bdl/dane/podgrup/tablic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D147"/>
  <sheetViews>
    <sheetView workbookViewId="0"/>
  </sheetViews>
  <sheetFormatPr defaultColWidth="12.5703125" defaultRowHeight="15.75" customHeight="1"/>
  <sheetData>
    <row r="3" spans="1:30" ht="15.75" customHeight="1">
      <c r="A3" s="1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4"/>
      <c r="AA3" s="4"/>
      <c r="AB3" s="4"/>
      <c r="AC3" s="4"/>
      <c r="AD3" s="4"/>
    </row>
    <row r="4" spans="1:30">
      <c r="A4" s="1" t="s">
        <v>1</v>
      </c>
    </row>
    <row r="5" spans="1:30">
      <c r="A5" s="1" t="s">
        <v>2</v>
      </c>
    </row>
    <row r="6" spans="1:30" ht="15.75" customHeight="1">
      <c r="A6" s="1" t="s">
        <v>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1" t="s">
        <v>4</v>
      </c>
    </row>
    <row r="8" spans="1:30" ht="15.75" customHeight="1">
      <c r="A8" s="1" t="s">
        <v>5</v>
      </c>
      <c r="C8" s="5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C9" s="5"/>
      <c r="D9" s="3"/>
      <c r="E9" s="2"/>
      <c r="F9" s="3"/>
      <c r="G9" s="3"/>
      <c r="H9" s="3"/>
    </row>
    <row r="10" spans="1:30" ht="15.75" customHeight="1">
      <c r="C10" s="6"/>
      <c r="D10" s="7" t="s">
        <v>6</v>
      </c>
      <c r="E10" s="8" t="s">
        <v>7</v>
      </c>
      <c r="F10" s="9" t="s">
        <v>8</v>
      </c>
      <c r="G10" s="9" t="s">
        <v>9</v>
      </c>
      <c r="H10" s="9" t="s">
        <v>10</v>
      </c>
      <c r="I10" s="9" t="s">
        <v>11</v>
      </c>
    </row>
    <row r="11" spans="1:30" ht="15.75" customHeight="1">
      <c r="C11" s="10" t="s">
        <v>12</v>
      </c>
      <c r="D11" s="11">
        <v>314.89999999999998</v>
      </c>
      <c r="E11" s="12">
        <v>100755</v>
      </c>
      <c r="F11" s="11">
        <v>10173238.699999999</v>
      </c>
      <c r="G11" s="12">
        <v>109624</v>
      </c>
      <c r="H11" s="12">
        <v>61934</v>
      </c>
      <c r="I11" s="11">
        <v>5141415.5999999996</v>
      </c>
    </row>
    <row r="12" spans="1:30" ht="15.75" customHeight="1">
      <c r="C12" s="10" t="s">
        <v>13</v>
      </c>
      <c r="D12" s="11">
        <v>321.7</v>
      </c>
      <c r="E12" s="12">
        <v>96886</v>
      </c>
      <c r="F12" s="11">
        <v>10168394.300000001</v>
      </c>
      <c r="G12" s="12">
        <v>39331</v>
      </c>
      <c r="H12" s="12">
        <v>29314</v>
      </c>
      <c r="I12" s="11">
        <v>5337437.2</v>
      </c>
    </row>
    <row r="13" spans="1:30" ht="15.75" customHeight="1">
      <c r="C13" s="10" t="s">
        <v>14</v>
      </c>
      <c r="D13" s="11">
        <v>333.1</v>
      </c>
      <c r="E13" s="12">
        <v>102499</v>
      </c>
      <c r="F13" s="11">
        <v>10175896.699999999</v>
      </c>
      <c r="G13" s="12">
        <v>36149</v>
      </c>
      <c r="H13" s="12">
        <v>35626</v>
      </c>
      <c r="I13" s="11">
        <v>5986499.9000000004</v>
      </c>
    </row>
    <row r="14" spans="1:30" ht="15.75" customHeight="1">
      <c r="C14" s="10" t="s">
        <v>15</v>
      </c>
      <c r="D14" s="11">
        <v>361</v>
      </c>
      <c r="E14" s="12">
        <v>96200</v>
      </c>
      <c r="F14" s="11">
        <v>10042300.800000001</v>
      </c>
      <c r="G14" s="12">
        <v>28998</v>
      </c>
      <c r="H14" s="12">
        <v>26784</v>
      </c>
      <c r="I14" s="11">
        <v>6877759.2000000002</v>
      </c>
    </row>
    <row r="15" spans="1:30" ht="15.75" customHeight="1">
      <c r="C15" s="10" t="s">
        <v>16</v>
      </c>
      <c r="D15" s="11">
        <v>367.6</v>
      </c>
      <c r="E15" s="12">
        <v>112756</v>
      </c>
      <c r="F15" s="11">
        <v>10101478.6</v>
      </c>
      <c r="G15" s="12">
        <v>16652</v>
      </c>
      <c r="H15" s="12">
        <v>23419</v>
      </c>
      <c r="I15" s="11">
        <v>7520684.2000000002</v>
      </c>
    </row>
    <row r="16" spans="1:30" ht="15.75" customHeight="1">
      <c r="C16" s="10" t="s">
        <v>17</v>
      </c>
      <c r="D16" s="11">
        <v>412.7</v>
      </c>
      <c r="E16" s="12">
        <v>146657</v>
      </c>
      <c r="F16" s="11">
        <v>10101985.699999999</v>
      </c>
      <c r="G16" s="12">
        <v>19696</v>
      </c>
      <c r="H16" s="12">
        <v>26946</v>
      </c>
      <c r="I16" s="11">
        <v>8528558</v>
      </c>
    </row>
    <row r="17" spans="3:9" ht="15.75" customHeight="1">
      <c r="C17" s="10" t="s">
        <v>18</v>
      </c>
      <c r="D17" s="11">
        <v>462</v>
      </c>
      <c r="E17" s="12">
        <v>111132</v>
      </c>
      <c r="F17" s="11">
        <v>10103727.1</v>
      </c>
      <c r="G17" s="12">
        <v>13031</v>
      </c>
      <c r="H17" s="12">
        <v>26241</v>
      </c>
      <c r="I17" s="11">
        <v>10671926.9</v>
      </c>
    </row>
    <row r="18" spans="3:9" ht="15.75" customHeight="1">
      <c r="C18" s="10" t="s">
        <v>19</v>
      </c>
      <c r="D18" s="11">
        <v>462.9</v>
      </c>
      <c r="E18" s="12">
        <v>104165</v>
      </c>
      <c r="F18" s="11">
        <v>10140718.5</v>
      </c>
      <c r="G18" s="12">
        <v>9855</v>
      </c>
      <c r="H18" s="12">
        <v>19972</v>
      </c>
      <c r="I18" s="11">
        <v>10926206</v>
      </c>
    </row>
    <row r="19" spans="3:9" ht="15.75" customHeight="1">
      <c r="C19" s="10" t="s">
        <v>20</v>
      </c>
      <c r="D19" s="11">
        <v>458.5</v>
      </c>
      <c r="E19" s="12">
        <v>113208</v>
      </c>
      <c r="F19" s="11">
        <v>10146264.1</v>
      </c>
      <c r="G19" s="12">
        <v>15691</v>
      </c>
      <c r="H19" s="12">
        <v>30828</v>
      </c>
      <c r="I19" s="11">
        <v>12158205.199999999</v>
      </c>
    </row>
    <row r="20" spans="3:9" ht="15.75" customHeight="1">
      <c r="C20" s="10" t="s">
        <v>21</v>
      </c>
      <c r="D20" s="11">
        <v>457.9</v>
      </c>
      <c r="E20" s="12">
        <v>116946</v>
      </c>
      <c r="F20" s="11">
        <v>10147099.9</v>
      </c>
      <c r="G20" s="12">
        <v>39639</v>
      </c>
      <c r="H20" s="12">
        <v>46519</v>
      </c>
      <c r="I20" s="11">
        <v>10127805.800000001</v>
      </c>
    </row>
    <row r="21" spans="3:9" ht="15.75" customHeight="1">
      <c r="C21" s="10" t="s">
        <v>22</v>
      </c>
      <c r="D21" s="11">
        <v>484.7</v>
      </c>
      <c r="E21" s="12">
        <v>114601</v>
      </c>
      <c r="F21" s="13">
        <v>10164813.6</v>
      </c>
      <c r="G21" s="12">
        <v>10640</v>
      </c>
      <c r="H21" s="12">
        <v>20766</v>
      </c>
      <c r="I21" s="11">
        <v>10851199.199999999</v>
      </c>
    </row>
    <row r="22" spans="3:9" ht="15.75" customHeight="1">
      <c r="C22" s="10" t="s">
        <v>23</v>
      </c>
      <c r="D22" s="11">
        <v>481.7</v>
      </c>
      <c r="E22" s="12">
        <v>129165</v>
      </c>
      <c r="F22" s="13">
        <v>10165112.01</v>
      </c>
      <c r="G22" s="12">
        <v>23817</v>
      </c>
      <c r="H22" s="12">
        <v>32863</v>
      </c>
      <c r="I22" s="11">
        <v>14248455.4</v>
      </c>
    </row>
    <row r="23" spans="3:9" ht="15.75" customHeight="1">
      <c r="C23" s="10" t="s">
        <v>24</v>
      </c>
      <c r="D23" s="11">
        <v>521.4</v>
      </c>
      <c r="E23" s="12">
        <v>128533</v>
      </c>
      <c r="F23" s="13">
        <v>10175972.9</v>
      </c>
      <c r="G23" s="12">
        <v>32513</v>
      </c>
      <c r="H23" s="12">
        <v>47902</v>
      </c>
      <c r="I23" s="11">
        <v>15160046.4</v>
      </c>
    </row>
    <row r="24" spans="3:9" ht="15.75" customHeight="1">
      <c r="C24" s="10" t="s">
        <v>25</v>
      </c>
      <c r="D24" s="11">
        <v>526.20000000000005</v>
      </c>
      <c r="E24" s="12">
        <v>114588</v>
      </c>
      <c r="F24" s="13">
        <v>10167023.66</v>
      </c>
      <c r="G24" s="12">
        <v>9043</v>
      </c>
      <c r="H24" s="12">
        <v>20504</v>
      </c>
      <c r="I24" s="11">
        <v>6517035.4000000004</v>
      </c>
    </row>
    <row r="25" spans="3:9" ht="15.75" customHeight="1">
      <c r="C25" s="10" t="s">
        <v>26</v>
      </c>
      <c r="D25" s="11">
        <v>545.1</v>
      </c>
      <c r="E25" s="12">
        <v>102442</v>
      </c>
      <c r="F25" s="13">
        <v>10175600.82</v>
      </c>
      <c r="G25" s="12">
        <v>10140</v>
      </c>
      <c r="H25" s="12">
        <v>21599</v>
      </c>
      <c r="I25" s="11">
        <v>6825385</v>
      </c>
    </row>
    <row r="26" spans="3:9" ht="15.75" customHeight="1">
      <c r="C26" s="10" t="s">
        <v>27</v>
      </c>
      <c r="D26" s="11">
        <v>525.6</v>
      </c>
      <c r="E26" s="12">
        <v>102895</v>
      </c>
      <c r="F26" s="13">
        <v>10182355.75</v>
      </c>
      <c r="G26" s="12">
        <v>12924</v>
      </c>
      <c r="H26" s="12">
        <v>24351</v>
      </c>
      <c r="I26" s="11">
        <v>10392119.5</v>
      </c>
    </row>
    <row r="27" spans="3:9" ht="15.75" customHeight="1">
      <c r="C27" s="10" t="s">
        <v>28</v>
      </c>
      <c r="D27" s="11">
        <v>534.79999999999995</v>
      </c>
      <c r="E27" s="12">
        <v>76361</v>
      </c>
      <c r="F27" s="13">
        <v>10107332.939999999</v>
      </c>
      <c r="G27" s="12">
        <v>18903</v>
      </c>
      <c r="H27" s="12">
        <v>31835</v>
      </c>
      <c r="I27" s="11">
        <v>12415204.300000001</v>
      </c>
    </row>
    <row r="28" spans="3:9" ht="15.75" customHeight="1">
      <c r="C28" s="10" t="s">
        <v>29</v>
      </c>
      <c r="D28" s="11">
        <v>525.79999999999995</v>
      </c>
      <c r="E28" s="12">
        <v>88688</v>
      </c>
      <c r="F28" s="13">
        <v>10106401.24</v>
      </c>
      <c r="G28" s="12">
        <v>18378</v>
      </c>
      <c r="H28" s="12">
        <v>24429</v>
      </c>
      <c r="I28" s="11">
        <v>11439859.300000001</v>
      </c>
    </row>
    <row r="29" spans="3:9" ht="15.75" customHeight="1">
      <c r="C29" s="10" t="s">
        <v>30</v>
      </c>
      <c r="D29" s="11">
        <v>546.20000000000005</v>
      </c>
      <c r="E29" s="12">
        <v>43182</v>
      </c>
      <c r="F29" s="13">
        <v>10109100.01</v>
      </c>
      <c r="G29" s="12">
        <v>5072</v>
      </c>
      <c r="H29" s="12">
        <v>12300</v>
      </c>
      <c r="I29" s="11">
        <v>12376568.1</v>
      </c>
    </row>
    <row r="30" spans="3:9" ht="15.75" customHeight="1">
      <c r="C30" s="10" t="s">
        <v>31</v>
      </c>
      <c r="D30" s="11">
        <v>537</v>
      </c>
      <c r="E30" s="12">
        <v>50484</v>
      </c>
      <c r="F30" s="13">
        <v>10113949.18</v>
      </c>
      <c r="G30" s="12">
        <v>13758</v>
      </c>
      <c r="H30" s="12">
        <v>26571</v>
      </c>
      <c r="I30" s="11">
        <v>13925996.5</v>
      </c>
    </row>
    <row r="34" spans="2:26">
      <c r="B34" s="14" t="s">
        <v>0</v>
      </c>
      <c r="D34" s="15" t="s">
        <v>32</v>
      </c>
    </row>
    <row r="36" spans="2:26">
      <c r="B36" s="1" t="s">
        <v>33</v>
      </c>
      <c r="C36" s="1" t="s">
        <v>34</v>
      </c>
    </row>
    <row r="37" spans="2:26">
      <c r="C37" s="1" t="s">
        <v>35</v>
      </c>
    </row>
    <row r="38" spans="2:26" ht="12.75">
      <c r="B38" s="1" t="s">
        <v>36</v>
      </c>
      <c r="C38" s="1" t="s">
        <v>37</v>
      </c>
    </row>
    <row r="39" spans="2:26" ht="12.75">
      <c r="C39" s="1" t="s">
        <v>38</v>
      </c>
    </row>
    <row r="40" spans="2:26" ht="12.75">
      <c r="B40" s="1" t="s">
        <v>39</v>
      </c>
      <c r="C40" s="1" t="s">
        <v>40</v>
      </c>
    </row>
    <row r="41" spans="2:26" ht="12.75">
      <c r="C41" s="1" t="s">
        <v>41</v>
      </c>
    </row>
    <row r="42" spans="2:26" ht="12.75">
      <c r="B42" s="1" t="s">
        <v>42</v>
      </c>
      <c r="C42" s="16">
        <v>45183</v>
      </c>
    </row>
    <row r="43" spans="2:26" ht="12.75">
      <c r="B43" s="1" t="s">
        <v>43</v>
      </c>
      <c r="C43" s="1" t="s">
        <v>44</v>
      </c>
    </row>
    <row r="44" spans="2:26" ht="12.75">
      <c r="B44" s="1" t="s">
        <v>45</v>
      </c>
      <c r="C44" s="1" t="s">
        <v>46</v>
      </c>
    </row>
    <row r="46" spans="2:26" ht="13.5">
      <c r="B46" s="73" t="s">
        <v>47</v>
      </c>
      <c r="C46" s="76" t="s">
        <v>48</v>
      </c>
      <c r="D46" s="67" t="s">
        <v>49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</row>
    <row r="47" spans="2:26" ht="13.5">
      <c r="B47" s="74"/>
      <c r="C47" s="77"/>
      <c r="D47" s="70" t="s">
        <v>50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</row>
    <row r="48" spans="2:26" ht="15">
      <c r="B48" s="74"/>
      <c r="C48" s="77"/>
      <c r="D48" s="17" t="s">
        <v>51</v>
      </c>
      <c r="E48" s="17" t="s">
        <v>52</v>
      </c>
      <c r="F48" s="17" t="s">
        <v>53</v>
      </c>
      <c r="G48" s="17" t="s">
        <v>12</v>
      </c>
      <c r="H48" s="17" t="s">
        <v>13</v>
      </c>
      <c r="I48" s="17" t="s">
        <v>14</v>
      </c>
      <c r="J48" s="17" t="s">
        <v>15</v>
      </c>
      <c r="K48" s="17" t="s">
        <v>16</v>
      </c>
      <c r="L48" s="17" t="s">
        <v>17</v>
      </c>
      <c r="M48" s="17" t="s">
        <v>18</v>
      </c>
      <c r="N48" s="17" t="s">
        <v>19</v>
      </c>
      <c r="O48" s="17" t="s">
        <v>20</v>
      </c>
      <c r="P48" s="17" t="s">
        <v>21</v>
      </c>
      <c r="Q48" s="17" t="s">
        <v>22</v>
      </c>
      <c r="R48" s="17" t="s">
        <v>23</v>
      </c>
      <c r="S48" s="17" t="s">
        <v>24</v>
      </c>
      <c r="T48" s="17" t="s">
        <v>25</v>
      </c>
      <c r="U48" s="17" t="s">
        <v>26</v>
      </c>
      <c r="V48" s="17" t="s">
        <v>27</v>
      </c>
      <c r="W48" s="17" t="s">
        <v>28</v>
      </c>
      <c r="X48" s="17" t="s">
        <v>29</v>
      </c>
      <c r="Y48" s="17" t="s">
        <v>30</v>
      </c>
      <c r="Z48" s="17" t="s">
        <v>31</v>
      </c>
    </row>
    <row r="49" spans="2:26" ht="15">
      <c r="B49" s="75"/>
      <c r="C49" s="72"/>
      <c r="D49" s="17" t="s">
        <v>54</v>
      </c>
      <c r="E49" s="17" t="s">
        <v>54</v>
      </c>
      <c r="F49" s="17" t="s">
        <v>54</v>
      </c>
      <c r="G49" s="17" t="s">
        <v>54</v>
      </c>
      <c r="H49" s="17" t="s">
        <v>54</v>
      </c>
      <c r="I49" s="17" t="s">
        <v>54</v>
      </c>
      <c r="J49" s="17" t="s">
        <v>54</v>
      </c>
      <c r="K49" s="17" t="s">
        <v>54</v>
      </c>
      <c r="L49" s="17" t="s">
        <v>54</v>
      </c>
      <c r="M49" s="17" t="s">
        <v>54</v>
      </c>
      <c r="N49" s="17" t="s">
        <v>54</v>
      </c>
      <c r="O49" s="17" t="s">
        <v>54</v>
      </c>
      <c r="P49" s="17" t="s">
        <v>54</v>
      </c>
      <c r="Q49" s="17" t="s">
        <v>54</v>
      </c>
      <c r="R49" s="17" t="s">
        <v>54</v>
      </c>
      <c r="S49" s="17" t="s">
        <v>54</v>
      </c>
      <c r="T49" s="17" t="s">
        <v>54</v>
      </c>
      <c r="U49" s="17" t="s">
        <v>54</v>
      </c>
      <c r="V49" s="17" t="s">
        <v>54</v>
      </c>
      <c r="W49" s="17" t="s">
        <v>54</v>
      </c>
      <c r="X49" s="17" t="s">
        <v>54</v>
      </c>
      <c r="Y49" s="17" t="s">
        <v>54</v>
      </c>
      <c r="Z49" s="17" t="s">
        <v>54</v>
      </c>
    </row>
    <row r="50" spans="2:26" ht="15">
      <c r="B50" s="18" t="s">
        <v>55</v>
      </c>
      <c r="C50" s="18" t="s">
        <v>56</v>
      </c>
      <c r="D50" s="3">
        <v>263.7</v>
      </c>
      <c r="E50" s="3">
        <v>258.2</v>
      </c>
      <c r="F50" s="3">
        <v>280</v>
      </c>
      <c r="G50" s="3">
        <v>314.89999999999998</v>
      </c>
      <c r="H50" s="3">
        <v>321.7</v>
      </c>
      <c r="I50" s="3">
        <v>333.1</v>
      </c>
      <c r="J50" s="3">
        <v>361</v>
      </c>
      <c r="K50" s="3">
        <v>367.6</v>
      </c>
      <c r="L50" s="3">
        <v>412.7</v>
      </c>
      <c r="M50" s="3">
        <v>462</v>
      </c>
      <c r="N50" s="3">
        <v>462.9</v>
      </c>
      <c r="O50" s="3">
        <v>458.5</v>
      </c>
      <c r="P50" s="3">
        <v>457.9</v>
      </c>
      <c r="Q50" s="3">
        <v>484.7</v>
      </c>
      <c r="R50" s="3">
        <v>481.7</v>
      </c>
      <c r="S50" s="3">
        <v>521.4</v>
      </c>
      <c r="T50" s="3">
        <v>526.20000000000005</v>
      </c>
      <c r="U50" s="3">
        <v>545.1</v>
      </c>
      <c r="V50" s="3">
        <v>525.6</v>
      </c>
      <c r="W50" s="3">
        <v>534.79999999999995</v>
      </c>
      <c r="X50" s="3">
        <v>525.79999999999995</v>
      </c>
      <c r="Y50" s="3">
        <v>546.20000000000005</v>
      </c>
      <c r="Z50" s="3">
        <v>537</v>
      </c>
    </row>
    <row r="54" spans="2:26" ht="12.75">
      <c r="B54" s="14" t="s">
        <v>1</v>
      </c>
      <c r="D54" s="15" t="s">
        <v>32</v>
      </c>
    </row>
    <row r="55" spans="2:26" ht="15">
      <c r="B55" s="18"/>
      <c r="C55" s="18"/>
    </row>
    <row r="56" spans="2:26" ht="30">
      <c r="B56" s="19" t="s">
        <v>33</v>
      </c>
      <c r="C56" s="20" t="s">
        <v>34</v>
      </c>
    </row>
    <row r="57" spans="2:26" ht="15">
      <c r="B57" s="18"/>
      <c r="C57" s="19" t="s">
        <v>35</v>
      </c>
    </row>
    <row r="58" spans="2:26" ht="30">
      <c r="B58" s="19" t="s">
        <v>36</v>
      </c>
      <c r="C58" s="20" t="s">
        <v>37</v>
      </c>
    </row>
    <row r="59" spans="2:26" ht="15">
      <c r="B59" s="18"/>
      <c r="C59" s="19" t="s">
        <v>38</v>
      </c>
    </row>
    <row r="60" spans="2:26" ht="45">
      <c r="B60" s="19" t="s">
        <v>39</v>
      </c>
      <c r="C60" s="20" t="s">
        <v>40</v>
      </c>
    </row>
    <row r="61" spans="2:26" ht="15">
      <c r="B61" s="18"/>
      <c r="C61" s="19" t="s">
        <v>41</v>
      </c>
    </row>
    <row r="62" spans="2:26" ht="15">
      <c r="B62" s="19" t="s">
        <v>42</v>
      </c>
      <c r="C62" s="21">
        <v>45183</v>
      </c>
    </row>
    <row r="63" spans="2:26" ht="60">
      <c r="B63" s="22" t="s">
        <v>43</v>
      </c>
      <c r="C63" s="20" t="s">
        <v>44</v>
      </c>
    </row>
    <row r="64" spans="2:26" ht="12.75">
      <c r="B64" s="1" t="s">
        <v>45</v>
      </c>
      <c r="C64" s="1" t="s">
        <v>46</v>
      </c>
    </row>
    <row r="66" spans="2:26" ht="13.5">
      <c r="B66" s="73" t="s">
        <v>47</v>
      </c>
      <c r="C66" s="76" t="s">
        <v>48</v>
      </c>
      <c r="D66" s="67" t="s">
        <v>57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9"/>
    </row>
    <row r="67" spans="2:26" ht="13.5">
      <c r="B67" s="74"/>
      <c r="C67" s="77"/>
      <c r="D67" s="70" t="s">
        <v>50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2"/>
    </row>
    <row r="68" spans="2:26" ht="15">
      <c r="B68" s="74"/>
      <c r="C68" s="77"/>
      <c r="D68" s="17" t="s">
        <v>51</v>
      </c>
      <c r="E68" s="17" t="s">
        <v>52</v>
      </c>
      <c r="F68" s="17" t="s">
        <v>53</v>
      </c>
      <c r="G68" s="17" t="s">
        <v>12</v>
      </c>
      <c r="H68" s="17" t="s">
        <v>13</v>
      </c>
      <c r="I68" s="17" t="s">
        <v>14</v>
      </c>
      <c r="J68" s="17" t="s">
        <v>15</v>
      </c>
      <c r="K68" s="17" t="s">
        <v>16</v>
      </c>
      <c r="L68" s="17" t="s">
        <v>17</v>
      </c>
      <c r="M68" s="17" t="s">
        <v>18</v>
      </c>
      <c r="N68" s="17" t="s">
        <v>19</v>
      </c>
      <c r="O68" s="17" t="s">
        <v>20</v>
      </c>
      <c r="P68" s="17" t="s">
        <v>21</v>
      </c>
      <c r="Q68" s="17" t="s">
        <v>22</v>
      </c>
      <c r="R68" s="17" t="s">
        <v>23</v>
      </c>
      <c r="S68" s="17" t="s">
        <v>24</v>
      </c>
      <c r="T68" s="17" t="s">
        <v>25</v>
      </c>
      <c r="U68" s="17" t="s">
        <v>26</v>
      </c>
      <c r="V68" s="17" t="s">
        <v>27</v>
      </c>
      <c r="W68" s="17" t="s">
        <v>28</v>
      </c>
      <c r="X68" s="17" t="s">
        <v>29</v>
      </c>
      <c r="Y68" s="17" t="s">
        <v>30</v>
      </c>
      <c r="Z68" s="17" t="s">
        <v>31</v>
      </c>
    </row>
    <row r="69" spans="2:26" ht="15">
      <c r="B69" s="75"/>
      <c r="C69" s="72"/>
      <c r="D69" s="17" t="s">
        <v>58</v>
      </c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</row>
    <row r="70" spans="2:26" ht="15">
      <c r="B70" s="18" t="s">
        <v>55</v>
      </c>
      <c r="C70" s="18" t="s">
        <v>56</v>
      </c>
      <c r="D70" s="2">
        <v>94513</v>
      </c>
      <c r="E70" s="2">
        <v>96260</v>
      </c>
      <c r="F70" s="2">
        <v>110218</v>
      </c>
      <c r="G70" s="2">
        <v>100755</v>
      </c>
      <c r="H70" s="2">
        <v>96886</v>
      </c>
      <c r="I70" s="2">
        <v>102499</v>
      </c>
      <c r="J70" s="2">
        <v>96200</v>
      </c>
      <c r="K70" s="2">
        <v>112756</v>
      </c>
      <c r="L70" s="2">
        <v>146657</v>
      </c>
      <c r="M70" s="2">
        <v>111132</v>
      </c>
      <c r="N70" s="2">
        <v>104165</v>
      </c>
      <c r="O70" s="2">
        <v>113208</v>
      </c>
      <c r="P70" s="2">
        <v>116946</v>
      </c>
      <c r="Q70" s="2">
        <v>114601</v>
      </c>
      <c r="R70" s="2">
        <v>129165</v>
      </c>
      <c r="S70" s="2">
        <v>128533</v>
      </c>
      <c r="T70" s="2">
        <v>114588</v>
      </c>
      <c r="U70" s="2">
        <v>102442</v>
      </c>
      <c r="V70" s="2">
        <v>102895</v>
      </c>
      <c r="W70" s="2">
        <v>76361</v>
      </c>
      <c r="X70" s="2">
        <v>88688</v>
      </c>
      <c r="Y70" s="2">
        <v>43182</v>
      </c>
      <c r="Z70" s="2">
        <v>50484</v>
      </c>
    </row>
    <row r="73" spans="2:26" ht="12.75">
      <c r="B73" s="14" t="s">
        <v>2</v>
      </c>
      <c r="E73" s="15" t="s">
        <v>32</v>
      </c>
    </row>
    <row r="74" spans="2:26" ht="12.75">
      <c r="B74" s="14" t="s">
        <v>59</v>
      </c>
    </row>
    <row r="75" spans="2:26" ht="12.75">
      <c r="B75" s="1" t="s">
        <v>33</v>
      </c>
      <c r="C75" s="1" t="s">
        <v>60</v>
      </c>
    </row>
    <row r="76" spans="2:26" ht="12.75">
      <c r="C76" s="1" t="s">
        <v>61</v>
      </c>
    </row>
    <row r="77" spans="2:26" ht="12.75">
      <c r="B77" s="1" t="s">
        <v>36</v>
      </c>
      <c r="C77" s="1" t="s">
        <v>62</v>
      </c>
    </row>
    <row r="78" spans="2:26" ht="12.75">
      <c r="C78" s="1" t="s">
        <v>63</v>
      </c>
    </row>
    <row r="79" spans="2:26" ht="12.75">
      <c r="B79" s="1" t="s">
        <v>39</v>
      </c>
      <c r="C79" s="1" t="s">
        <v>64</v>
      </c>
    </row>
    <row r="80" spans="2:26" ht="12.75">
      <c r="C80" s="1" t="s">
        <v>65</v>
      </c>
    </row>
    <row r="81" spans="2:30" ht="12.75">
      <c r="B81" s="1" t="s">
        <v>42</v>
      </c>
      <c r="C81" s="16">
        <v>45099</v>
      </c>
    </row>
    <row r="82" spans="2:30" ht="12.75">
      <c r="B82" s="1" t="s">
        <v>43</v>
      </c>
      <c r="C82" s="1" t="s">
        <v>66</v>
      </c>
    </row>
    <row r="83" spans="2:30" ht="12.75">
      <c r="B83" s="1" t="s">
        <v>45</v>
      </c>
      <c r="C83" s="1" t="s">
        <v>46</v>
      </c>
    </row>
    <row r="85" spans="2:30" ht="13.5">
      <c r="B85" s="73" t="s">
        <v>47</v>
      </c>
      <c r="C85" s="76" t="s">
        <v>48</v>
      </c>
      <c r="D85" s="67" t="s">
        <v>49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9"/>
    </row>
    <row r="86" spans="2:30" ht="15">
      <c r="B86" s="74"/>
      <c r="C86" s="77"/>
      <c r="D86" s="17" t="s">
        <v>67</v>
      </c>
      <c r="E86" s="17" t="s">
        <v>68</v>
      </c>
      <c r="F86" s="17" t="s">
        <v>69</v>
      </c>
      <c r="G86" s="17" t="s">
        <v>70</v>
      </c>
      <c r="H86" s="17" t="s">
        <v>51</v>
      </c>
      <c r="I86" s="17" t="s">
        <v>52</v>
      </c>
      <c r="J86" s="17" t="s">
        <v>53</v>
      </c>
      <c r="K86" s="17" t="s">
        <v>12</v>
      </c>
      <c r="L86" s="17" t="s">
        <v>13</v>
      </c>
      <c r="M86" s="17" t="s">
        <v>14</v>
      </c>
      <c r="N86" s="17" t="s">
        <v>15</v>
      </c>
      <c r="O86" s="17" t="s">
        <v>16</v>
      </c>
      <c r="P86" s="17" t="s">
        <v>17</v>
      </c>
      <c r="Q86" s="17" t="s">
        <v>18</v>
      </c>
      <c r="R86" s="17" t="s">
        <v>19</v>
      </c>
      <c r="S86" s="17" t="s">
        <v>20</v>
      </c>
      <c r="T86" s="17" t="s">
        <v>21</v>
      </c>
      <c r="U86" s="17" t="s">
        <v>22</v>
      </c>
      <c r="V86" s="17" t="s">
        <v>23</v>
      </c>
      <c r="W86" s="17" t="s">
        <v>24</v>
      </c>
      <c r="X86" s="17" t="s">
        <v>25</v>
      </c>
      <c r="Y86" s="17" t="s">
        <v>26</v>
      </c>
      <c r="Z86" s="17" t="s">
        <v>27</v>
      </c>
      <c r="AA86" s="17" t="s">
        <v>28</v>
      </c>
      <c r="AB86" s="17" t="s">
        <v>29</v>
      </c>
      <c r="AC86" s="17" t="s">
        <v>30</v>
      </c>
      <c r="AD86" s="17" t="s">
        <v>31</v>
      </c>
    </row>
    <row r="87" spans="2:30" ht="15">
      <c r="B87" s="75"/>
      <c r="C87" s="72"/>
      <c r="D87" s="17" t="s">
        <v>71</v>
      </c>
      <c r="E87" s="17" t="s">
        <v>71</v>
      </c>
      <c r="F87" s="17" t="s">
        <v>71</v>
      </c>
      <c r="G87" s="17" t="s">
        <v>71</v>
      </c>
      <c r="H87" s="17" t="s">
        <v>71</v>
      </c>
      <c r="I87" s="17" t="s">
        <v>71</v>
      </c>
      <c r="J87" s="17" t="s">
        <v>71</v>
      </c>
      <c r="K87" s="17" t="s">
        <v>71</v>
      </c>
      <c r="L87" s="17" t="s">
        <v>71</v>
      </c>
      <c r="M87" s="17" t="s">
        <v>71</v>
      </c>
      <c r="N87" s="17" t="s">
        <v>71</v>
      </c>
      <c r="O87" s="17" t="s">
        <v>71</v>
      </c>
      <c r="P87" s="17" t="s">
        <v>71</v>
      </c>
      <c r="Q87" s="17" t="s">
        <v>71</v>
      </c>
      <c r="R87" s="17" t="s">
        <v>71</v>
      </c>
      <c r="S87" s="17" t="s">
        <v>71</v>
      </c>
      <c r="T87" s="17" t="s">
        <v>71</v>
      </c>
      <c r="U87" s="17" t="s">
        <v>71</v>
      </c>
      <c r="V87" s="17" t="s">
        <v>71</v>
      </c>
      <c r="W87" s="17" t="s">
        <v>71</v>
      </c>
      <c r="X87" s="17" t="s">
        <v>71</v>
      </c>
      <c r="Y87" s="17" t="s">
        <v>71</v>
      </c>
      <c r="Z87" s="17" t="s">
        <v>71</v>
      </c>
      <c r="AA87" s="17" t="s">
        <v>71</v>
      </c>
      <c r="AB87" s="17" t="s">
        <v>71</v>
      </c>
      <c r="AC87" s="17" t="s">
        <v>71</v>
      </c>
      <c r="AD87" s="17" t="s">
        <v>71</v>
      </c>
    </row>
    <row r="88" spans="2:30" ht="15">
      <c r="B88" s="18" t="s">
        <v>55</v>
      </c>
      <c r="C88" s="18" t="s">
        <v>56</v>
      </c>
      <c r="D88" s="3">
        <v>9183674.3000000007</v>
      </c>
      <c r="E88" s="3">
        <v>9391696.6999999993</v>
      </c>
      <c r="F88" s="3">
        <v>9718016.6999999993</v>
      </c>
      <c r="G88" s="3">
        <v>10158810.1</v>
      </c>
      <c r="H88" s="3">
        <v>10163796.699999999</v>
      </c>
      <c r="I88" s="3">
        <v>10313810.800000001</v>
      </c>
      <c r="J88" s="3">
        <v>10323025</v>
      </c>
      <c r="K88" s="3">
        <v>10173238.699999999</v>
      </c>
      <c r="L88" s="3">
        <v>10168394.300000001</v>
      </c>
      <c r="M88" s="3">
        <v>10175896.699999999</v>
      </c>
      <c r="N88" s="3">
        <v>10042300.800000001</v>
      </c>
      <c r="O88" s="3">
        <v>10101478.6</v>
      </c>
      <c r="P88" s="3">
        <v>10101985.699999999</v>
      </c>
      <c r="Q88" s="3">
        <v>10103727.1</v>
      </c>
      <c r="R88" s="3">
        <v>10140718.5</v>
      </c>
      <c r="S88" s="3">
        <v>10146264.1</v>
      </c>
      <c r="T88" s="3">
        <v>10147099.9</v>
      </c>
      <c r="U88" s="4">
        <v>10164813.6</v>
      </c>
      <c r="V88" s="4">
        <v>10165112.01</v>
      </c>
      <c r="W88" s="4">
        <v>10175972.9</v>
      </c>
      <c r="X88" s="4">
        <v>10167023.66</v>
      </c>
      <c r="Y88" s="4">
        <v>10175600.82</v>
      </c>
      <c r="Z88" s="4">
        <v>10182355.75</v>
      </c>
      <c r="AA88" s="4">
        <v>10107332.939999999</v>
      </c>
      <c r="AB88" s="4">
        <v>10106401.24</v>
      </c>
      <c r="AC88" s="4">
        <v>10109100.01</v>
      </c>
      <c r="AD88" s="4">
        <v>10113949.18</v>
      </c>
    </row>
    <row r="92" spans="2:30" ht="12.75">
      <c r="B92" s="1" t="s">
        <v>3</v>
      </c>
      <c r="E92" s="15" t="s">
        <v>32</v>
      </c>
    </row>
    <row r="94" spans="2:30" ht="12.75">
      <c r="B94" s="1" t="s">
        <v>33</v>
      </c>
      <c r="C94" s="1" t="s">
        <v>60</v>
      </c>
    </row>
    <row r="95" spans="2:30" ht="12.75">
      <c r="C95" s="1" t="s">
        <v>61</v>
      </c>
    </row>
    <row r="96" spans="2:30" ht="12.75">
      <c r="B96" s="1" t="s">
        <v>36</v>
      </c>
      <c r="C96" s="1" t="s">
        <v>72</v>
      </c>
    </row>
    <row r="97" spans="2:23" ht="12.75">
      <c r="C97" s="1" t="s">
        <v>63</v>
      </c>
    </row>
    <row r="98" spans="2:23" ht="12.75">
      <c r="B98" s="1" t="s">
        <v>39</v>
      </c>
      <c r="C98" s="1" t="s">
        <v>73</v>
      </c>
    </row>
    <row r="99" spans="2:23" ht="12.75">
      <c r="C99" s="1" t="s">
        <v>74</v>
      </c>
    </row>
    <row r="100" spans="2:23" ht="12.75">
      <c r="B100" s="1" t="s">
        <v>42</v>
      </c>
      <c r="C100" s="16">
        <v>45141</v>
      </c>
    </row>
    <row r="101" spans="2:23" ht="12.75">
      <c r="B101" s="1" t="s">
        <v>43</v>
      </c>
      <c r="C101" s="1" t="s">
        <v>75</v>
      </c>
    </row>
    <row r="102" spans="2:23" ht="12.75">
      <c r="B102" s="1" t="s">
        <v>45</v>
      </c>
      <c r="C102" s="1" t="s">
        <v>46</v>
      </c>
    </row>
    <row r="104" spans="2:23" ht="13.5">
      <c r="B104" s="73" t="s">
        <v>47</v>
      </c>
      <c r="C104" s="76" t="s">
        <v>48</v>
      </c>
      <c r="D104" s="67" t="s">
        <v>76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9"/>
    </row>
    <row r="105" spans="2:23" ht="13.5">
      <c r="B105" s="74"/>
      <c r="C105" s="77"/>
      <c r="D105" s="70" t="s">
        <v>49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2"/>
    </row>
    <row r="106" spans="2:23" ht="15">
      <c r="B106" s="74"/>
      <c r="C106" s="77"/>
      <c r="D106" s="17" t="s">
        <v>12</v>
      </c>
      <c r="E106" s="17" t="s">
        <v>13</v>
      </c>
      <c r="F106" s="17" t="s">
        <v>14</v>
      </c>
      <c r="G106" s="17" t="s">
        <v>15</v>
      </c>
      <c r="H106" s="17" t="s">
        <v>16</v>
      </c>
      <c r="I106" s="17" t="s">
        <v>17</v>
      </c>
      <c r="J106" s="17" t="s">
        <v>18</v>
      </c>
      <c r="K106" s="17" t="s">
        <v>19</v>
      </c>
      <c r="L106" s="17" t="s">
        <v>20</v>
      </c>
      <c r="M106" s="17" t="s">
        <v>21</v>
      </c>
      <c r="N106" s="17" t="s">
        <v>22</v>
      </c>
      <c r="O106" s="17" t="s">
        <v>23</v>
      </c>
      <c r="P106" s="17" t="s">
        <v>24</v>
      </c>
      <c r="Q106" s="17" t="s">
        <v>25</v>
      </c>
      <c r="R106" s="17" t="s">
        <v>26</v>
      </c>
      <c r="S106" s="17" t="s">
        <v>27</v>
      </c>
      <c r="T106" s="17" t="s">
        <v>28</v>
      </c>
      <c r="U106" s="17" t="s">
        <v>29</v>
      </c>
      <c r="V106" s="17" t="s">
        <v>30</v>
      </c>
      <c r="W106" s="17" t="s">
        <v>31</v>
      </c>
    </row>
    <row r="107" spans="2:23" ht="15">
      <c r="B107" s="75"/>
      <c r="C107" s="72"/>
      <c r="D107" s="17" t="s">
        <v>71</v>
      </c>
      <c r="E107" s="17" t="s">
        <v>71</v>
      </c>
      <c r="F107" s="17" t="s">
        <v>71</v>
      </c>
      <c r="G107" s="17" t="s">
        <v>71</v>
      </c>
      <c r="H107" s="17" t="s">
        <v>71</v>
      </c>
      <c r="I107" s="17" t="s">
        <v>71</v>
      </c>
      <c r="J107" s="17" t="s">
        <v>71</v>
      </c>
      <c r="K107" s="17" t="s">
        <v>71</v>
      </c>
      <c r="L107" s="17" t="s">
        <v>71</v>
      </c>
      <c r="M107" s="17" t="s">
        <v>71</v>
      </c>
      <c r="N107" s="17" t="s">
        <v>71</v>
      </c>
      <c r="O107" s="17" t="s">
        <v>71</v>
      </c>
      <c r="P107" s="17" t="s">
        <v>71</v>
      </c>
      <c r="Q107" s="17" t="s">
        <v>71</v>
      </c>
      <c r="R107" s="17" t="s">
        <v>71</v>
      </c>
      <c r="S107" s="17" t="s">
        <v>71</v>
      </c>
      <c r="T107" s="17" t="s">
        <v>71</v>
      </c>
      <c r="U107" s="17" t="s">
        <v>71</v>
      </c>
      <c r="V107" s="17" t="s">
        <v>71</v>
      </c>
      <c r="W107" s="17" t="s">
        <v>71</v>
      </c>
    </row>
    <row r="108" spans="2:23" ht="15">
      <c r="B108" s="18" t="s">
        <v>55</v>
      </c>
      <c r="C108" s="18" t="s">
        <v>56</v>
      </c>
      <c r="D108" s="2">
        <v>109624</v>
      </c>
      <c r="E108" s="2">
        <v>39331</v>
      </c>
      <c r="F108" s="2">
        <v>36149</v>
      </c>
      <c r="G108" s="2">
        <v>28998</v>
      </c>
      <c r="H108" s="2">
        <v>16652</v>
      </c>
      <c r="I108" s="2">
        <v>19696</v>
      </c>
      <c r="J108" s="2">
        <v>13031</v>
      </c>
      <c r="K108" s="2">
        <v>9855</v>
      </c>
      <c r="L108" s="2">
        <v>15691</v>
      </c>
      <c r="M108" s="2">
        <v>39639</v>
      </c>
      <c r="N108" s="2">
        <v>10640</v>
      </c>
      <c r="O108" s="2">
        <v>23817</v>
      </c>
      <c r="P108" s="2">
        <v>32513</v>
      </c>
      <c r="Q108" s="2">
        <v>9043</v>
      </c>
      <c r="R108" s="2">
        <v>10140</v>
      </c>
      <c r="S108" s="2">
        <v>12924</v>
      </c>
      <c r="T108" s="2">
        <v>18903</v>
      </c>
      <c r="U108" s="2">
        <v>18378</v>
      </c>
      <c r="V108" s="2">
        <v>5072</v>
      </c>
      <c r="W108" s="2">
        <v>13758</v>
      </c>
    </row>
    <row r="112" spans="2:23" ht="12.75">
      <c r="B112" s="1" t="s">
        <v>4</v>
      </c>
      <c r="E112" s="15" t="s">
        <v>32</v>
      </c>
    </row>
    <row r="114" spans="2:23" ht="12.75">
      <c r="B114" s="1" t="s">
        <v>33</v>
      </c>
      <c r="C114" s="1" t="s">
        <v>60</v>
      </c>
    </row>
    <row r="115" spans="2:23" ht="12.75">
      <c r="C115" s="1" t="s">
        <v>61</v>
      </c>
    </row>
    <row r="116" spans="2:23" ht="12.75">
      <c r="B116" s="1" t="s">
        <v>36</v>
      </c>
      <c r="C116" s="1" t="s">
        <v>72</v>
      </c>
    </row>
    <row r="117" spans="2:23" ht="12.75">
      <c r="C117" s="1" t="s">
        <v>63</v>
      </c>
    </row>
    <row r="118" spans="2:23" ht="12.75">
      <c r="B118" s="1" t="s">
        <v>39</v>
      </c>
      <c r="C118" s="1" t="s">
        <v>73</v>
      </c>
    </row>
    <row r="119" spans="2:23" ht="12.75">
      <c r="C119" s="1" t="s">
        <v>74</v>
      </c>
    </row>
    <row r="120" spans="2:23" ht="12.75">
      <c r="B120" s="1" t="s">
        <v>42</v>
      </c>
      <c r="C120" s="16">
        <v>45141</v>
      </c>
    </row>
    <row r="121" spans="2:23" ht="12.75">
      <c r="B121" s="1" t="s">
        <v>43</v>
      </c>
      <c r="C121" s="1" t="s">
        <v>75</v>
      </c>
    </row>
    <row r="122" spans="2:23" ht="12.75">
      <c r="B122" s="1" t="s">
        <v>45</v>
      </c>
      <c r="C122" s="1" t="s">
        <v>46</v>
      </c>
    </row>
    <row r="124" spans="2:23" ht="13.5">
      <c r="B124" s="73" t="s">
        <v>47</v>
      </c>
      <c r="C124" s="76" t="s">
        <v>48</v>
      </c>
      <c r="D124" s="67" t="s">
        <v>77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9"/>
    </row>
    <row r="125" spans="2:23" ht="13.5">
      <c r="B125" s="74"/>
      <c r="C125" s="77"/>
      <c r="D125" s="70" t="s">
        <v>49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2"/>
    </row>
    <row r="126" spans="2:23" ht="15">
      <c r="B126" s="74"/>
      <c r="C126" s="77"/>
      <c r="D126" s="17" t="s">
        <v>12</v>
      </c>
      <c r="E126" s="17" t="s">
        <v>13</v>
      </c>
      <c r="F126" s="17" t="s">
        <v>14</v>
      </c>
      <c r="G126" s="17" t="s">
        <v>15</v>
      </c>
      <c r="H126" s="17" t="s">
        <v>16</v>
      </c>
      <c r="I126" s="17" t="s">
        <v>17</v>
      </c>
      <c r="J126" s="17" t="s">
        <v>18</v>
      </c>
      <c r="K126" s="17" t="s">
        <v>19</v>
      </c>
      <c r="L126" s="17" t="s">
        <v>20</v>
      </c>
      <c r="M126" s="17" t="s">
        <v>21</v>
      </c>
      <c r="N126" s="17" t="s">
        <v>22</v>
      </c>
      <c r="O126" s="17" t="s">
        <v>23</v>
      </c>
      <c r="P126" s="17" t="s">
        <v>24</v>
      </c>
      <c r="Q126" s="17" t="s">
        <v>25</v>
      </c>
      <c r="R126" s="17" t="s">
        <v>26</v>
      </c>
      <c r="S126" s="17" t="s">
        <v>27</v>
      </c>
      <c r="T126" s="17" t="s">
        <v>28</v>
      </c>
      <c r="U126" s="17" t="s">
        <v>29</v>
      </c>
      <c r="V126" s="17" t="s">
        <v>30</v>
      </c>
      <c r="W126" s="17" t="s">
        <v>31</v>
      </c>
    </row>
    <row r="127" spans="2:23" ht="15">
      <c r="B127" s="75"/>
      <c r="C127" s="72"/>
      <c r="D127" s="17" t="s">
        <v>58</v>
      </c>
      <c r="E127" s="17" t="s">
        <v>58</v>
      </c>
      <c r="F127" s="17" t="s">
        <v>58</v>
      </c>
      <c r="G127" s="17" t="s">
        <v>58</v>
      </c>
      <c r="H127" s="17" t="s">
        <v>58</v>
      </c>
      <c r="I127" s="17" t="s">
        <v>58</v>
      </c>
      <c r="J127" s="17" t="s">
        <v>58</v>
      </c>
      <c r="K127" s="17" t="s">
        <v>58</v>
      </c>
      <c r="L127" s="17" t="s">
        <v>58</v>
      </c>
      <c r="M127" s="17" t="s">
        <v>58</v>
      </c>
      <c r="N127" s="17" t="s">
        <v>58</v>
      </c>
      <c r="O127" s="17" t="s">
        <v>58</v>
      </c>
      <c r="P127" s="17" t="s">
        <v>58</v>
      </c>
      <c r="Q127" s="17" t="s">
        <v>58</v>
      </c>
      <c r="R127" s="17" t="s">
        <v>58</v>
      </c>
      <c r="S127" s="17" t="s">
        <v>58</v>
      </c>
      <c r="T127" s="17" t="s">
        <v>58</v>
      </c>
      <c r="U127" s="17" t="s">
        <v>58</v>
      </c>
      <c r="V127" s="17" t="s">
        <v>58</v>
      </c>
      <c r="W127" s="17" t="s">
        <v>58</v>
      </c>
    </row>
    <row r="128" spans="2:23" ht="15">
      <c r="B128" s="18" t="s">
        <v>55</v>
      </c>
      <c r="C128" s="18" t="s">
        <v>56</v>
      </c>
      <c r="D128" s="2">
        <v>61934</v>
      </c>
      <c r="E128" s="2">
        <v>29314</v>
      </c>
      <c r="F128" s="2">
        <v>35626</v>
      </c>
      <c r="G128" s="2">
        <v>26784</v>
      </c>
      <c r="H128" s="2">
        <v>23419</v>
      </c>
      <c r="I128" s="2">
        <v>26946</v>
      </c>
      <c r="J128" s="2">
        <v>26241</v>
      </c>
      <c r="K128" s="2">
        <v>19972</v>
      </c>
      <c r="L128" s="2">
        <v>30828</v>
      </c>
      <c r="M128" s="2">
        <v>46519</v>
      </c>
      <c r="N128" s="2">
        <v>20766</v>
      </c>
      <c r="O128" s="2">
        <v>32863</v>
      </c>
      <c r="P128" s="2">
        <v>47902</v>
      </c>
      <c r="Q128" s="2">
        <v>20504</v>
      </c>
      <c r="R128" s="2">
        <v>21599</v>
      </c>
      <c r="S128" s="2">
        <v>24351</v>
      </c>
      <c r="T128" s="2">
        <v>31835</v>
      </c>
      <c r="U128" s="2">
        <v>24429</v>
      </c>
      <c r="V128" s="2">
        <v>12300</v>
      </c>
      <c r="W128" s="2">
        <v>26571</v>
      </c>
    </row>
    <row r="131" spans="2:24" ht="12.75">
      <c r="B131" s="1" t="s">
        <v>5</v>
      </c>
      <c r="E131" s="1" t="s">
        <v>32</v>
      </c>
    </row>
    <row r="133" spans="2:24" ht="12.75">
      <c r="B133" s="1" t="s">
        <v>33</v>
      </c>
      <c r="C133" s="1" t="s">
        <v>60</v>
      </c>
    </row>
    <row r="134" spans="2:24" ht="12.75">
      <c r="C134" s="1" t="s">
        <v>61</v>
      </c>
    </row>
    <row r="135" spans="2:24" ht="12.75">
      <c r="B135" s="1" t="s">
        <v>36</v>
      </c>
      <c r="C135" s="1" t="s">
        <v>78</v>
      </c>
    </row>
    <row r="136" spans="2:24" ht="12.75">
      <c r="C136" s="1" t="s">
        <v>79</v>
      </c>
    </row>
    <row r="137" spans="2:24" ht="12.75">
      <c r="B137" s="1" t="s">
        <v>39</v>
      </c>
      <c r="C137" s="1" t="s">
        <v>80</v>
      </c>
    </row>
    <row r="138" spans="2:24" ht="12.75">
      <c r="C138" s="1" t="s">
        <v>63</v>
      </c>
    </row>
    <row r="139" spans="2:24" ht="12.75">
      <c r="B139" s="1" t="s">
        <v>42</v>
      </c>
      <c r="C139" s="16">
        <v>45202</v>
      </c>
    </row>
    <row r="140" spans="2:24" ht="12.75">
      <c r="B140" s="1" t="s">
        <v>43</v>
      </c>
      <c r="C140" s="1" t="s">
        <v>81</v>
      </c>
    </row>
    <row r="141" spans="2:24" ht="12.75">
      <c r="B141" s="1" t="s">
        <v>45</v>
      </c>
      <c r="C141" s="1" t="s">
        <v>46</v>
      </c>
    </row>
    <row r="143" spans="2:24" ht="13.5">
      <c r="B143" s="73" t="s">
        <v>47</v>
      </c>
      <c r="C143" s="76" t="s">
        <v>48</v>
      </c>
      <c r="D143" s="67" t="s">
        <v>82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9"/>
    </row>
    <row r="144" spans="2:24" ht="13.5">
      <c r="B144" s="74"/>
      <c r="C144" s="77"/>
      <c r="D144" s="70" t="s">
        <v>49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2"/>
    </row>
    <row r="145" spans="2:24" ht="15">
      <c r="B145" s="74"/>
      <c r="C145" s="77"/>
      <c r="D145" s="17" t="s">
        <v>53</v>
      </c>
      <c r="E145" s="17" t="s">
        <v>12</v>
      </c>
      <c r="F145" s="17" t="s">
        <v>13</v>
      </c>
      <c r="G145" s="17" t="s">
        <v>14</v>
      </c>
      <c r="H145" s="17" t="s">
        <v>15</v>
      </c>
      <c r="I145" s="17" t="s">
        <v>16</v>
      </c>
      <c r="J145" s="17" t="s">
        <v>17</v>
      </c>
      <c r="K145" s="17" t="s">
        <v>18</v>
      </c>
      <c r="L145" s="17" t="s">
        <v>19</v>
      </c>
      <c r="M145" s="17" t="s">
        <v>20</v>
      </c>
      <c r="N145" s="17" t="s">
        <v>21</v>
      </c>
      <c r="O145" s="17" t="s">
        <v>22</v>
      </c>
      <c r="P145" s="17" t="s">
        <v>23</v>
      </c>
      <c r="Q145" s="17" t="s">
        <v>24</v>
      </c>
      <c r="R145" s="17" t="s">
        <v>25</v>
      </c>
      <c r="S145" s="17" t="s">
        <v>26</v>
      </c>
      <c r="T145" s="17" t="s">
        <v>27</v>
      </c>
      <c r="U145" s="17" t="s">
        <v>28</v>
      </c>
      <c r="V145" s="17" t="s">
        <v>29</v>
      </c>
      <c r="W145" s="17" t="s">
        <v>30</v>
      </c>
      <c r="X145" s="17" t="s">
        <v>31</v>
      </c>
    </row>
    <row r="146" spans="2:24" ht="15">
      <c r="B146" s="75"/>
      <c r="C146" s="72"/>
      <c r="D146" s="17" t="s">
        <v>83</v>
      </c>
      <c r="E146" s="17" t="s">
        <v>83</v>
      </c>
      <c r="F146" s="17" t="s">
        <v>83</v>
      </c>
      <c r="G146" s="17" t="s">
        <v>83</v>
      </c>
      <c r="H146" s="17" t="s">
        <v>83</v>
      </c>
      <c r="I146" s="17" t="s">
        <v>83</v>
      </c>
      <c r="J146" s="17" t="s">
        <v>83</v>
      </c>
      <c r="K146" s="17" t="s">
        <v>83</v>
      </c>
      <c r="L146" s="17" t="s">
        <v>83</v>
      </c>
      <c r="M146" s="17" t="s">
        <v>83</v>
      </c>
      <c r="N146" s="17" t="s">
        <v>83</v>
      </c>
      <c r="O146" s="17" t="s">
        <v>83</v>
      </c>
      <c r="P146" s="17" t="s">
        <v>83</v>
      </c>
      <c r="Q146" s="17" t="s">
        <v>83</v>
      </c>
      <c r="R146" s="17" t="s">
        <v>83</v>
      </c>
      <c r="S146" s="17" t="s">
        <v>83</v>
      </c>
      <c r="T146" s="17" t="s">
        <v>83</v>
      </c>
      <c r="U146" s="17" t="s">
        <v>83</v>
      </c>
      <c r="V146" s="17" t="s">
        <v>83</v>
      </c>
      <c r="W146" s="17" t="s">
        <v>83</v>
      </c>
      <c r="X146" s="17" t="s">
        <v>83</v>
      </c>
    </row>
    <row r="147" spans="2:24" ht="15">
      <c r="B147" s="18" t="s">
        <v>55</v>
      </c>
      <c r="C147" s="18" t="s">
        <v>56</v>
      </c>
      <c r="D147" s="3">
        <v>5027078.5</v>
      </c>
      <c r="E147" s="3">
        <v>5141415.5999999996</v>
      </c>
      <c r="F147" s="3">
        <v>5337437.2</v>
      </c>
      <c r="G147" s="3">
        <v>5986499.9000000004</v>
      </c>
      <c r="H147" s="3">
        <v>6877759.2000000002</v>
      </c>
      <c r="I147" s="3">
        <v>7520684.2000000002</v>
      </c>
      <c r="J147" s="3">
        <v>8528558</v>
      </c>
      <c r="K147" s="3">
        <v>10671926.9</v>
      </c>
      <c r="L147" s="3">
        <v>10926206</v>
      </c>
      <c r="M147" s="3">
        <v>12158205.199999999</v>
      </c>
      <c r="N147" s="3">
        <v>10127805.800000001</v>
      </c>
      <c r="O147" s="3">
        <v>10851199.199999999</v>
      </c>
      <c r="P147" s="3">
        <v>14248455.4</v>
      </c>
      <c r="Q147" s="3">
        <v>15160046.4</v>
      </c>
      <c r="R147" s="3">
        <v>6517035.4000000004</v>
      </c>
      <c r="S147" s="3">
        <v>6825385</v>
      </c>
      <c r="T147" s="3">
        <v>10392119.5</v>
      </c>
      <c r="U147" s="3">
        <v>12415204.300000001</v>
      </c>
      <c r="V147" s="3">
        <v>11439859.300000001</v>
      </c>
      <c r="W147" s="3">
        <v>12376568.1</v>
      </c>
      <c r="X147" s="3">
        <v>13925996.5</v>
      </c>
    </row>
  </sheetData>
  <mergeCells count="23">
    <mergeCell ref="B143:B146"/>
    <mergeCell ref="C143:C146"/>
    <mergeCell ref="D143:X143"/>
    <mergeCell ref="D144:X144"/>
    <mergeCell ref="B66:B69"/>
    <mergeCell ref="B85:B87"/>
    <mergeCell ref="C85:C87"/>
    <mergeCell ref="B104:B107"/>
    <mergeCell ref="C104:C107"/>
    <mergeCell ref="B124:B127"/>
    <mergeCell ref="C124:C127"/>
    <mergeCell ref="B46:B49"/>
    <mergeCell ref="C46:C49"/>
    <mergeCell ref="D46:Z46"/>
    <mergeCell ref="D47:Z47"/>
    <mergeCell ref="C66:C69"/>
    <mergeCell ref="D66:Z66"/>
    <mergeCell ref="D67:Z67"/>
    <mergeCell ref="D85:AD85"/>
    <mergeCell ref="D104:W104"/>
    <mergeCell ref="D105:W105"/>
    <mergeCell ref="D124:W124"/>
    <mergeCell ref="D125:W125"/>
  </mergeCells>
  <hyperlinks>
    <hyperlink ref="D34" r:id="rId1"/>
    <hyperlink ref="D54" r:id="rId2"/>
    <hyperlink ref="E73" r:id="rId3"/>
    <hyperlink ref="E92" r:id="rId4"/>
    <hyperlink ref="E11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33"/>
  <sheetViews>
    <sheetView workbookViewId="0"/>
  </sheetViews>
  <sheetFormatPr defaultColWidth="12.5703125" defaultRowHeight="15.75" customHeight="1"/>
  <sheetData>
    <row r="1" spans="1:16" ht="15.75" customHeight="1">
      <c r="A1" s="23" t="s">
        <v>84</v>
      </c>
      <c r="B1" s="23"/>
      <c r="C1" s="24"/>
      <c r="D1" s="24"/>
      <c r="E1" s="24"/>
      <c r="F1" s="24"/>
      <c r="G1" s="24"/>
      <c r="I1" s="1"/>
      <c r="L1" s="1"/>
      <c r="O1" s="1"/>
    </row>
    <row r="2" spans="1:16" ht="15.75" customHeight="1">
      <c r="A2" s="25"/>
      <c r="B2" s="26" t="s">
        <v>6</v>
      </c>
      <c r="C2" s="27" t="s">
        <v>7</v>
      </c>
      <c r="D2" s="28" t="s">
        <v>8</v>
      </c>
      <c r="E2" s="28" t="s">
        <v>9</v>
      </c>
      <c r="F2" s="28" t="s">
        <v>10</v>
      </c>
      <c r="G2" s="28" t="s">
        <v>11</v>
      </c>
      <c r="I2" s="1" t="s">
        <v>7</v>
      </c>
      <c r="L2" s="1" t="s">
        <v>8</v>
      </c>
      <c r="O2" s="1" t="s">
        <v>9</v>
      </c>
    </row>
    <row r="3" spans="1:16" ht="15.75" customHeight="1">
      <c r="A3" s="10" t="s">
        <v>12</v>
      </c>
      <c r="B3" s="29">
        <v>314.89999999999998</v>
      </c>
      <c r="C3" s="30">
        <v>100755</v>
      </c>
      <c r="D3" s="29">
        <v>10173238.699999999</v>
      </c>
      <c r="E3" s="30">
        <v>109624</v>
      </c>
      <c r="F3" s="30">
        <v>61934</v>
      </c>
      <c r="G3" s="29">
        <v>5141415.5999999996</v>
      </c>
      <c r="I3" s="31">
        <f t="array" ref="I3:J7">LINEST(B3:B22,C3:C22,1,1)</f>
        <v>-8.9221066053883288E-4</v>
      </c>
      <c r="J3" s="31">
        <v>550.58719307750721</v>
      </c>
      <c r="L3" s="31">
        <f t="array" ref="L3:M7">LINEST(B3:B22,D3:D22,1,1)</f>
        <v>1.1913891144181526E-4</v>
      </c>
      <c r="M3" s="31">
        <v>-748.84250582005018</v>
      </c>
      <c r="O3" s="31">
        <f t="array" ref="O3:P7">LINEST(B3:B22,E3:E22,1,1)</f>
        <v>-2.2200484602881826E-3</v>
      </c>
      <c r="P3" s="31">
        <v>512.74896638521398</v>
      </c>
    </row>
    <row r="4" spans="1:16" ht="15.75" customHeight="1">
      <c r="A4" s="10" t="s">
        <v>13</v>
      </c>
      <c r="B4" s="29">
        <v>321.7</v>
      </c>
      <c r="C4" s="30">
        <v>96886</v>
      </c>
      <c r="D4" s="29">
        <v>10168394.300000001</v>
      </c>
      <c r="E4" s="30">
        <v>39331</v>
      </c>
      <c r="F4" s="30">
        <v>29314</v>
      </c>
      <c r="G4" s="29">
        <v>5337437.2</v>
      </c>
      <c r="I4" s="31">
        <v>7.4148019033137131E-4</v>
      </c>
      <c r="J4" s="31">
        <v>78.097610712846233</v>
      </c>
      <c r="L4" s="31">
        <v>4.9625184040621127E-4</v>
      </c>
      <c r="M4" s="31">
        <v>5031.2519528083167</v>
      </c>
      <c r="O4" s="31">
        <v>6.4409054313362113E-4</v>
      </c>
      <c r="P4" s="31">
        <v>21.09868578283611</v>
      </c>
    </row>
    <row r="5" spans="1:16" ht="15.75" customHeight="1">
      <c r="A5" s="10" t="s">
        <v>14</v>
      </c>
      <c r="B5" s="29">
        <v>333.1</v>
      </c>
      <c r="C5" s="30">
        <v>102499</v>
      </c>
      <c r="D5" s="29">
        <v>10175896.699999999</v>
      </c>
      <c r="E5" s="30">
        <v>36149</v>
      </c>
      <c r="F5" s="30">
        <v>35626</v>
      </c>
      <c r="G5" s="29">
        <v>5986499.9000000004</v>
      </c>
      <c r="I5" s="31">
        <v>7.4449744335154056E-2</v>
      </c>
      <c r="J5" s="31">
        <v>78.853345611201689</v>
      </c>
      <c r="L5" s="31">
        <v>3.1918470402350226E-3</v>
      </c>
      <c r="M5" s="31">
        <v>81.832517603354887</v>
      </c>
      <c r="O5" s="31">
        <v>0.39759842607656926</v>
      </c>
      <c r="P5" s="31">
        <v>63.615533082391806</v>
      </c>
    </row>
    <row r="6" spans="1:16" ht="15.75" customHeight="1">
      <c r="A6" s="10" t="s">
        <v>15</v>
      </c>
      <c r="B6" s="29">
        <v>361</v>
      </c>
      <c r="C6" s="30">
        <v>96200</v>
      </c>
      <c r="D6" s="29">
        <v>10042300.800000001</v>
      </c>
      <c r="E6" s="30">
        <v>28998</v>
      </c>
      <c r="F6" s="30">
        <v>26784</v>
      </c>
      <c r="G6" s="29">
        <v>6877759.2000000002</v>
      </c>
      <c r="I6" s="31">
        <v>1.4478904736190137</v>
      </c>
      <c r="J6" s="31">
        <v>18</v>
      </c>
      <c r="L6" s="31">
        <v>5.7637215901212076E-2</v>
      </c>
      <c r="M6" s="31">
        <v>18</v>
      </c>
      <c r="O6" s="31">
        <v>11.880400017493844</v>
      </c>
      <c r="P6" s="31">
        <v>18</v>
      </c>
    </row>
    <row r="7" spans="1:16" ht="15.75" customHeight="1">
      <c r="A7" s="10" t="s">
        <v>16</v>
      </c>
      <c r="B7" s="29">
        <v>367.6</v>
      </c>
      <c r="C7" s="30">
        <v>112756</v>
      </c>
      <c r="D7" s="29">
        <v>10101478.6</v>
      </c>
      <c r="E7" s="30">
        <v>16652</v>
      </c>
      <c r="F7" s="30">
        <v>23419</v>
      </c>
      <c r="G7" s="29">
        <v>7520684.2000000002</v>
      </c>
      <c r="I7" s="31">
        <v>9002.7659465667821</v>
      </c>
      <c r="J7" s="31">
        <v>111921.30205343319</v>
      </c>
      <c r="L7" s="31">
        <v>385.97112853897852</v>
      </c>
      <c r="M7" s="31">
        <v>120538.09687146099</v>
      </c>
      <c r="O7" s="31">
        <v>48079.219111576022</v>
      </c>
      <c r="P7" s="31">
        <v>72844.848888423949</v>
      </c>
    </row>
    <row r="8" spans="1:16" ht="15.75" customHeight="1">
      <c r="A8" s="10" t="s">
        <v>17</v>
      </c>
      <c r="B8" s="29">
        <v>412.7</v>
      </c>
      <c r="C8" s="30">
        <v>146657</v>
      </c>
      <c r="D8" s="29">
        <v>10101985.699999999</v>
      </c>
      <c r="E8" s="30">
        <v>19696</v>
      </c>
      <c r="F8" s="30">
        <v>26946</v>
      </c>
      <c r="G8" s="29">
        <v>8528558</v>
      </c>
      <c r="I8" s="1" t="s">
        <v>85</v>
      </c>
      <c r="J8" s="31">
        <f>I3/I4</f>
        <v>-1.203283205907496</v>
      </c>
      <c r="L8" s="1" t="s">
        <v>86</v>
      </c>
      <c r="M8" s="31">
        <f>L3/L4</f>
        <v>0.24007752060786933</v>
      </c>
      <c r="O8" s="1" t="s">
        <v>87</v>
      </c>
      <c r="P8" s="31">
        <f>O3/O4</f>
        <v>-3.4467956158574089</v>
      </c>
    </row>
    <row r="9" spans="1:16" ht="15.75" customHeight="1">
      <c r="A9" s="10" t="s">
        <v>18</v>
      </c>
      <c r="B9" s="29">
        <v>462</v>
      </c>
      <c r="C9" s="30">
        <v>111132</v>
      </c>
      <c r="D9" s="29">
        <v>10103727.1</v>
      </c>
      <c r="E9" s="30">
        <v>13031</v>
      </c>
      <c r="F9" s="30">
        <v>26241</v>
      </c>
      <c r="G9" s="29">
        <v>10671926.9</v>
      </c>
    </row>
    <row r="10" spans="1:16" ht="15.75" customHeight="1">
      <c r="A10" s="10" t="s">
        <v>19</v>
      </c>
      <c r="B10" s="29">
        <v>462.9</v>
      </c>
      <c r="C10" s="30">
        <v>104165</v>
      </c>
      <c r="D10" s="29">
        <v>10140718.5</v>
      </c>
      <c r="E10" s="30">
        <v>9855</v>
      </c>
      <c r="F10" s="30">
        <v>19972</v>
      </c>
      <c r="G10" s="29">
        <v>10926206</v>
      </c>
      <c r="I10" s="1" t="s">
        <v>10</v>
      </c>
      <c r="L10" s="1" t="s">
        <v>88</v>
      </c>
      <c r="O10" s="1" t="s">
        <v>89</v>
      </c>
    </row>
    <row r="11" spans="1:16" ht="15.75" customHeight="1">
      <c r="A11" s="10" t="s">
        <v>20</v>
      </c>
      <c r="B11" s="29">
        <v>458.5</v>
      </c>
      <c r="C11" s="30">
        <v>113208</v>
      </c>
      <c r="D11" s="29">
        <v>10146264.1</v>
      </c>
      <c r="E11" s="30">
        <v>15691</v>
      </c>
      <c r="F11" s="30">
        <v>30828</v>
      </c>
      <c r="G11" s="29">
        <v>12158205.199999999</v>
      </c>
      <c r="I11" s="31">
        <f t="array" ref="I11:J15">LINEST(B3:B22,F3:F22,1,1)</f>
        <v>-2.8655494263116091E-3</v>
      </c>
      <c r="J11" s="31">
        <v>543.67443213852744</v>
      </c>
      <c r="L11" s="31">
        <f t="array" ref="L11:M15">LINEST(B3:B22,G3:G22,1,1)</f>
        <v>1.7606408544930634E-5</v>
      </c>
      <c r="M11" s="31">
        <v>285.23977552394297</v>
      </c>
      <c r="O11" s="31">
        <f>TINV(0.1,18)</f>
        <v>1.7340636066175394</v>
      </c>
    </row>
    <row r="12" spans="1:16" ht="15.75" customHeight="1">
      <c r="A12" s="10" t="s">
        <v>21</v>
      </c>
      <c r="B12" s="29">
        <v>457.9</v>
      </c>
      <c r="C12" s="30">
        <v>116946</v>
      </c>
      <c r="D12" s="29">
        <v>10147099.9</v>
      </c>
      <c r="E12" s="30">
        <v>39639</v>
      </c>
      <c r="F12" s="30">
        <v>46519</v>
      </c>
      <c r="G12" s="29">
        <v>10127805.800000001</v>
      </c>
      <c r="I12" s="31">
        <v>1.5064229295189008E-3</v>
      </c>
      <c r="J12" s="31">
        <v>47.531611318346449</v>
      </c>
      <c r="L12" s="31">
        <v>4.4397545500532046E-6</v>
      </c>
      <c r="M12" s="31">
        <v>45.826309287745367</v>
      </c>
    </row>
    <row r="13" spans="1:16" ht="15.75" customHeight="1">
      <c r="A13" s="10" t="s">
        <v>22</v>
      </c>
      <c r="B13" s="29">
        <v>484.7</v>
      </c>
      <c r="C13" s="30">
        <v>114601</v>
      </c>
      <c r="D13" s="32">
        <v>10164813.6</v>
      </c>
      <c r="E13" s="30">
        <v>10640</v>
      </c>
      <c r="F13" s="30">
        <v>20766</v>
      </c>
      <c r="G13" s="29">
        <v>10851199.199999999</v>
      </c>
      <c r="I13" s="31">
        <v>0.16737767110950247</v>
      </c>
      <c r="J13" s="31">
        <v>74.790105969630048</v>
      </c>
      <c r="L13" s="31">
        <v>0.4662902072308131</v>
      </c>
      <c r="M13" s="31">
        <v>59.878747515795553</v>
      </c>
    </row>
    <row r="14" spans="1:16" ht="15.75" customHeight="1">
      <c r="A14" s="10" t="s">
        <v>23</v>
      </c>
      <c r="B14" s="29">
        <v>481.7</v>
      </c>
      <c r="C14" s="30">
        <v>129165</v>
      </c>
      <c r="D14" s="32">
        <v>10165112.01</v>
      </c>
      <c r="E14" s="30">
        <v>23817</v>
      </c>
      <c r="F14" s="30">
        <v>32863</v>
      </c>
      <c r="G14" s="29">
        <v>14248455.4</v>
      </c>
      <c r="I14" s="31">
        <v>3.6184449725071848</v>
      </c>
      <c r="J14" s="31">
        <v>18</v>
      </c>
      <c r="L14" s="31">
        <v>15.726193980076447</v>
      </c>
      <c r="M14" s="31">
        <v>18</v>
      </c>
    </row>
    <row r="15" spans="1:16" ht="15.75" customHeight="1">
      <c r="A15" s="10" t="s">
        <v>24</v>
      </c>
      <c r="B15" s="29">
        <v>521.4</v>
      </c>
      <c r="C15" s="30">
        <v>128533</v>
      </c>
      <c r="D15" s="32">
        <v>10175972.9</v>
      </c>
      <c r="E15" s="30">
        <v>32513</v>
      </c>
      <c r="F15" s="30">
        <v>47902</v>
      </c>
      <c r="G15" s="29">
        <v>15160046.4</v>
      </c>
      <c r="I15" s="31">
        <v>20239.988882927108</v>
      </c>
      <c r="J15" s="31">
        <v>100684.07911707286</v>
      </c>
      <c r="L15" s="31">
        <v>56385.708726912919</v>
      </c>
      <c r="M15" s="31">
        <v>64538.359273087051</v>
      </c>
    </row>
    <row r="16" spans="1:16" ht="15.75" customHeight="1">
      <c r="A16" s="10" t="s">
        <v>25</v>
      </c>
      <c r="B16" s="29">
        <v>526.20000000000005</v>
      </c>
      <c r="C16" s="30">
        <v>114588</v>
      </c>
      <c r="D16" s="32">
        <v>10167023.66</v>
      </c>
      <c r="E16" s="30">
        <v>9043</v>
      </c>
      <c r="F16" s="30">
        <v>20504</v>
      </c>
      <c r="G16" s="29">
        <v>6517035.4000000004</v>
      </c>
      <c r="I16" s="1" t="s">
        <v>90</v>
      </c>
      <c r="J16" s="31">
        <f>I11/I12</f>
        <v>-1.9022210629964098</v>
      </c>
      <c r="L16" s="33" t="s">
        <v>91</v>
      </c>
      <c r="M16" s="34">
        <f>L11/L12</f>
        <v>3.9656265558012986</v>
      </c>
    </row>
    <row r="17" spans="1:15" ht="15.75" customHeight="1">
      <c r="A17" s="10" t="s">
        <v>26</v>
      </c>
      <c r="B17" s="29">
        <v>545.1</v>
      </c>
      <c r="C17" s="30">
        <v>102442</v>
      </c>
      <c r="D17" s="32">
        <v>10175600.82</v>
      </c>
      <c r="E17" s="30">
        <v>10140</v>
      </c>
      <c r="F17" s="30">
        <v>21599</v>
      </c>
      <c r="G17" s="29">
        <v>6825385</v>
      </c>
    </row>
    <row r="18" spans="1:15" ht="15.75" customHeight="1">
      <c r="A18" s="10" t="s">
        <v>27</v>
      </c>
      <c r="B18" s="29">
        <v>525.6</v>
      </c>
      <c r="C18" s="30">
        <v>102895</v>
      </c>
      <c r="D18" s="32">
        <v>10182355.75</v>
      </c>
      <c r="E18" s="30">
        <v>12924</v>
      </c>
      <c r="F18" s="30">
        <v>24351</v>
      </c>
      <c r="G18" s="29">
        <v>10392119.5</v>
      </c>
    </row>
    <row r="19" spans="1:15" ht="15.75" customHeight="1">
      <c r="A19" s="10" t="s">
        <v>28</v>
      </c>
      <c r="B19" s="29">
        <v>534.79999999999995</v>
      </c>
      <c r="C19" s="30">
        <v>76361</v>
      </c>
      <c r="D19" s="32">
        <v>10107332.939999999</v>
      </c>
      <c r="E19" s="30">
        <v>18903</v>
      </c>
      <c r="F19" s="30">
        <v>31835</v>
      </c>
      <c r="G19" s="29">
        <v>12415204.300000001</v>
      </c>
    </row>
    <row r="20" spans="1:15" ht="15.75" customHeight="1">
      <c r="A20" s="10" t="s">
        <v>29</v>
      </c>
      <c r="B20" s="29">
        <v>525.79999999999995</v>
      </c>
      <c r="C20" s="30">
        <v>88688</v>
      </c>
      <c r="D20" s="32">
        <v>10106401.24</v>
      </c>
      <c r="E20" s="30">
        <v>18378</v>
      </c>
      <c r="F20" s="30">
        <v>24429</v>
      </c>
      <c r="G20" s="29">
        <v>11439859.300000001</v>
      </c>
    </row>
    <row r="21" spans="1:15" ht="15.75" customHeight="1">
      <c r="A21" s="10" t="s">
        <v>30</v>
      </c>
      <c r="B21" s="29">
        <v>546.20000000000005</v>
      </c>
      <c r="C21" s="30">
        <v>43182</v>
      </c>
      <c r="D21" s="32">
        <v>10109100.01</v>
      </c>
      <c r="E21" s="30">
        <v>5072</v>
      </c>
      <c r="F21" s="30">
        <v>12300</v>
      </c>
      <c r="G21" s="29">
        <v>12376568.1</v>
      </c>
    </row>
    <row r="22" spans="1:15" ht="15.75" customHeight="1">
      <c r="A22" s="10" t="s">
        <v>31</v>
      </c>
      <c r="B22" s="29">
        <v>537</v>
      </c>
      <c r="C22" s="30">
        <v>50484</v>
      </c>
      <c r="D22" s="32">
        <v>10113949.18</v>
      </c>
      <c r="E22" s="30">
        <v>13758</v>
      </c>
      <c r="F22" s="30">
        <v>26571</v>
      </c>
      <c r="G22" s="29">
        <v>13925996.5</v>
      </c>
    </row>
    <row r="23" spans="1:15" ht="15.75" customHeight="1">
      <c r="A23" s="35"/>
      <c r="B23" s="36" t="s">
        <v>6</v>
      </c>
      <c r="C23" s="37" t="s">
        <v>11</v>
      </c>
      <c r="D23" s="37" t="s">
        <v>7</v>
      </c>
      <c r="E23" s="37" t="s">
        <v>8</v>
      </c>
      <c r="F23" s="37" t="s">
        <v>9</v>
      </c>
      <c r="G23" s="37" t="s">
        <v>10</v>
      </c>
    </row>
    <row r="24" spans="1:15" ht="15.75" customHeight="1">
      <c r="A24" s="38" t="s">
        <v>12</v>
      </c>
      <c r="B24" s="39">
        <v>314.89999999999998</v>
      </c>
      <c r="C24" s="39">
        <v>5141415.5999999996</v>
      </c>
      <c r="D24" s="40">
        <v>100755</v>
      </c>
      <c r="E24" s="39">
        <v>10173238.699999999</v>
      </c>
      <c r="F24" s="40">
        <v>109624</v>
      </c>
      <c r="G24" s="40">
        <v>61934</v>
      </c>
      <c r="I24" s="31">
        <f t="array" ref="I24:K28">LINEST(B24:B43,C24:D43,1,1)</f>
        <v>-5.6950353127899623E-4</v>
      </c>
      <c r="J24" s="31">
        <v>1.6931535170648429E-5</v>
      </c>
      <c r="K24" s="31">
        <v>350.33686719760675</v>
      </c>
      <c r="M24" s="1" t="s">
        <v>89</v>
      </c>
      <c r="N24" s="31">
        <f>TINV(0.1,17)</f>
        <v>1.7396067260750732</v>
      </c>
    </row>
    <row r="25" spans="1:15" ht="15.75" customHeight="1">
      <c r="A25" s="38" t="s">
        <v>13</v>
      </c>
      <c r="B25" s="39">
        <v>321.7</v>
      </c>
      <c r="C25" s="39">
        <v>5337437.2</v>
      </c>
      <c r="D25" s="40">
        <v>96886</v>
      </c>
      <c r="E25" s="39">
        <v>10168394.300000001</v>
      </c>
      <c r="F25" s="40">
        <v>39331</v>
      </c>
      <c r="G25" s="40">
        <v>29314</v>
      </c>
      <c r="I25" s="31">
        <v>5.6952633414958202E-4</v>
      </c>
      <c r="J25" s="31">
        <v>4.4907681634985044E-6</v>
      </c>
      <c r="K25" s="31">
        <v>79.611749542468388</v>
      </c>
    </row>
    <row r="26" spans="1:15" ht="15.75" customHeight="1">
      <c r="A26" s="38" t="s">
        <v>14</v>
      </c>
      <c r="B26" s="39">
        <v>333.1</v>
      </c>
      <c r="C26" s="39">
        <v>5986499.9000000004</v>
      </c>
      <c r="D26" s="40">
        <v>102499</v>
      </c>
      <c r="E26" s="39">
        <v>10175896.699999999</v>
      </c>
      <c r="F26" s="40">
        <v>36149</v>
      </c>
      <c r="G26" s="40">
        <v>35626</v>
      </c>
      <c r="I26" s="31">
        <v>0.49593850889965274</v>
      </c>
      <c r="J26" s="31">
        <v>59.87888070489106</v>
      </c>
      <c r="K26" s="31" t="e">
        <v>#N/A</v>
      </c>
    </row>
    <row r="27" spans="1:15" ht="15.75" customHeight="1">
      <c r="A27" s="38" t="s">
        <v>15</v>
      </c>
      <c r="B27" s="39">
        <v>361</v>
      </c>
      <c r="C27" s="39">
        <v>6877759.2000000002</v>
      </c>
      <c r="D27" s="40">
        <v>96200</v>
      </c>
      <c r="E27" s="39">
        <v>10042300.800000001</v>
      </c>
      <c r="F27" s="40">
        <v>28998</v>
      </c>
      <c r="G27" s="40">
        <v>26784</v>
      </c>
      <c r="I27" s="31">
        <v>8.363021972666111</v>
      </c>
      <c r="J27" s="31">
        <v>17</v>
      </c>
      <c r="K27" s="31" t="e">
        <v>#N/A</v>
      </c>
    </row>
    <row r="28" spans="1:15" ht="15.75" customHeight="1">
      <c r="A28" s="38" t="s">
        <v>16</v>
      </c>
      <c r="B28" s="39">
        <v>367.6</v>
      </c>
      <c r="C28" s="39">
        <v>7520684.2000000002</v>
      </c>
      <c r="D28" s="40">
        <v>112756</v>
      </c>
      <c r="E28" s="39">
        <v>10101478.6</v>
      </c>
      <c r="F28" s="40">
        <v>16652</v>
      </c>
      <c r="G28" s="40">
        <v>23419</v>
      </c>
      <c r="I28" s="31">
        <v>59970.901974000197</v>
      </c>
      <c r="J28" s="31">
        <v>60953.166025999773</v>
      </c>
      <c r="K28" s="31" t="e">
        <v>#N/A</v>
      </c>
      <c r="M28" s="1" t="s">
        <v>85</v>
      </c>
      <c r="N28" s="31">
        <f t="shared" ref="N28:O28" si="0">I24/I25</f>
        <v>-0.99995996169234236</v>
      </c>
      <c r="O28" s="31">
        <f t="shared" si="0"/>
        <v>3.7702982105088285</v>
      </c>
    </row>
    <row r="29" spans="1:15" ht="15.75" customHeight="1">
      <c r="A29" s="38" t="s">
        <v>17</v>
      </c>
      <c r="B29" s="39">
        <v>412.7</v>
      </c>
      <c r="C29" s="39">
        <v>8528558</v>
      </c>
      <c r="D29" s="40">
        <v>146657</v>
      </c>
      <c r="E29" s="39">
        <v>10101985.699999999</v>
      </c>
      <c r="F29" s="40">
        <v>19696</v>
      </c>
      <c r="G29" s="40">
        <v>26946</v>
      </c>
    </row>
    <row r="30" spans="1:15" ht="15.75" customHeight="1">
      <c r="A30" s="38" t="s">
        <v>18</v>
      </c>
      <c r="B30" s="39">
        <v>462</v>
      </c>
      <c r="C30" s="39">
        <v>10671926.9</v>
      </c>
      <c r="D30" s="40">
        <v>111132</v>
      </c>
      <c r="E30" s="39">
        <v>10103727.1</v>
      </c>
      <c r="F30" s="40">
        <v>13031</v>
      </c>
      <c r="G30" s="40">
        <v>26241</v>
      </c>
    </row>
    <row r="31" spans="1:15" ht="15.75" customHeight="1">
      <c r="A31" s="38" t="s">
        <v>19</v>
      </c>
      <c r="B31" s="39">
        <v>462.9</v>
      </c>
      <c r="C31" s="39">
        <v>10926206</v>
      </c>
      <c r="D31" s="40">
        <v>104165</v>
      </c>
      <c r="E31" s="39">
        <v>10140718.5</v>
      </c>
      <c r="F31" s="40">
        <v>9855</v>
      </c>
      <c r="G31" s="40">
        <v>19972</v>
      </c>
      <c r="I31" s="31">
        <f t="array" ref="I31:K35">LINEST(A45:A64,B45:C64,1,1)</f>
        <v>2.3379989310201907E-4</v>
      </c>
      <c r="J31" s="31">
        <v>1.7831158940010258E-5</v>
      </c>
      <c r="K31" s="31">
        <v>-2087.3446263746528</v>
      </c>
    </row>
    <row r="32" spans="1:15" ht="15.75" customHeight="1">
      <c r="A32" s="38" t="s">
        <v>20</v>
      </c>
      <c r="B32" s="39">
        <v>458.5</v>
      </c>
      <c r="C32" s="39">
        <v>12158205.199999999</v>
      </c>
      <c r="D32" s="40">
        <v>113208</v>
      </c>
      <c r="E32" s="39">
        <v>10146264.1</v>
      </c>
      <c r="F32" s="40">
        <v>15691</v>
      </c>
      <c r="G32" s="40">
        <v>30828</v>
      </c>
      <c r="I32" s="31">
        <v>3.7049226232448298E-4</v>
      </c>
      <c r="J32" s="31">
        <v>4.5299058718837275E-6</v>
      </c>
      <c r="K32" s="31">
        <v>3760.0176072863696</v>
      </c>
    </row>
    <row r="33" spans="1:15" ht="15.75" customHeight="1">
      <c r="A33" s="38" t="s">
        <v>21</v>
      </c>
      <c r="B33" s="39">
        <v>457.9</v>
      </c>
      <c r="C33" s="39">
        <v>10127805.800000001</v>
      </c>
      <c r="D33" s="40">
        <v>116946</v>
      </c>
      <c r="E33" s="39">
        <v>10147099.9</v>
      </c>
      <c r="F33" s="40">
        <v>39639</v>
      </c>
      <c r="G33" s="40">
        <v>46519</v>
      </c>
      <c r="I33" s="31">
        <v>0.47850624928491547</v>
      </c>
      <c r="J33" s="31">
        <v>60.905493702295431</v>
      </c>
      <c r="K33" s="31" t="e">
        <v>#N/A</v>
      </c>
    </row>
    <row r="34" spans="1:15" ht="15.75" customHeight="1">
      <c r="A34" s="38" t="s">
        <v>22</v>
      </c>
      <c r="B34" s="39">
        <v>484.7</v>
      </c>
      <c r="C34" s="39">
        <v>10851199.199999999</v>
      </c>
      <c r="D34" s="40">
        <v>114601</v>
      </c>
      <c r="E34" s="41">
        <v>10164813.6</v>
      </c>
      <c r="F34" s="40">
        <v>10640</v>
      </c>
      <c r="G34" s="40">
        <v>20766</v>
      </c>
      <c r="I34" s="31">
        <v>7.7993324241078623</v>
      </c>
      <c r="J34" s="31">
        <v>17</v>
      </c>
      <c r="K34" s="31" t="e">
        <v>#N/A</v>
      </c>
    </row>
    <row r="35" spans="1:15" ht="15.75" customHeight="1">
      <c r="A35" s="38" t="s">
        <v>23</v>
      </c>
      <c r="B35" s="39">
        <v>481.7</v>
      </c>
      <c r="C35" s="39">
        <v>14248455.4</v>
      </c>
      <c r="D35" s="40">
        <v>129165</v>
      </c>
      <c r="E35" s="41">
        <v>10165112.01</v>
      </c>
      <c r="F35" s="40">
        <v>23817</v>
      </c>
      <c r="G35" s="40">
        <v>32863</v>
      </c>
      <c r="I35" s="31">
        <v>57862.922226954055</v>
      </c>
      <c r="J35" s="31">
        <v>63061.145773045915</v>
      </c>
      <c r="K35" s="31" t="e">
        <v>#N/A</v>
      </c>
      <c r="M35" s="1" t="s">
        <v>86</v>
      </c>
      <c r="N35" s="31">
        <f t="shared" ref="N35:O35" si="1">I31/I32</f>
        <v>0.63105202693073636</v>
      </c>
      <c r="O35" s="31">
        <f t="shared" si="1"/>
        <v>3.9363199687403889</v>
      </c>
    </row>
    <row r="36" spans="1:15" ht="15.75" customHeight="1">
      <c r="A36" s="38" t="s">
        <v>24</v>
      </c>
      <c r="B36" s="39">
        <v>521.4</v>
      </c>
      <c r="C36" s="39">
        <v>15160046.4</v>
      </c>
      <c r="D36" s="40">
        <v>128533</v>
      </c>
      <c r="E36" s="41">
        <v>10175972.9</v>
      </c>
      <c r="F36" s="40">
        <v>32513</v>
      </c>
      <c r="G36" s="40">
        <v>47902</v>
      </c>
    </row>
    <row r="37" spans="1:15" ht="15.75" customHeight="1">
      <c r="A37" s="38" t="s">
        <v>25</v>
      </c>
      <c r="B37" s="39">
        <v>526.20000000000005</v>
      </c>
      <c r="C37" s="39">
        <v>6517035.4000000004</v>
      </c>
      <c r="D37" s="40">
        <v>114588</v>
      </c>
      <c r="E37" s="41">
        <v>10167023.66</v>
      </c>
      <c r="F37" s="40">
        <v>9043</v>
      </c>
      <c r="G37" s="40">
        <v>20504</v>
      </c>
    </row>
    <row r="38" spans="1:15" ht="15">
      <c r="A38" s="38" t="s">
        <v>26</v>
      </c>
      <c r="B38" s="39">
        <v>545.1</v>
      </c>
      <c r="C38" s="39">
        <v>6825385</v>
      </c>
      <c r="D38" s="40">
        <v>102442</v>
      </c>
      <c r="E38" s="41">
        <v>10175600.82</v>
      </c>
      <c r="F38" s="40">
        <v>10140</v>
      </c>
      <c r="G38" s="40">
        <v>21599</v>
      </c>
      <c r="I38" s="31">
        <f t="array" ref="I38:K42">LINEST(A45:A64,D45:E64,1,1)</f>
        <v>-1.4846787191340953E-3</v>
      </c>
      <c r="J38" s="31">
        <v>1.3155698057057997E-5</v>
      </c>
      <c r="K38" s="31">
        <v>365.09298757511527</v>
      </c>
      <c r="M38" s="1" t="s">
        <v>87</v>
      </c>
      <c r="N38" s="31">
        <f t="shared" ref="N38:O38" si="2">I38/I39</f>
        <v>-2.5543180274603099</v>
      </c>
      <c r="O38" s="31">
        <f t="shared" si="2"/>
        <v>3.0906788530763891</v>
      </c>
    </row>
    <row r="39" spans="1:15" ht="15">
      <c r="A39" s="38" t="s">
        <v>27</v>
      </c>
      <c r="B39" s="39">
        <v>525.6</v>
      </c>
      <c r="C39" s="39">
        <v>10392119.5</v>
      </c>
      <c r="D39" s="40">
        <v>102895</v>
      </c>
      <c r="E39" s="41">
        <v>10182355.75</v>
      </c>
      <c r="F39" s="40">
        <v>12924</v>
      </c>
      <c r="G39" s="40">
        <v>24351</v>
      </c>
      <c r="I39" s="31">
        <v>5.8124270477402987E-4</v>
      </c>
      <c r="J39" s="31">
        <v>4.2565723203376904E-6</v>
      </c>
      <c r="K39" s="31">
        <v>50.834899592311409</v>
      </c>
    </row>
    <row r="40" spans="1:15" ht="15">
      <c r="A40" s="38" t="s">
        <v>28</v>
      </c>
      <c r="B40" s="39">
        <v>534.79999999999995</v>
      </c>
      <c r="C40" s="39">
        <v>12415204.300000001</v>
      </c>
      <c r="D40" s="40">
        <v>76361</v>
      </c>
      <c r="E40" s="41">
        <v>10107332.939999999</v>
      </c>
      <c r="F40" s="40">
        <v>18903</v>
      </c>
      <c r="G40" s="40">
        <v>31835</v>
      </c>
      <c r="I40" s="31">
        <v>0.61431482820523975</v>
      </c>
      <c r="J40" s="31">
        <v>52.377936498166449</v>
      </c>
      <c r="K40" s="31" t="e">
        <v>#N/A</v>
      </c>
    </row>
    <row r="41" spans="1:15" ht="15">
      <c r="A41" s="38" t="s">
        <v>29</v>
      </c>
      <c r="B41" s="39">
        <v>525.79999999999995</v>
      </c>
      <c r="C41" s="39">
        <v>11439859.300000001</v>
      </c>
      <c r="D41" s="40">
        <v>88688</v>
      </c>
      <c r="E41" s="41">
        <v>10106401.24</v>
      </c>
      <c r="F41" s="40">
        <v>18378</v>
      </c>
      <c r="G41" s="40">
        <v>24429</v>
      </c>
      <c r="I41" s="31">
        <v>13.53870052987989</v>
      </c>
      <c r="J41" s="31">
        <v>17</v>
      </c>
      <c r="K41" s="31" t="e">
        <v>#N/A</v>
      </c>
    </row>
    <row r="42" spans="1:15" ht="15">
      <c r="A42" s="38" t="s">
        <v>30</v>
      </c>
      <c r="B42" s="39">
        <v>546.20000000000005</v>
      </c>
      <c r="C42" s="39">
        <v>12376568.1</v>
      </c>
      <c r="D42" s="40">
        <v>43182</v>
      </c>
      <c r="E42" s="41">
        <v>10109100.01</v>
      </c>
      <c r="F42" s="40">
        <v>5072</v>
      </c>
      <c r="G42" s="40">
        <v>12300</v>
      </c>
      <c r="I42" s="31">
        <v>74285.448059298709</v>
      </c>
      <c r="J42" s="31">
        <v>46638.619940701268</v>
      </c>
      <c r="K42" s="31" t="e">
        <v>#N/A</v>
      </c>
    </row>
    <row r="43" spans="1:15" ht="15">
      <c r="A43" s="38" t="s">
        <v>31</v>
      </c>
      <c r="B43" s="42">
        <v>537</v>
      </c>
      <c r="C43" s="42">
        <v>13925996.5</v>
      </c>
      <c r="D43" s="43">
        <v>50484</v>
      </c>
      <c r="E43" s="44">
        <v>10113949.18</v>
      </c>
      <c r="F43" s="43">
        <v>13758</v>
      </c>
      <c r="G43" s="43">
        <v>26571</v>
      </c>
    </row>
    <row r="44" spans="1:15" ht="15">
      <c r="A44" s="36" t="s">
        <v>6</v>
      </c>
      <c r="B44" s="37" t="s">
        <v>11</v>
      </c>
      <c r="C44" s="45" t="s">
        <v>8</v>
      </c>
      <c r="D44" s="37" t="s">
        <v>11</v>
      </c>
      <c r="E44" s="45" t="s">
        <v>9</v>
      </c>
      <c r="F44" s="37" t="s">
        <v>11</v>
      </c>
      <c r="G44" s="37" t="s">
        <v>10</v>
      </c>
    </row>
    <row r="45" spans="1:15" ht="15">
      <c r="A45" s="39">
        <v>314.89999999999998</v>
      </c>
      <c r="B45" s="39">
        <v>5141415.5999999996</v>
      </c>
      <c r="C45" s="39">
        <v>10173238.699999999</v>
      </c>
      <c r="D45" s="39">
        <v>5141415.5999999996</v>
      </c>
      <c r="E45" s="40">
        <v>109624</v>
      </c>
      <c r="F45" s="39">
        <v>5141415.5999999996</v>
      </c>
      <c r="G45" s="40">
        <v>61934</v>
      </c>
      <c r="I45" s="31">
        <f t="array" ref="I45:K49">LINEST(A45:A64,F45:G64,1,1)</f>
        <v>-2.4717264056375965E-3</v>
      </c>
      <c r="J45" s="31">
        <v>1.6822286924277952E-5</v>
      </c>
      <c r="K45" s="31">
        <v>365.98297823207344</v>
      </c>
      <c r="M45" s="1" t="s">
        <v>90</v>
      </c>
      <c r="N45" s="31">
        <f t="shared" ref="N45:O45" si="3">I45/I46</f>
        <v>-2.2636065176075766</v>
      </c>
      <c r="O45" s="31">
        <f t="shared" si="3"/>
        <v>4.1850638690753001</v>
      </c>
    </row>
    <row r="46" spans="1:15" ht="15">
      <c r="A46" s="39">
        <v>321.7</v>
      </c>
      <c r="B46" s="39">
        <v>5337437.2</v>
      </c>
      <c r="C46" s="39">
        <v>10168394.300000001</v>
      </c>
      <c r="D46" s="39">
        <v>5337437.2</v>
      </c>
      <c r="E46" s="40">
        <v>39331</v>
      </c>
      <c r="F46" s="39">
        <v>5337437.2</v>
      </c>
      <c r="G46" s="40">
        <v>29314</v>
      </c>
      <c r="I46" s="31">
        <v>1.0919417250353138E-3</v>
      </c>
      <c r="J46" s="31">
        <v>4.0196010026472734E-6</v>
      </c>
      <c r="K46" s="31">
        <v>54.598166462381599</v>
      </c>
    </row>
    <row r="47" spans="1:15" ht="15">
      <c r="A47" s="39">
        <v>333.1</v>
      </c>
      <c r="B47" s="39">
        <v>5986499.9000000004</v>
      </c>
      <c r="C47" s="39">
        <v>10175896.699999999</v>
      </c>
      <c r="D47" s="39">
        <v>5986499.9000000004</v>
      </c>
      <c r="E47" s="40">
        <v>36149</v>
      </c>
      <c r="F47" s="39">
        <v>5986499.9000000004</v>
      </c>
      <c r="G47" s="40">
        <v>35626</v>
      </c>
      <c r="I47" s="31">
        <v>0.58989777822582712</v>
      </c>
      <c r="J47" s="31">
        <v>54.010472270374486</v>
      </c>
      <c r="K47" s="31" t="e">
        <v>#N/A</v>
      </c>
    </row>
    <row r="48" spans="1:15" ht="15">
      <c r="A48" s="39">
        <v>361</v>
      </c>
      <c r="B48" s="39">
        <v>6877759.2000000002</v>
      </c>
      <c r="C48" s="39">
        <v>10042300.800000001</v>
      </c>
      <c r="D48" s="39">
        <v>6877759.2000000002</v>
      </c>
      <c r="E48" s="40">
        <v>28998</v>
      </c>
      <c r="F48" s="39">
        <v>6877759.2000000002</v>
      </c>
      <c r="G48" s="40">
        <v>26784</v>
      </c>
      <c r="I48" s="31">
        <v>12.226539747157512</v>
      </c>
      <c r="J48" s="31">
        <v>17</v>
      </c>
      <c r="K48" s="31" t="e">
        <v>#N/A</v>
      </c>
    </row>
    <row r="49" spans="1:13" ht="15">
      <c r="A49" s="39">
        <v>367.6</v>
      </c>
      <c r="B49" s="39">
        <v>7520684.2000000002</v>
      </c>
      <c r="C49" s="39">
        <v>10101478.6</v>
      </c>
      <c r="D49" s="39">
        <v>7520684.2000000002</v>
      </c>
      <c r="E49" s="40">
        <v>16652</v>
      </c>
      <c r="F49" s="39">
        <v>7520684.2000000002</v>
      </c>
      <c r="G49" s="40">
        <v>23419</v>
      </c>
      <c r="I49" s="31">
        <v>71332.839047228816</v>
      </c>
      <c r="J49" s="31">
        <v>49591.228952771155</v>
      </c>
      <c r="K49" s="31" t="e">
        <v>#N/A</v>
      </c>
    </row>
    <row r="50" spans="1:13" ht="15">
      <c r="A50" s="39">
        <v>412.7</v>
      </c>
      <c r="B50" s="39">
        <v>8528558</v>
      </c>
      <c r="C50" s="39">
        <v>10101985.699999999</v>
      </c>
      <c r="D50" s="39">
        <v>8528558</v>
      </c>
      <c r="E50" s="40">
        <v>19696</v>
      </c>
      <c r="F50" s="39">
        <v>8528558</v>
      </c>
      <c r="G50" s="40">
        <v>26946</v>
      </c>
    </row>
    <row r="51" spans="1:13" ht="15">
      <c r="A51" s="39">
        <v>462</v>
      </c>
      <c r="B51" s="39">
        <v>10671926.9</v>
      </c>
      <c r="C51" s="39">
        <v>10103727.1</v>
      </c>
      <c r="D51" s="39">
        <v>10671926.9</v>
      </c>
      <c r="E51" s="40">
        <v>13031</v>
      </c>
      <c r="F51" s="39">
        <v>10671926.9</v>
      </c>
      <c r="G51" s="40">
        <v>26241</v>
      </c>
    </row>
    <row r="52" spans="1:13" ht="15">
      <c r="A52" s="39">
        <v>462.9</v>
      </c>
      <c r="B52" s="39">
        <v>10926206</v>
      </c>
      <c r="C52" s="39">
        <v>10140718.5</v>
      </c>
      <c r="D52" s="39">
        <v>10926206</v>
      </c>
      <c r="E52" s="40">
        <v>9855</v>
      </c>
      <c r="F52" s="39">
        <v>10926206</v>
      </c>
      <c r="G52" s="40">
        <v>19972</v>
      </c>
    </row>
    <row r="53" spans="1:13" ht="15">
      <c r="A53" s="39">
        <v>458.5</v>
      </c>
      <c r="B53" s="39">
        <v>12158205.199999999</v>
      </c>
      <c r="C53" s="39">
        <v>10146264.1</v>
      </c>
      <c r="D53" s="39">
        <v>12158205.199999999</v>
      </c>
      <c r="E53" s="40">
        <v>15691</v>
      </c>
      <c r="F53" s="39">
        <v>12158205.199999999</v>
      </c>
      <c r="G53" s="40">
        <v>30828</v>
      </c>
    </row>
    <row r="54" spans="1:13" ht="15">
      <c r="A54" s="39">
        <v>457.9</v>
      </c>
      <c r="B54" s="39">
        <v>10127805.800000001</v>
      </c>
      <c r="C54" s="39">
        <v>10147099.9</v>
      </c>
      <c r="D54" s="39">
        <v>10127805.800000001</v>
      </c>
      <c r="E54" s="40">
        <v>39639</v>
      </c>
      <c r="F54" s="39">
        <v>10127805.800000001</v>
      </c>
      <c r="G54" s="40">
        <v>46519</v>
      </c>
    </row>
    <row r="55" spans="1:13" ht="15">
      <c r="A55" s="39">
        <v>484.7</v>
      </c>
      <c r="B55" s="39">
        <v>10851199.199999999</v>
      </c>
      <c r="C55" s="41">
        <v>10164813.6</v>
      </c>
      <c r="D55" s="39">
        <v>10851199.199999999</v>
      </c>
      <c r="E55" s="40">
        <v>10640</v>
      </c>
      <c r="F55" s="39">
        <v>10851199.199999999</v>
      </c>
      <c r="G55" s="40">
        <v>20766</v>
      </c>
    </row>
    <row r="56" spans="1:13" ht="15">
      <c r="A56" s="39">
        <v>481.7</v>
      </c>
      <c r="B56" s="39">
        <v>14248455.4</v>
      </c>
      <c r="C56" s="41">
        <v>10165112.01</v>
      </c>
      <c r="D56" s="39">
        <v>14248455.4</v>
      </c>
      <c r="E56" s="40">
        <v>23817</v>
      </c>
      <c r="F56" s="39">
        <v>14248455.4</v>
      </c>
      <c r="G56" s="40">
        <v>32863</v>
      </c>
    </row>
    <row r="57" spans="1:13" ht="15">
      <c r="A57" s="39">
        <v>521.4</v>
      </c>
      <c r="B57" s="39">
        <v>15160046.4</v>
      </c>
      <c r="C57" s="41">
        <v>10175972.9</v>
      </c>
      <c r="D57" s="39">
        <v>15160046.4</v>
      </c>
      <c r="E57" s="40">
        <v>32513</v>
      </c>
      <c r="F57" s="39">
        <v>15160046.4</v>
      </c>
      <c r="G57" s="40">
        <v>47902</v>
      </c>
    </row>
    <row r="58" spans="1:13" ht="15">
      <c r="A58" s="39">
        <v>526.20000000000005</v>
      </c>
      <c r="B58" s="39">
        <v>6517035.4000000004</v>
      </c>
      <c r="C58" s="41">
        <v>10167023.66</v>
      </c>
      <c r="D58" s="39">
        <v>6517035.4000000004</v>
      </c>
      <c r="E58" s="40">
        <v>9043</v>
      </c>
      <c r="F58" s="39">
        <v>6517035.4000000004</v>
      </c>
      <c r="G58" s="40">
        <v>20504</v>
      </c>
    </row>
    <row r="59" spans="1:13" ht="15">
      <c r="A59" s="39">
        <v>545.1</v>
      </c>
      <c r="B59" s="39">
        <v>6825385</v>
      </c>
      <c r="C59" s="41">
        <v>10175600.82</v>
      </c>
      <c r="D59" s="39">
        <v>6825385</v>
      </c>
      <c r="E59" s="40">
        <v>10140</v>
      </c>
      <c r="F59" s="39">
        <v>6825385</v>
      </c>
      <c r="G59" s="40">
        <v>21599</v>
      </c>
    </row>
    <row r="60" spans="1:13" ht="15">
      <c r="A60" s="39">
        <v>525.6</v>
      </c>
      <c r="B60" s="39">
        <v>10392119.5</v>
      </c>
      <c r="C60" s="41">
        <v>10182355.75</v>
      </c>
      <c r="D60" s="39">
        <v>10392119.5</v>
      </c>
      <c r="E60" s="40">
        <v>12924</v>
      </c>
      <c r="F60" s="39">
        <v>10392119.5</v>
      </c>
      <c r="G60" s="40">
        <v>24351</v>
      </c>
      <c r="M60" s="46">
        <f>TINV(0.1,16)</f>
        <v>1.7458836762762506</v>
      </c>
    </row>
    <row r="61" spans="1:13" ht="15">
      <c r="A61" s="39">
        <v>534.79999999999995</v>
      </c>
      <c r="B61" s="39">
        <v>12415204.300000001</v>
      </c>
      <c r="C61" s="41">
        <v>10107332.939999999</v>
      </c>
      <c r="D61" s="39">
        <v>12415204.300000001</v>
      </c>
      <c r="E61" s="40">
        <v>18903</v>
      </c>
      <c r="F61" s="39">
        <v>12415204.300000001</v>
      </c>
      <c r="G61" s="40">
        <v>31835</v>
      </c>
    </row>
    <row r="62" spans="1:13" ht="15">
      <c r="A62" s="39">
        <v>525.79999999999995</v>
      </c>
      <c r="B62" s="39">
        <v>11439859.300000001</v>
      </c>
      <c r="C62" s="41">
        <v>10106401.24</v>
      </c>
      <c r="D62" s="39">
        <v>11439859.300000001</v>
      </c>
      <c r="E62" s="40">
        <v>18378</v>
      </c>
      <c r="F62" s="39">
        <v>11439859.300000001</v>
      </c>
      <c r="G62" s="40">
        <v>24429</v>
      </c>
    </row>
    <row r="63" spans="1:13" ht="15">
      <c r="A63" s="39">
        <v>546.20000000000005</v>
      </c>
      <c r="B63" s="39">
        <v>12376568.1</v>
      </c>
      <c r="C63" s="41">
        <v>10109100.01</v>
      </c>
      <c r="D63" s="39">
        <v>12376568.1</v>
      </c>
      <c r="E63" s="40">
        <v>5072</v>
      </c>
      <c r="F63" s="39">
        <v>12376568.1</v>
      </c>
      <c r="G63" s="40">
        <v>12300</v>
      </c>
    </row>
    <row r="64" spans="1:13" ht="15">
      <c r="A64" s="42">
        <v>537</v>
      </c>
      <c r="B64" s="42">
        <v>13925996.5</v>
      </c>
      <c r="C64" s="44">
        <v>10113949.18</v>
      </c>
      <c r="D64" s="42">
        <v>13925996.5</v>
      </c>
      <c r="E64" s="43">
        <v>13758</v>
      </c>
      <c r="F64" s="42">
        <v>13925996.5</v>
      </c>
      <c r="G64" s="43">
        <v>26571</v>
      </c>
    </row>
    <row r="65" spans="1:15" ht="15">
      <c r="A65" s="36" t="s">
        <v>6</v>
      </c>
      <c r="B65" s="37" t="s">
        <v>11</v>
      </c>
      <c r="C65" s="45" t="s">
        <v>9</v>
      </c>
      <c r="D65" s="37" t="s">
        <v>7</v>
      </c>
      <c r="E65" s="37" t="s">
        <v>11</v>
      </c>
      <c r="F65" s="45" t="s">
        <v>9</v>
      </c>
      <c r="G65" s="45" t="s">
        <v>8</v>
      </c>
      <c r="H65" s="37" t="s">
        <v>11</v>
      </c>
      <c r="I65" s="45" t="s">
        <v>9</v>
      </c>
      <c r="J65" s="37" t="s">
        <v>10</v>
      </c>
    </row>
    <row r="66" spans="1:15" ht="15">
      <c r="A66" s="39">
        <v>314.89999999999998</v>
      </c>
      <c r="B66" s="39">
        <v>5141415.5999999996</v>
      </c>
      <c r="C66" s="40">
        <v>109624</v>
      </c>
      <c r="D66" s="40">
        <v>100755</v>
      </c>
      <c r="E66" s="39">
        <v>5141415.5999999996</v>
      </c>
      <c r="F66" s="40">
        <v>109624</v>
      </c>
      <c r="G66" s="39">
        <v>10173238.699999999</v>
      </c>
      <c r="H66" s="39">
        <v>5141415.5999999996</v>
      </c>
      <c r="I66" s="40">
        <v>109624</v>
      </c>
      <c r="J66" s="40">
        <v>61934</v>
      </c>
      <c r="L66" s="31">
        <f t="array" ref="L66:O70">LINEST(A66:A85,B66:D85,1,1)</f>
        <v>-4.9385946831038171E-4</v>
      </c>
      <c r="M66" s="31">
        <v>-1.4495979875063952E-3</v>
      </c>
      <c r="N66" s="31">
        <v>1.2675628064374679E-5</v>
      </c>
      <c r="O66" s="31">
        <v>419.65677424036829</v>
      </c>
    </row>
    <row r="67" spans="1:15" ht="15">
      <c r="A67" s="39">
        <v>321.7</v>
      </c>
      <c r="B67" s="39">
        <v>5337437.2</v>
      </c>
      <c r="C67" s="40">
        <v>39331</v>
      </c>
      <c r="D67" s="40">
        <v>96886</v>
      </c>
      <c r="E67" s="39">
        <v>5337437.2</v>
      </c>
      <c r="F67" s="40">
        <v>39331</v>
      </c>
      <c r="G67" s="39">
        <v>10168394.300000001</v>
      </c>
      <c r="H67" s="39">
        <v>5337437.2</v>
      </c>
      <c r="I67" s="40">
        <v>39331</v>
      </c>
      <c r="J67" s="40">
        <v>29314</v>
      </c>
      <c r="L67" s="31">
        <v>4.9943468362008967E-4</v>
      </c>
      <c r="M67" s="31">
        <v>5.8270358870411677E-4</v>
      </c>
      <c r="N67" s="31">
        <v>4.2869337584245213E-6</v>
      </c>
      <c r="O67" s="31">
        <v>75.04913288773578</v>
      </c>
    </row>
    <row r="68" spans="1:15" ht="15">
      <c r="A68" s="39">
        <v>333.1</v>
      </c>
      <c r="B68" s="39">
        <v>5986499.9000000004</v>
      </c>
      <c r="C68" s="40">
        <v>36149</v>
      </c>
      <c r="D68" s="40">
        <v>102499</v>
      </c>
      <c r="E68" s="39">
        <v>5986499.9000000004</v>
      </c>
      <c r="F68" s="40">
        <v>36149</v>
      </c>
      <c r="G68" s="39">
        <v>10175896.699999999</v>
      </c>
      <c r="H68" s="39">
        <v>5986499.9000000004</v>
      </c>
      <c r="I68" s="40">
        <v>36149</v>
      </c>
      <c r="J68" s="40">
        <v>35626</v>
      </c>
      <c r="L68" s="31">
        <v>0.6365275070775257</v>
      </c>
      <c r="M68" s="31">
        <v>52.412172041835142</v>
      </c>
      <c r="N68" s="31" t="e">
        <v>#N/A</v>
      </c>
      <c r="O68" s="31" t="e">
        <v>#N/A</v>
      </c>
    </row>
    <row r="69" spans="1:15" ht="15">
      <c r="A69" s="39">
        <v>361</v>
      </c>
      <c r="B69" s="39">
        <v>6877759.2000000002</v>
      </c>
      <c r="C69" s="40">
        <v>28998</v>
      </c>
      <c r="D69" s="40">
        <v>96200</v>
      </c>
      <c r="E69" s="39">
        <v>6877759.2000000002</v>
      </c>
      <c r="F69" s="40">
        <v>28998</v>
      </c>
      <c r="G69" s="39">
        <v>10042300.800000001</v>
      </c>
      <c r="H69" s="39">
        <v>6877759.2000000002</v>
      </c>
      <c r="I69" s="40">
        <v>28998</v>
      </c>
      <c r="J69" s="40">
        <v>26784</v>
      </c>
      <c r="L69" s="31">
        <v>9.3399457653160614</v>
      </c>
      <c r="M69" s="31">
        <v>16</v>
      </c>
      <c r="N69" s="31" t="e">
        <v>#N/A</v>
      </c>
      <c r="O69" s="31" t="e">
        <v>#N/A</v>
      </c>
    </row>
    <row r="70" spans="1:15" ht="15">
      <c r="A70" s="39">
        <v>367.6</v>
      </c>
      <c r="B70" s="39">
        <v>7520684.2000000002</v>
      </c>
      <c r="C70" s="40">
        <v>16652</v>
      </c>
      <c r="D70" s="40">
        <v>112756</v>
      </c>
      <c r="E70" s="39">
        <v>7520684.2000000002</v>
      </c>
      <c r="F70" s="40">
        <v>16652</v>
      </c>
      <c r="G70" s="39">
        <v>10101478.6</v>
      </c>
      <c r="H70" s="39">
        <v>7520684.2000000002</v>
      </c>
      <c r="I70" s="40">
        <v>16652</v>
      </c>
      <c r="J70" s="40">
        <v>23419</v>
      </c>
      <c r="L70" s="31">
        <v>76971.495549713174</v>
      </c>
      <c r="M70" s="31">
        <v>43952.572450286803</v>
      </c>
      <c r="N70" s="31" t="e">
        <v>#N/A</v>
      </c>
      <c r="O70" s="31" t="e">
        <v>#N/A</v>
      </c>
    </row>
    <row r="71" spans="1:15" ht="15">
      <c r="A71" s="39">
        <v>412.7</v>
      </c>
      <c r="B71" s="39">
        <v>8528558</v>
      </c>
      <c r="C71" s="40">
        <v>19696</v>
      </c>
      <c r="D71" s="40">
        <v>146657</v>
      </c>
      <c r="E71" s="39">
        <v>8528558</v>
      </c>
      <c r="F71" s="40">
        <v>19696</v>
      </c>
      <c r="G71" s="39">
        <v>10101985.699999999</v>
      </c>
      <c r="H71" s="39">
        <v>8528558</v>
      </c>
      <c r="I71" s="40">
        <v>19696</v>
      </c>
      <c r="J71" s="40">
        <v>26946</v>
      </c>
      <c r="L71" s="31">
        <f t="shared" ref="L71:N71" si="4">L66/L67</f>
        <v>-0.98883694806837064</v>
      </c>
      <c r="M71" s="31">
        <f t="shared" si="4"/>
        <v>-2.4877107599940782</v>
      </c>
      <c r="N71" s="31">
        <f t="shared" si="4"/>
        <v>2.956805208259869</v>
      </c>
    </row>
    <row r="72" spans="1:15" ht="15">
      <c r="A72" s="39">
        <v>462</v>
      </c>
      <c r="B72" s="39">
        <v>10671926.9</v>
      </c>
      <c r="C72" s="40">
        <v>13031</v>
      </c>
      <c r="D72" s="40">
        <v>111132</v>
      </c>
      <c r="E72" s="39">
        <v>10671926.9</v>
      </c>
      <c r="F72" s="40">
        <v>13031</v>
      </c>
      <c r="G72" s="39">
        <v>10103727.1</v>
      </c>
      <c r="H72" s="39">
        <v>10671926.9</v>
      </c>
      <c r="I72" s="40">
        <v>13031</v>
      </c>
      <c r="J72" s="40">
        <v>26241</v>
      </c>
    </row>
    <row r="73" spans="1:15" ht="15">
      <c r="A73" s="39">
        <v>462.9</v>
      </c>
      <c r="B73" s="39">
        <v>10926206</v>
      </c>
      <c r="C73" s="40">
        <v>9855</v>
      </c>
      <c r="D73" s="40">
        <v>104165</v>
      </c>
      <c r="E73" s="39">
        <v>10926206</v>
      </c>
      <c r="F73" s="40">
        <v>9855</v>
      </c>
      <c r="G73" s="39">
        <v>10140718.5</v>
      </c>
      <c r="H73" s="39">
        <v>10926206</v>
      </c>
      <c r="I73" s="40">
        <v>9855</v>
      </c>
      <c r="J73" s="40">
        <v>19972</v>
      </c>
      <c r="L73" s="31">
        <f t="array" ref="L73:O77">LINEST(A66:A85,E66:G85,1,1)</f>
        <v>4.4505467932537504E-4</v>
      </c>
      <c r="M73" s="31">
        <v>-1.6718330705111438E-3</v>
      </c>
      <c r="N73" s="31">
        <v>1.3022482545295246E-5</v>
      </c>
      <c r="O73" s="31">
        <v>-4141.2236351158344</v>
      </c>
    </row>
    <row r="74" spans="1:15" ht="15">
      <c r="A74" s="39">
        <v>458.5</v>
      </c>
      <c r="B74" s="39">
        <v>12158205.199999999</v>
      </c>
      <c r="C74" s="40">
        <v>15691</v>
      </c>
      <c r="D74" s="40">
        <v>113208</v>
      </c>
      <c r="E74" s="39">
        <v>12158205.199999999</v>
      </c>
      <c r="F74" s="40">
        <v>15691</v>
      </c>
      <c r="G74" s="39">
        <v>10146264.1</v>
      </c>
      <c r="H74" s="39">
        <v>12158205.199999999</v>
      </c>
      <c r="I74" s="40">
        <v>15691</v>
      </c>
      <c r="J74" s="40">
        <v>30828</v>
      </c>
      <c r="L74" s="31">
        <v>3.1864749857762176E-4</v>
      </c>
      <c r="M74" s="31">
        <v>5.812955115179207E-4</v>
      </c>
      <c r="N74" s="31">
        <v>4.1434113405580838E-6</v>
      </c>
      <c r="O74" s="31">
        <v>3226.7839647119022</v>
      </c>
    </row>
    <row r="75" spans="1:15" ht="15">
      <c r="A75" s="39">
        <v>457.9</v>
      </c>
      <c r="B75" s="39">
        <v>10127805.800000001</v>
      </c>
      <c r="C75" s="40">
        <v>39639</v>
      </c>
      <c r="D75" s="40">
        <v>116946</v>
      </c>
      <c r="E75" s="39">
        <v>10127805.800000001</v>
      </c>
      <c r="F75" s="40">
        <v>39639</v>
      </c>
      <c r="G75" s="39">
        <v>10147099.9</v>
      </c>
      <c r="H75" s="39">
        <v>10127805.800000001</v>
      </c>
      <c r="I75" s="40">
        <v>39639</v>
      </c>
      <c r="J75" s="40">
        <v>46519</v>
      </c>
      <c r="L75" s="31">
        <v>0.65622849089921753</v>
      </c>
      <c r="M75" s="31">
        <v>50.971958800259507</v>
      </c>
      <c r="N75" s="31" t="e">
        <v>#N/A</v>
      </c>
      <c r="O75" s="31" t="e">
        <v>#N/A</v>
      </c>
    </row>
    <row r="76" spans="1:15" ht="15">
      <c r="A76" s="39">
        <v>484.7</v>
      </c>
      <c r="B76" s="39">
        <v>10851199.199999999</v>
      </c>
      <c r="C76" s="40">
        <v>10640</v>
      </c>
      <c r="D76" s="40">
        <v>114601</v>
      </c>
      <c r="E76" s="39">
        <v>10851199.199999999</v>
      </c>
      <c r="F76" s="40">
        <v>10640</v>
      </c>
      <c r="G76" s="41">
        <v>10164813.6</v>
      </c>
      <c r="H76" s="39">
        <v>10851199.199999999</v>
      </c>
      <c r="I76" s="40">
        <v>10640</v>
      </c>
      <c r="J76" s="40">
        <v>20766</v>
      </c>
      <c r="L76" s="31">
        <v>10.18084742959247</v>
      </c>
      <c r="M76" s="31">
        <v>16</v>
      </c>
      <c r="N76" s="31" t="e">
        <v>#N/A</v>
      </c>
      <c r="O76" s="31" t="e">
        <v>#N/A</v>
      </c>
    </row>
    <row r="77" spans="1:15" ht="15">
      <c r="A77" s="39">
        <v>481.7</v>
      </c>
      <c r="B77" s="39">
        <v>14248455.4</v>
      </c>
      <c r="C77" s="40">
        <v>23817</v>
      </c>
      <c r="D77" s="40">
        <v>129165</v>
      </c>
      <c r="E77" s="39">
        <v>14248455.4</v>
      </c>
      <c r="F77" s="40">
        <v>23817</v>
      </c>
      <c r="G77" s="41">
        <v>10165112.01</v>
      </c>
      <c r="H77" s="39">
        <v>14248455.4</v>
      </c>
      <c r="I77" s="40">
        <v>23817</v>
      </c>
      <c r="J77" s="40">
        <v>32863</v>
      </c>
      <c r="L77" s="31">
        <v>79353.818657034339</v>
      </c>
      <c r="M77" s="31">
        <v>41570.249342965639</v>
      </c>
      <c r="N77" s="31" t="e">
        <v>#N/A</v>
      </c>
      <c r="O77" s="31" t="e">
        <v>#N/A</v>
      </c>
    </row>
    <row r="78" spans="1:15" ht="15">
      <c r="A78" s="39">
        <v>521.4</v>
      </c>
      <c r="B78" s="39">
        <v>15160046.4</v>
      </c>
      <c r="C78" s="40">
        <v>32513</v>
      </c>
      <c r="D78" s="40">
        <v>128533</v>
      </c>
      <c r="E78" s="39">
        <v>15160046.4</v>
      </c>
      <c r="F78" s="40">
        <v>32513</v>
      </c>
      <c r="G78" s="41">
        <v>10175972.9</v>
      </c>
      <c r="H78" s="39">
        <v>15160046.4</v>
      </c>
      <c r="I78" s="40">
        <v>32513</v>
      </c>
      <c r="J78" s="40">
        <v>47902</v>
      </c>
      <c r="L78" s="31">
        <f t="shared" ref="L78:N78" si="5">L73/L74</f>
        <v>1.3966991152041346</v>
      </c>
      <c r="M78" s="31">
        <f t="shared" si="5"/>
        <v>-2.8760467565722858</v>
      </c>
      <c r="N78" s="31">
        <f t="shared" si="5"/>
        <v>3.1429374191801154</v>
      </c>
    </row>
    <row r="79" spans="1:15" ht="15">
      <c r="A79" s="39">
        <v>526.20000000000005</v>
      </c>
      <c r="B79" s="39">
        <v>6517035.4000000004</v>
      </c>
      <c r="C79" s="40">
        <v>9043</v>
      </c>
      <c r="D79" s="40">
        <v>114588</v>
      </c>
      <c r="E79" s="39">
        <v>6517035.4000000004</v>
      </c>
      <c r="F79" s="40">
        <v>9043</v>
      </c>
      <c r="G79" s="41">
        <v>10167023.66</v>
      </c>
      <c r="H79" s="39">
        <v>6517035.4000000004</v>
      </c>
      <c r="I79" s="40">
        <v>9043</v>
      </c>
      <c r="J79" s="40">
        <v>20504</v>
      </c>
    </row>
    <row r="80" spans="1:15" ht="15">
      <c r="A80" s="39">
        <v>545.1</v>
      </c>
      <c r="B80" s="39">
        <v>6825385</v>
      </c>
      <c r="C80" s="40">
        <v>10140</v>
      </c>
      <c r="D80" s="40">
        <v>102442</v>
      </c>
      <c r="E80" s="39">
        <v>6825385</v>
      </c>
      <c r="F80" s="40">
        <v>10140</v>
      </c>
      <c r="G80" s="41">
        <v>10175600.82</v>
      </c>
      <c r="H80" s="39">
        <v>6825385</v>
      </c>
      <c r="I80" s="40">
        <v>10140</v>
      </c>
      <c r="J80" s="40">
        <v>21599</v>
      </c>
      <c r="L80" s="31">
        <f t="array" ref="L80:O84">LINEST(A66:A85,H66:J85,1,1)</f>
        <v>6.2175905281352045E-5</v>
      </c>
      <c r="M80" s="31">
        <v>-1.5159893008104737E-3</v>
      </c>
      <c r="N80" s="31">
        <v>1.3081560908716064E-5</v>
      </c>
      <c r="O80" s="31">
        <v>364.7459392024968</v>
      </c>
    </row>
    <row r="81" spans="1:16" ht="15">
      <c r="A81" s="39">
        <v>525.6</v>
      </c>
      <c r="B81" s="39">
        <v>10392119.5</v>
      </c>
      <c r="C81" s="40">
        <v>12924</v>
      </c>
      <c r="D81" s="40">
        <v>102895</v>
      </c>
      <c r="E81" s="39">
        <v>10392119.5</v>
      </c>
      <c r="F81" s="40">
        <v>12924</v>
      </c>
      <c r="G81" s="41">
        <v>10182355.75</v>
      </c>
      <c r="H81" s="39">
        <v>10392119.5</v>
      </c>
      <c r="I81" s="40">
        <v>12924</v>
      </c>
      <c r="J81" s="40">
        <v>24351</v>
      </c>
      <c r="L81" s="31">
        <v>2.7434770401182692E-3</v>
      </c>
      <c r="M81" s="31">
        <v>1.505875174153868E-3</v>
      </c>
      <c r="N81" s="31">
        <v>5.4727811713361898E-6</v>
      </c>
      <c r="O81" s="31">
        <v>54.590367221112345</v>
      </c>
    </row>
    <row r="82" spans="1:16" ht="15">
      <c r="A82" s="39">
        <v>534.79999999999995</v>
      </c>
      <c r="B82" s="39">
        <v>12415204.300000001</v>
      </c>
      <c r="C82" s="40">
        <v>18903</v>
      </c>
      <c r="D82" s="40">
        <v>76361</v>
      </c>
      <c r="E82" s="39">
        <v>12415204.300000001</v>
      </c>
      <c r="F82" s="40">
        <v>18903</v>
      </c>
      <c r="G82" s="41">
        <v>10107332.939999999</v>
      </c>
      <c r="H82" s="39">
        <v>12415204.300000001</v>
      </c>
      <c r="I82" s="40">
        <v>18903</v>
      </c>
      <c r="J82" s="40">
        <v>31835</v>
      </c>
      <c r="L82" s="31">
        <v>0.61432720877389912</v>
      </c>
      <c r="M82" s="31">
        <v>53.989074607724348</v>
      </c>
      <c r="N82" s="31" t="e">
        <v>#N/A</v>
      </c>
      <c r="O82" s="31" t="e">
        <v>#N/A</v>
      </c>
    </row>
    <row r="83" spans="1:16" ht="15">
      <c r="A83" s="39">
        <v>525.79999999999995</v>
      </c>
      <c r="B83" s="39">
        <v>11439859.300000001</v>
      </c>
      <c r="C83" s="40">
        <v>18378</v>
      </c>
      <c r="D83" s="40">
        <v>88688</v>
      </c>
      <c r="E83" s="39">
        <v>11439859.300000001</v>
      </c>
      <c r="F83" s="40">
        <v>18378</v>
      </c>
      <c r="G83" s="41">
        <v>10106401.24</v>
      </c>
      <c r="H83" s="39">
        <v>11439859.300000001</v>
      </c>
      <c r="I83" s="40">
        <v>18378</v>
      </c>
      <c r="J83" s="40">
        <v>24429</v>
      </c>
      <c r="L83" s="31">
        <v>8.4953148229911388</v>
      </c>
      <c r="M83" s="31">
        <v>16</v>
      </c>
      <c r="N83" s="31" t="e">
        <v>#N/A</v>
      </c>
      <c r="O83" s="31" t="e">
        <v>#N/A</v>
      </c>
    </row>
    <row r="84" spans="1:16" ht="15">
      <c r="A84" s="39">
        <v>546.20000000000005</v>
      </c>
      <c r="B84" s="39">
        <v>12376568.1</v>
      </c>
      <c r="C84" s="40">
        <v>5072</v>
      </c>
      <c r="D84" s="40">
        <v>43182</v>
      </c>
      <c r="E84" s="39">
        <v>12376568.1</v>
      </c>
      <c r="F84" s="40">
        <v>5072</v>
      </c>
      <c r="G84" s="41">
        <v>10109100.01</v>
      </c>
      <c r="H84" s="39">
        <v>12376568.1</v>
      </c>
      <c r="I84" s="40">
        <v>5072</v>
      </c>
      <c r="J84" s="40">
        <v>12300</v>
      </c>
      <c r="L84" s="31">
        <v>74286.945168025151</v>
      </c>
      <c r="M84" s="31">
        <v>46637.122831974819</v>
      </c>
      <c r="N84" s="31" t="e">
        <v>#N/A</v>
      </c>
      <c r="O84" s="31" t="e">
        <v>#N/A</v>
      </c>
    </row>
    <row r="85" spans="1:16" ht="15">
      <c r="A85" s="42">
        <v>537</v>
      </c>
      <c r="B85" s="42">
        <v>13925996.5</v>
      </c>
      <c r="C85" s="43">
        <v>13758</v>
      </c>
      <c r="D85" s="43">
        <v>50484</v>
      </c>
      <c r="E85" s="42">
        <v>13925996.5</v>
      </c>
      <c r="F85" s="43">
        <v>13758</v>
      </c>
      <c r="G85" s="44">
        <v>10113949.18</v>
      </c>
      <c r="H85" s="42">
        <v>13925996.5</v>
      </c>
      <c r="I85" s="43">
        <v>13758</v>
      </c>
      <c r="J85" s="43">
        <v>26571</v>
      </c>
      <c r="L85" s="31">
        <f t="shared" ref="L85:N85" si="6">L80/L81</f>
        <v>2.2663176827122888E-2</v>
      </c>
      <c r="M85" s="31">
        <f t="shared" si="6"/>
        <v>-1.0067164442512897</v>
      </c>
      <c r="N85" s="31">
        <f t="shared" si="6"/>
        <v>2.3902948974519616</v>
      </c>
    </row>
    <row r="88" spans="1:16" ht="12.75">
      <c r="A88" s="1" t="s">
        <v>92</v>
      </c>
    </row>
    <row r="89" spans="1:16" ht="15">
      <c r="A89" s="26" t="s">
        <v>6</v>
      </c>
      <c r="B89" s="27" t="s">
        <v>7</v>
      </c>
      <c r="C89" s="28" t="s">
        <v>8</v>
      </c>
      <c r="D89" s="28" t="s">
        <v>9</v>
      </c>
      <c r="E89" s="28" t="s">
        <v>10</v>
      </c>
      <c r="F89" s="28" t="s">
        <v>11</v>
      </c>
      <c r="H89" s="1">
        <v>5</v>
      </c>
      <c r="I89" s="1">
        <v>4</v>
      </c>
      <c r="J89" s="1">
        <v>3</v>
      </c>
      <c r="K89" s="1">
        <v>2</v>
      </c>
      <c r="L89" s="1">
        <v>1</v>
      </c>
    </row>
    <row r="90" spans="1:16" ht="15">
      <c r="A90" s="47">
        <v>314.89999999999998</v>
      </c>
      <c r="B90" s="48">
        <v>100755</v>
      </c>
      <c r="C90" s="49">
        <v>10173238.699999999</v>
      </c>
      <c r="D90" s="48">
        <v>109624</v>
      </c>
      <c r="E90" s="48">
        <v>61934</v>
      </c>
      <c r="F90" s="49">
        <v>5141415.5999999996</v>
      </c>
      <c r="H90" s="31">
        <f t="array" ref="H90:M94">LINEST(A90:A109,B90:F109,1,1)</f>
        <v>1.0281641350860068E-5</v>
      </c>
      <c r="I90" s="31">
        <v>1.5522395918635254E-3</v>
      </c>
      <c r="J90" s="31">
        <v>-2.4343799162084641E-3</v>
      </c>
      <c r="K90" s="31">
        <v>5.4881778014608462E-4</v>
      </c>
      <c r="L90" s="31">
        <v>-8.8359862447082833E-4</v>
      </c>
      <c r="M90" s="31">
        <v>-5102.8974686812044</v>
      </c>
    </row>
    <row r="91" spans="1:16" ht="15">
      <c r="A91" s="50">
        <v>321.7</v>
      </c>
      <c r="B91" s="40">
        <v>96886</v>
      </c>
      <c r="C91" s="39">
        <v>10168394.300000001</v>
      </c>
      <c r="D91" s="40">
        <v>39331</v>
      </c>
      <c r="E91" s="40">
        <v>29314</v>
      </c>
      <c r="F91" s="39">
        <v>5337437.2</v>
      </c>
      <c r="H91" s="31">
        <v>5.7837269074018863E-6</v>
      </c>
      <c r="I91" s="31">
        <v>3.1512280620181864E-3</v>
      </c>
      <c r="J91" s="31">
        <v>1.6474738737835525E-3</v>
      </c>
      <c r="K91" s="31">
        <v>3.3046595087833332E-4</v>
      </c>
      <c r="L91" s="31">
        <v>5.9075245906518869E-4</v>
      </c>
      <c r="M91" s="31">
        <v>3334.9012656282921</v>
      </c>
      <c r="O91" s="1" t="s">
        <v>93</v>
      </c>
      <c r="P91" s="46">
        <f>TINV(0.1,14)</f>
        <v>1.7613101357748921</v>
      </c>
    </row>
    <row r="92" spans="1:16" ht="15">
      <c r="A92" s="50">
        <v>333.1</v>
      </c>
      <c r="B92" s="40">
        <v>102499</v>
      </c>
      <c r="C92" s="39">
        <v>10175896.699999999</v>
      </c>
      <c r="D92" s="40">
        <v>36149</v>
      </c>
      <c r="E92" s="40">
        <v>35626</v>
      </c>
      <c r="F92" s="39">
        <v>5986499.9000000004</v>
      </c>
      <c r="H92" s="31">
        <v>0.70605187646936185</v>
      </c>
      <c r="I92" s="31">
        <v>50.388067520489187</v>
      </c>
      <c r="J92" s="31" t="e">
        <v>#N/A</v>
      </c>
      <c r="K92" s="31" t="e">
        <v>#N/A</v>
      </c>
      <c r="L92" s="31" t="e">
        <v>#N/A</v>
      </c>
      <c r="M92" s="31" t="e">
        <v>#N/A</v>
      </c>
    </row>
    <row r="93" spans="1:16" ht="15">
      <c r="A93" s="50">
        <v>361</v>
      </c>
      <c r="B93" s="40">
        <v>96200</v>
      </c>
      <c r="C93" s="39">
        <v>10042300.800000001</v>
      </c>
      <c r="D93" s="40">
        <v>28998</v>
      </c>
      <c r="E93" s="40">
        <v>26784</v>
      </c>
      <c r="F93" s="39">
        <v>6877759.2000000002</v>
      </c>
      <c r="H93" s="31">
        <v>6.7254903020605825</v>
      </c>
      <c r="I93" s="31">
        <v>14</v>
      </c>
      <c r="J93" s="31" t="e">
        <v>#N/A</v>
      </c>
      <c r="K93" s="31" t="e">
        <v>#N/A</v>
      </c>
      <c r="L93" s="31" t="e">
        <v>#N/A</v>
      </c>
      <c r="M93" s="31" t="e">
        <v>#N/A</v>
      </c>
    </row>
    <row r="94" spans="1:16" ht="15">
      <c r="A94" s="50">
        <v>367.6</v>
      </c>
      <c r="B94" s="40">
        <v>112756</v>
      </c>
      <c r="C94" s="39">
        <v>10101478.6</v>
      </c>
      <c r="D94" s="40">
        <v>16652</v>
      </c>
      <c r="E94" s="40">
        <v>23419</v>
      </c>
      <c r="F94" s="39">
        <v>7520684.2000000002</v>
      </c>
      <c r="H94" s="31">
        <v>85378.665121708691</v>
      </c>
      <c r="I94" s="31">
        <v>35545.402878291279</v>
      </c>
      <c r="J94" s="31" t="e">
        <v>#N/A</v>
      </c>
      <c r="K94" s="31" t="e">
        <v>#N/A</v>
      </c>
      <c r="L94" s="31" t="e">
        <v>#N/A</v>
      </c>
      <c r="M94" s="31" t="e">
        <v>#N/A</v>
      </c>
    </row>
    <row r="95" spans="1:16" ht="15">
      <c r="A95" s="50">
        <v>412.7</v>
      </c>
      <c r="B95" s="40">
        <v>146657</v>
      </c>
      <c r="C95" s="39">
        <v>10101985.699999999</v>
      </c>
      <c r="D95" s="40">
        <v>19696</v>
      </c>
      <c r="E95" s="40">
        <v>26946</v>
      </c>
      <c r="F95" s="39">
        <v>8528558</v>
      </c>
      <c r="H95" s="31">
        <f t="shared" ref="H95:L95" si="7">H90/H91</f>
        <v>1.7776844438664368</v>
      </c>
      <c r="I95" s="51">
        <f t="shared" si="7"/>
        <v>0.49258243494740972</v>
      </c>
      <c r="J95" s="31">
        <f t="shared" si="7"/>
        <v>-1.4776440190931346</v>
      </c>
      <c r="K95" s="31">
        <f t="shared" si="7"/>
        <v>1.6607392643248178</v>
      </c>
      <c r="L95" s="31">
        <f t="shared" si="7"/>
        <v>-1.4957172177819482</v>
      </c>
    </row>
    <row r="96" spans="1:16" ht="15">
      <c r="A96" s="50">
        <v>462</v>
      </c>
      <c r="B96" s="40">
        <v>111132</v>
      </c>
      <c r="C96" s="39">
        <v>10103727.1</v>
      </c>
      <c r="D96" s="40">
        <v>13031</v>
      </c>
      <c r="E96" s="40">
        <v>26241</v>
      </c>
      <c r="F96" s="39">
        <v>10671926.9</v>
      </c>
    </row>
    <row r="97" spans="1:12" ht="15">
      <c r="A97" s="50">
        <v>462.9</v>
      </c>
      <c r="B97" s="40">
        <v>104165</v>
      </c>
      <c r="C97" s="39">
        <v>10140718.5</v>
      </c>
      <c r="D97" s="40">
        <v>9855</v>
      </c>
      <c r="E97" s="40">
        <v>19972</v>
      </c>
      <c r="F97" s="39">
        <v>10926206</v>
      </c>
    </row>
    <row r="98" spans="1:12" ht="15">
      <c r="A98" s="50">
        <v>458.5</v>
      </c>
      <c r="B98" s="40">
        <v>113208</v>
      </c>
      <c r="C98" s="39">
        <v>10146264.1</v>
      </c>
      <c r="D98" s="40">
        <v>15691</v>
      </c>
      <c r="E98" s="40">
        <v>30828</v>
      </c>
      <c r="F98" s="39">
        <v>12158205.199999999</v>
      </c>
    </row>
    <row r="99" spans="1:12" ht="15">
      <c r="A99" s="50">
        <v>457.9</v>
      </c>
      <c r="B99" s="40">
        <v>116946</v>
      </c>
      <c r="C99" s="39">
        <v>10147099.9</v>
      </c>
      <c r="D99" s="40">
        <v>39639</v>
      </c>
      <c r="E99" s="40">
        <v>46519</v>
      </c>
      <c r="F99" s="39">
        <v>10127805.800000001</v>
      </c>
    </row>
    <row r="100" spans="1:12" ht="15">
      <c r="A100" s="50">
        <v>484.7</v>
      </c>
      <c r="B100" s="40">
        <v>114601</v>
      </c>
      <c r="C100" s="41">
        <v>10164813.6</v>
      </c>
      <c r="D100" s="40">
        <v>10640</v>
      </c>
      <c r="E100" s="40">
        <v>20766</v>
      </c>
      <c r="F100" s="39">
        <v>10851199.199999999</v>
      </c>
    </row>
    <row r="101" spans="1:12" ht="15">
      <c r="A101" s="50">
        <v>481.7</v>
      </c>
      <c r="B101" s="40">
        <v>129165</v>
      </c>
      <c r="C101" s="41">
        <v>10165112.01</v>
      </c>
      <c r="D101" s="40">
        <v>23817</v>
      </c>
      <c r="E101" s="40">
        <v>32863</v>
      </c>
      <c r="F101" s="39">
        <v>14248455.4</v>
      </c>
    </row>
    <row r="102" spans="1:12" ht="15">
      <c r="A102" s="50">
        <v>521.4</v>
      </c>
      <c r="B102" s="40">
        <v>128533</v>
      </c>
      <c r="C102" s="41">
        <v>10175972.9</v>
      </c>
      <c r="D102" s="40">
        <v>32513</v>
      </c>
      <c r="E102" s="40">
        <v>47902</v>
      </c>
      <c r="F102" s="39">
        <v>15160046.4</v>
      </c>
    </row>
    <row r="103" spans="1:12" ht="15">
      <c r="A103" s="50">
        <v>526.20000000000005</v>
      </c>
      <c r="B103" s="40">
        <v>114588</v>
      </c>
      <c r="C103" s="41">
        <v>10167023.66</v>
      </c>
      <c r="D103" s="40">
        <v>9043</v>
      </c>
      <c r="E103" s="40">
        <v>20504</v>
      </c>
      <c r="F103" s="39">
        <v>6517035.4000000004</v>
      </c>
    </row>
    <row r="104" spans="1:12" ht="15">
      <c r="A104" s="50">
        <v>545.1</v>
      </c>
      <c r="B104" s="40">
        <v>102442</v>
      </c>
      <c r="C104" s="41">
        <v>10175600.82</v>
      </c>
      <c r="D104" s="40">
        <v>10140</v>
      </c>
      <c r="E104" s="40">
        <v>21599</v>
      </c>
      <c r="F104" s="39">
        <v>6825385</v>
      </c>
    </row>
    <row r="105" spans="1:12" ht="15">
      <c r="A105" s="50">
        <v>525.6</v>
      </c>
      <c r="B105" s="40">
        <v>102895</v>
      </c>
      <c r="C105" s="41">
        <v>10182355.75</v>
      </c>
      <c r="D105" s="40">
        <v>12924</v>
      </c>
      <c r="E105" s="40">
        <v>24351</v>
      </c>
      <c r="F105" s="39">
        <v>10392119.5</v>
      </c>
    </row>
    <row r="106" spans="1:12" ht="15">
      <c r="A106" s="50">
        <v>534.79999999999995</v>
      </c>
      <c r="B106" s="40">
        <v>76361</v>
      </c>
      <c r="C106" s="41">
        <v>10107332.939999999</v>
      </c>
      <c r="D106" s="40">
        <v>18903</v>
      </c>
      <c r="E106" s="40">
        <v>31835</v>
      </c>
      <c r="F106" s="39">
        <v>12415204.300000001</v>
      </c>
    </row>
    <row r="107" spans="1:12" ht="15">
      <c r="A107" s="50">
        <v>525.79999999999995</v>
      </c>
      <c r="B107" s="40">
        <v>88688</v>
      </c>
      <c r="C107" s="41">
        <v>10106401.24</v>
      </c>
      <c r="D107" s="40">
        <v>18378</v>
      </c>
      <c r="E107" s="40">
        <v>24429</v>
      </c>
      <c r="F107" s="39">
        <v>11439859.300000001</v>
      </c>
    </row>
    <row r="108" spans="1:12" ht="15">
      <c r="A108" s="50">
        <v>546.20000000000005</v>
      </c>
      <c r="B108" s="40">
        <v>43182</v>
      </c>
      <c r="C108" s="41">
        <v>10109100.01</v>
      </c>
      <c r="D108" s="40">
        <v>5072</v>
      </c>
      <c r="E108" s="40">
        <v>12300</v>
      </c>
      <c r="F108" s="39">
        <v>12376568.1</v>
      </c>
    </row>
    <row r="109" spans="1:12" ht="15">
      <c r="A109" s="52">
        <v>537</v>
      </c>
      <c r="B109" s="43">
        <v>50484</v>
      </c>
      <c r="C109" s="44">
        <v>10113949.18</v>
      </c>
      <c r="D109" s="43">
        <v>13758</v>
      </c>
      <c r="E109" s="43">
        <v>26571</v>
      </c>
      <c r="F109" s="42">
        <v>13925996.5</v>
      </c>
    </row>
    <row r="110" spans="1:12" ht="15">
      <c r="A110" s="26" t="s">
        <v>6</v>
      </c>
      <c r="B110" s="27" t="s">
        <v>7</v>
      </c>
      <c r="C110" s="28" t="s">
        <v>8</v>
      </c>
      <c r="D110" s="28" t="s">
        <v>9</v>
      </c>
      <c r="E110" s="28" t="s">
        <v>11</v>
      </c>
      <c r="H110" s="1">
        <v>5</v>
      </c>
      <c r="I110" s="1">
        <v>3</v>
      </c>
      <c r="J110" s="1">
        <v>2</v>
      </c>
      <c r="K110" s="1">
        <v>1</v>
      </c>
    </row>
    <row r="111" spans="1:12" ht="15">
      <c r="A111" s="47">
        <v>314.89999999999998</v>
      </c>
      <c r="B111" s="48">
        <v>100755</v>
      </c>
      <c r="C111" s="49">
        <v>10173238.699999999</v>
      </c>
      <c r="D111" s="48">
        <v>109624</v>
      </c>
      <c r="E111" s="49">
        <v>5141415.5999999996</v>
      </c>
      <c r="H111" s="31">
        <f t="array" ref="H111:L115">LINEST(A111:A130,B111:E130,1,1)</f>
        <v>1.2277302206560091E-5</v>
      </c>
      <c r="I111" s="31">
        <v>-1.6738286528449333E-3</v>
      </c>
      <c r="J111" s="31">
        <v>5.7265405675897385E-4</v>
      </c>
      <c r="K111" s="31">
        <v>-7.2729420060853073E-4</v>
      </c>
      <c r="L111" s="31">
        <v>-5352.8522030642998</v>
      </c>
    </row>
    <row r="112" spans="1:12" ht="15">
      <c r="A112" s="50">
        <v>321.7</v>
      </c>
      <c r="B112" s="40">
        <v>96886</v>
      </c>
      <c r="C112" s="39">
        <v>10168394.300000001</v>
      </c>
      <c r="D112" s="40">
        <v>39331</v>
      </c>
      <c r="E112" s="39">
        <v>5337437.2</v>
      </c>
      <c r="H112" s="31">
        <v>4.0220910215054105E-6</v>
      </c>
      <c r="I112" s="31">
        <v>5.5994343650064881E-4</v>
      </c>
      <c r="J112" s="31">
        <v>3.1854411234939718E-4</v>
      </c>
      <c r="K112" s="31">
        <v>4.8555332597210202E-4</v>
      </c>
      <c r="L112" s="31">
        <v>3211.7810632857627</v>
      </c>
    </row>
    <row r="113" spans="1:15" ht="15">
      <c r="A113" s="50">
        <v>333.1</v>
      </c>
      <c r="B113" s="40">
        <v>102499</v>
      </c>
      <c r="C113" s="39">
        <v>10175896.699999999</v>
      </c>
      <c r="D113" s="40">
        <v>36149</v>
      </c>
      <c r="E113" s="39">
        <v>5986499.9000000004</v>
      </c>
      <c r="H113" s="31">
        <v>0.70095738899366233</v>
      </c>
      <c r="I113" s="31">
        <v>49.099524117332621</v>
      </c>
      <c r="J113" s="31" t="e">
        <v>#N/A</v>
      </c>
      <c r="K113" s="31" t="e">
        <v>#N/A</v>
      </c>
      <c r="L113" s="31" t="e">
        <v>#N/A</v>
      </c>
      <c r="O113" s="46">
        <f>TINV(0.1,15)</f>
        <v>1.7530503556925723</v>
      </c>
    </row>
    <row r="114" spans="1:15" ht="15">
      <c r="A114" s="50">
        <v>361</v>
      </c>
      <c r="B114" s="40">
        <v>96200</v>
      </c>
      <c r="C114" s="39">
        <v>10042300.800000001</v>
      </c>
      <c r="D114" s="40">
        <v>28998</v>
      </c>
      <c r="E114" s="39">
        <v>6877759.2000000002</v>
      </c>
      <c r="H114" s="31">
        <v>8.7900189203154255</v>
      </c>
      <c r="I114" s="31">
        <v>15</v>
      </c>
      <c r="J114" s="31" t="e">
        <v>#N/A</v>
      </c>
      <c r="K114" s="31" t="e">
        <v>#N/A</v>
      </c>
      <c r="L114" s="31" t="e">
        <v>#N/A</v>
      </c>
    </row>
    <row r="115" spans="1:15" ht="15">
      <c r="A115" s="50">
        <v>367.6</v>
      </c>
      <c r="B115" s="40">
        <v>112756</v>
      </c>
      <c r="C115" s="39">
        <v>10101478.6</v>
      </c>
      <c r="D115" s="40">
        <v>16652</v>
      </c>
      <c r="E115" s="39">
        <v>7520684.2000000002</v>
      </c>
      <c r="H115" s="31">
        <v>84762.618971772055</v>
      </c>
      <c r="I115" s="31">
        <v>36161.449028227908</v>
      </c>
      <c r="J115" s="31" t="e">
        <v>#N/A</v>
      </c>
      <c r="K115" s="31" t="e">
        <v>#N/A</v>
      </c>
      <c r="L115" s="31" t="e">
        <v>#N/A</v>
      </c>
    </row>
    <row r="116" spans="1:15" ht="15">
      <c r="A116" s="50">
        <v>412.7</v>
      </c>
      <c r="B116" s="40">
        <v>146657</v>
      </c>
      <c r="C116" s="39">
        <v>10101985.699999999</v>
      </c>
      <c r="D116" s="40">
        <v>19696</v>
      </c>
      <c r="E116" s="39">
        <v>8528558</v>
      </c>
      <c r="H116" s="31">
        <f t="shared" ref="H116:K116" si="8">H111/H112</f>
        <v>3.0524675202315223</v>
      </c>
      <c r="I116" s="31">
        <f t="shared" si="8"/>
        <v>-2.989281673351651</v>
      </c>
      <c r="J116" s="31">
        <f t="shared" si="8"/>
        <v>1.7977229355627034</v>
      </c>
      <c r="K116" s="51">
        <f t="shared" si="8"/>
        <v>-1.4978667876539644</v>
      </c>
    </row>
    <row r="117" spans="1:15" ht="15">
      <c r="A117" s="50">
        <v>462</v>
      </c>
      <c r="B117" s="40">
        <v>111132</v>
      </c>
      <c r="C117" s="39">
        <v>10103727.1</v>
      </c>
      <c r="D117" s="40">
        <v>13031</v>
      </c>
      <c r="E117" s="39">
        <v>10671926.9</v>
      </c>
    </row>
    <row r="118" spans="1:15" ht="15">
      <c r="A118" s="50">
        <v>462.9</v>
      </c>
      <c r="B118" s="40">
        <v>104165</v>
      </c>
      <c r="C118" s="39">
        <v>10140718.5</v>
      </c>
      <c r="D118" s="40">
        <v>9855</v>
      </c>
      <c r="E118" s="39">
        <v>10926206</v>
      </c>
    </row>
    <row r="119" spans="1:15" ht="15">
      <c r="A119" s="50">
        <v>458.5</v>
      </c>
      <c r="B119" s="40">
        <v>113208</v>
      </c>
      <c r="C119" s="39">
        <v>10146264.1</v>
      </c>
      <c r="D119" s="40">
        <v>15691</v>
      </c>
      <c r="E119" s="39">
        <v>12158205.199999999</v>
      </c>
      <c r="H119" s="1">
        <v>5</v>
      </c>
      <c r="I119" s="1">
        <v>3</v>
      </c>
      <c r="J119" s="1">
        <v>2</v>
      </c>
    </row>
    <row r="120" spans="1:15" ht="15">
      <c r="A120" s="50">
        <v>457.9</v>
      </c>
      <c r="B120" s="40">
        <v>116946</v>
      </c>
      <c r="C120" s="39">
        <v>10147099.9</v>
      </c>
      <c r="D120" s="40">
        <v>39639</v>
      </c>
      <c r="E120" s="39">
        <v>10127805.800000001</v>
      </c>
      <c r="H120" s="31">
        <f t="array" ref="H120:K124">LINEST(A111:A130,C111:E130,1,1)</f>
        <v>1.3022482545295246E-5</v>
      </c>
      <c r="I120" s="31">
        <v>-1.6718330705111438E-3</v>
      </c>
      <c r="J120" s="31">
        <v>4.4505467932537504E-4</v>
      </c>
      <c r="K120" s="31">
        <v>-4141.2236351158344</v>
      </c>
      <c r="O120" s="46">
        <f>TINV(0.1,16)</f>
        <v>1.7458836762762506</v>
      </c>
    </row>
    <row r="121" spans="1:15" ht="15">
      <c r="A121" s="50">
        <v>484.7</v>
      </c>
      <c r="B121" s="40">
        <v>114601</v>
      </c>
      <c r="C121" s="41">
        <v>10164813.6</v>
      </c>
      <c r="D121" s="40">
        <v>10640</v>
      </c>
      <c r="E121" s="39">
        <v>10851199.199999999</v>
      </c>
      <c r="H121" s="31">
        <v>4.1434113405580838E-6</v>
      </c>
      <c r="I121" s="31">
        <v>5.812955115179207E-4</v>
      </c>
      <c r="J121" s="31">
        <v>3.1864749857762176E-4</v>
      </c>
      <c r="K121" s="31">
        <v>3226.7839647119022</v>
      </c>
    </row>
    <row r="122" spans="1:15" ht="15">
      <c r="A122" s="50">
        <v>481.7</v>
      </c>
      <c r="B122" s="40">
        <v>129165</v>
      </c>
      <c r="C122" s="41">
        <v>10165112.01</v>
      </c>
      <c r="D122" s="40">
        <v>23817</v>
      </c>
      <c r="E122" s="39">
        <v>14248455.4</v>
      </c>
      <c r="H122" s="31">
        <v>0.65622849089921753</v>
      </c>
      <c r="I122" s="31">
        <v>50.971958800259507</v>
      </c>
      <c r="J122" s="31" t="e">
        <v>#N/A</v>
      </c>
      <c r="K122" s="31" t="e">
        <v>#N/A</v>
      </c>
    </row>
    <row r="123" spans="1:15" ht="15">
      <c r="A123" s="50">
        <v>521.4</v>
      </c>
      <c r="B123" s="40">
        <v>128533</v>
      </c>
      <c r="C123" s="41">
        <v>10175972.9</v>
      </c>
      <c r="D123" s="40">
        <v>32513</v>
      </c>
      <c r="E123" s="39">
        <v>15160046.4</v>
      </c>
      <c r="H123" s="31">
        <v>10.18084742959247</v>
      </c>
      <c r="I123" s="31">
        <v>16</v>
      </c>
      <c r="J123" s="31" t="e">
        <v>#N/A</v>
      </c>
      <c r="K123" s="31" t="e">
        <v>#N/A</v>
      </c>
    </row>
    <row r="124" spans="1:15" ht="15">
      <c r="A124" s="50">
        <v>526.20000000000005</v>
      </c>
      <c r="B124" s="40">
        <v>114588</v>
      </c>
      <c r="C124" s="41">
        <v>10167023.66</v>
      </c>
      <c r="D124" s="40">
        <v>9043</v>
      </c>
      <c r="E124" s="39">
        <v>6517035.4000000004</v>
      </c>
      <c r="H124" s="31">
        <v>79353.818657034339</v>
      </c>
      <c r="I124" s="31">
        <v>41570.249342965639</v>
      </c>
      <c r="J124" s="31" t="e">
        <v>#N/A</v>
      </c>
      <c r="K124" s="31" t="e">
        <v>#N/A</v>
      </c>
    </row>
    <row r="125" spans="1:15" ht="15">
      <c r="A125" s="50">
        <v>545.1</v>
      </c>
      <c r="B125" s="40">
        <v>102442</v>
      </c>
      <c r="C125" s="41">
        <v>10175600.82</v>
      </c>
      <c r="D125" s="40">
        <v>10140</v>
      </c>
      <c r="E125" s="39">
        <v>6825385</v>
      </c>
      <c r="H125" s="31">
        <f t="shared" ref="H125:J125" si="9">H120/H121</f>
        <v>3.1429374191801154</v>
      </c>
      <c r="I125" s="31">
        <f t="shared" si="9"/>
        <v>-2.8760467565722858</v>
      </c>
      <c r="J125" s="51">
        <f t="shared" si="9"/>
        <v>1.3966991152041346</v>
      </c>
    </row>
    <row r="126" spans="1:15" ht="15">
      <c r="A126" s="50">
        <v>525.6</v>
      </c>
      <c r="B126" s="40">
        <v>102895</v>
      </c>
      <c r="C126" s="41">
        <v>10182355.75</v>
      </c>
      <c r="D126" s="40">
        <v>12924</v>
      </c>
      <c r="E126" s="39">
        <v>10392119.5</v>
      </c>
    </row>
    <row r="127" spans="1:15" ht="15">
      <c r="A127" s="50">
        <v>534.79999999999995</v>
      </c>
      <c r="B127" s="40">
        <v>76361</v>
      </c>
      <c r="C127" s="41">
        <v>10107332.939999999</v>
      </c>
      <c r="D127" s="40">
        <v>18903</v>
      </c>
      <c r="E127" s="39">
        <v>12415204.300000001</v>
      </c>
    </row>
    <row r="128" spans="1:15" ht="15">
      <c r="A128" s="50">
        <v>525.79999999999995</v>
      </c>
      <c r="B128" s="40">
        <v>88688</v>
      </c>
      <c r="C128" s="41">
        <v>10106401.24</v>
      </c>
      <c r="D128" s="40">
        <v>18378</v>
      </c>
      <c r="E128" s="39">
        <v>11439859.300000001</v>
      </c>
      <c r="H128" s="31">
        <f t="array" ref="H128:J132">LINEST(A111:A130,D111:E130,1,1)</f>
        <v>1.3155698057057997E-5</v>
      </c>
      <c r="I128" s="31">
        <v>-1.4846787191340953E-3</v>
      </c>
      <c r="J128" s="31">
        <v>365.09298757511533</v>
      </c>
      <c r="O128" s="46">
        <f>TINV(0.1,17)</f>
        <v>1.7396067260750732</v>
      </c>
    </row>
    <row r="129" spans="1:10" ht="15">
      <c r="A129" s="50">
        <v>546.20000000000005</v>
      </c>
      <c r="B129" s="40">
        <v>43182</v>
      </c>
      <c r="C129" s="41">
        <v>10109100.01</v>
      </c>
      <c r="D129" s="40">
        <v>5072</v>
      </c>
      <c r="E129" s="39">
        <v>12376568.1</v>
      </c>
      <c r="H129" s="31">
        <v>4.2565723203376904E-6</v>
      </c>
      <c r="I129" s="31">
        <v>5.8124270477402987E-4</v>
      </c>
      <c r="J129" s="31">
        <v>50.834899592311409</v>
      </c>
    </row>
    <row r="130" spans="1:10" ht="15">
      <c r="A130" s="52">
        <v>537</v>
      </c>
      <c r="B130" s="43">
        <v>50484</v>
      </c>
      <c r="C130" s="44">
        <v>10113949.18</v>
      </c>
      <c r="D130" s="43">
        <v>13758</v>
      </c>
      <c r="E130" s="42">
        <v>13925996.5</v>
      </c>
      <c r="H130" s="31">
        <v>0.61431482820523975</v>
      </c>
      <c r="I130" s="31">
        <v>52.377936498166449</v>
      </c>
      <c r="J130" s="31" t="e">
        <v>#N/A</v>
      </c>
    </row>
    <row r="131" spans="1:10" ht="12.75">
      <c r="H131" s="31">
        <v>13.53870052987989</v>
      </c>
      <c r="I131" s="31">
        <v>17</v>
      </c>
      <c r="J131" s="31" t="e">
        <v>#N/A</v>
      </c>
    </row>
    <row r="132" spans="1:10" ht="12.75">
      <c r="H132" s="31">
        <v>74285.448059298709</v>
      </c>
      <c r="I132" s="31">
        <v>46638.619940701268</v>
      </c>
      <c r="J132" s="31" t="e">
        <v>#N/A</v>
      </c>
    </row>
    <row r="133" spans="1:10" ht="12.75">
      <c r="H133" s="53">
        <f t="shared" ref="H133:I133" si="10">H128/H129</f>
        <v>3.0906788530763891</v>
      </c>
      <c r="I133" s="53">
        <f t="shared" si="10"/>
        <v>-2.5543180274603099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O62"/>
  <sheetViews>
    <sheetView workbookViewId="0"/>
  </sheetViews>
  <sheetFormatPr defaultColWidth="12.5703125" defaultRowHeight="15.75" customHeight="1"/>
  <sheetData>
    <row r="3" spans="2:15">
      <c r="K3" s="1" t="s">
        <v>94</v>
      </c>
    </row>
    <row r="5" spans="2:15" ht="15.75" customHeight="1">
      <c r="B5" s="6"/>
      <c r="C5" s="7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J5" s="31">
        <f t="array" ref="J5:O9">LINEST(C6:C25,D6:H25,1,1)</f>
        <v>1.0281641350860068E-5</v>
      </c>
      <c r="K5" s="31">
        <v>1.5522395918635254E-3</v>
      </c>
      <c r="L5" s="31">
        <v>-2.4343799162084641E-3</v>
      </c>
      <c r="M5" s="31">
        <v>5.4881778014608462E-4</v>
      </c>
      <c r="N5" s="31">
        <v>-8.8359862447082833E-4</v>
      </c>
      <c r="O5" s="31">
        <v>-5102.8974686812044</v>
      </c>
    </row>
    <row r="6" spans="2:15" ht="15.75" customHeight="1">
      <c r="B6" s="10" t="s">
        <v>12</v>
      </c>
      <c r="C6" s="11">
        <v>314.89999999999998</v>
      </c>
      <c r="D6" s="12">
        <v>100755</v>
      </c>
      <c r="E6" s="11">
        <v>10173238.699999999</v>
      </c>
      <c r="F6" s="12">
        <v>109624</v>
      </c>
      <c r="G6" s="12">
        <v>61934</v>
      </c>
      <c r="H6" s="11">
        <v>5141415.5999999996</v>
      </c>
      <c r="J6" s="31">
        <v>5.7837269074018863E-6</v>
      </c>
      <c r="K6" s="31">
        <v>3.1512280620181864E-3</v>
      </c>
      <c r="L6" s="31">
        <v>1.6474738737835525E-3</v>
      </c>
      <c r="M6" s="31">
        <v>3.3046595087833332E-4</v>
      </c>
      <c r="N6" s="31">
        <v>5.9075245906518869E-4</v>
      </c>
      <c r="O6" s="31">
        <v>3334.9012656282921</v>
      </c>
    </row>
    <row r="7" spans="2:15" ht="15.75" customHeight="1">
      <c r="B7" s="10" t="s">
        <v>13</v>
      </c>
      <c r="C7" s="11">
        <v>321.7</v>
      </c>
      <c r="D7" s="12">
        <v>96886</v>
      </c>
      <c r="E7" s="11">
        <v>10168394.300000001</v>
      </c>
      <c r="F7" s="12">
        <v>39331</v>
      </c>
      <c r="G7" s="12">
        <v>29314</v>
      </c>
      <c r="H7" s="11">
        <v>5337437.2</v>
      </c>
      <c r="J7" s="31">
        <v>0.70605187646936185</v>
      </c>
      <c r="K7" s="31">
        <v>50.388067520489187</v>
      </c>
      <c r="L7" s="31" t="e">
        <v>#N/A</v>
      </c>
      <c r="M7" s="31" t="e">
        <v>#N/A</v>
      </c>
      <c r="N7" s="31" t="e">
        <v>#N/A</v>
      </c>
      <c r="O7" s="31" t="e">
        <v>#N/A</v>
      </c>
    </row>
    <row r="8" spans="2:15" ht="15.75" customHeight="1">
      <c r="B8" s="10" t="s">
        <v>14</v>
      </c>
      <c r="C8" s="11">
        <v>333.1</v>
      </c>
      <c r="D8" s="12">
        <v>102499</v>
      </c>
      <c r="E8" s="11">
        <v>10175896.699999999</v>
      </c>
      <c r="F8" s="12">
        <v>36149</v>
      </c>
      <c r="G8" s="12">
        <v>35626</v>
      </c>
      <c r="H8" s="11">
        <v>5986499.9000000004</v>
      </c>
      <c r="J8" s="31">
        <v>6.7254903020605825</v>
      </c>
      <c r="K8" s="31">
        <v>14</v>
      </c>
      <c r="L8" s="31" t="e">
        <v>#N/A</v>
      </c>
      <c r="M8" s="31" t="e">
        <v>#N/A</v>
      </c>
      <c r="N8" s="31" t="e">
        <v>#N/A</v>
      </c>
      <c r="O8" s="31" t="e">
        <v>#N/A</v>
      </c>
    </row>
    <row r="9" spans="2:15" ht="15.75" customHeight="1">
      <c r="B9" s="10" t="s">
        <v>15</v>
      </c>
      <c r="C9" s="11">
        <v>361</v>
      </c>
      <c r="D9" s="12">
        <v>96200</v>
      </c>
      <c r="E9" s="11">
        <v>10042300.800000001</v>
      </c>
      <c r="F9" s="12">
        <v>28998</v>
      </c>
      <c r="G9" s="12">
        <v>26784</v>
      </c>
      <c r="H9" s="11">
        <v>6877759.2000000002</v>
      </c>
      <c r="J9" s="31">
        <v>85378.665121708691</v>
      </c>
      <c r="K9" s="31">
        <v>35545.402878291279</v>
      </c>
      <c r="L9" s="31" t="e">
        <v>#N/A</v>
      </c>
      <c r="M9" s="31" t="e">
        <v>#N/A</v>
      </c>
      <c r="N9" s="31" t="e">
        <v>#N/A</v>
      </c>
      <c r="O9" s="31" t="e">
        <v>#N/A</v>
      </c>
    </row>
    <row r="10" spans="2:15" ht="15.75" customHeight="1">
      <c r="B10" s="10" t="s">
        <v>16</v>
      </c>
      <c r="C10" s="11">
        <v>367.6</v>
      </c>
      <c r="D10" s="12">
        <v>112756</v>
      </c>
      <c r="E10" s="11">
        <v>10101478.6</v>
      </c>
      <c r="F10" s="12">
        <v>16652</v>
      </c>
      <c r="G10" s="12">
        <v>23419</v>
      </c>
      <c r="H10" s="11">
        <v>7520684.2000000002</v>
      </c>
    </row>
    <row r="11" spans="2:15" ht="15.75" customHeight="1">
      <c r="B11" s="10" t="s">
        <v>17</v>
      </c>
      <c r="C11" s="11">
        <v>412.7</v>
      </c>
      <c r="D11" s="12">
        <v>146657</v>
      </c>
      <c r="E11" s="11">
        <v>10101985.699999999</v>
      </c>
      <c r="F11" s="12">
        <v>19696</v>
      </c>
      <c r="G11" s="12">
        <v>26946</v>
      </c>
      <c r="H11" s="11">
        <v>8528558</v>
      </c>
      <c r="J11" s="54" t="s">
        <v>95</v>
      </c>
      <c r="K11" s="1">
        <v>6</v>
      </c>
      <c r="L11" s="55" t="s">
        <v>96</v>
      </c>
      <c r="M11" s="56">
        <f>M12+M13</f>
        <v>120924.06799999997</v>
      </c>
    </row>
    <row r="12" spans="2:15" ht="15.75" customHeight="1">
      <c r="B12" s="10" t="s">
        <v>18</v>
      </c>
      <c r="C12" s="11">
        <v>462</v>
      </c>
      <c r="D12" s="12">
        <v>111132</v>
      </c>
      <c r="E12" s="11">
        <v>10103727.1</v>
      </c>
      <c r="F12" s="12">
        <v>13031</v>
      </c>
      <c r="G12" s="12">
        <v>26241</v>
      </c>
      <c r="H12" s="11">
        <v>10671926.9</v>
      </c>
      <c r="J12" s="54" t="s">
        <v>97</v>
      </c>
      <c r="K12" s="1">
        <v>20</v>
      </c>
      <c r="L12" s="55" t="s">
        <v>98</v>
      </c>
      <c r="M12" s="56">
        <f>K9</f>
        <v>35545.402878291279</v>
      </c>
    </row>
    <row r="13" spans="2:15" ht="15.75" customHeight="1">
      <c r="B13" s="10" t="s">
        <v>19</v>
      </c>
      <c r="C13" s="11">
        <v>462.9</v>
      </c>
      <c r="D13" s="12">
        <v>104165</v>
      </c>
      <c r="E13" s="11">
        <v>10140718.5</v>
      </c>
      <c r="F13" s="12">
        <v>9855</v>
      </c>
      <c r="G13" s="12">
        <v>19972</v>
      </c>
      <c r="H13" s="11">
        <v>10926206</v>
      </c>
      <c r="J13" s="54" t="s">
        <v>99</v>
      </c>
      <c r="K13" s="1">
        <v>14</v>
      </c>
      <c r="L13" s="55" t="s">
        <v>100</v>
      </c>
      <c r="M13" s="56">
        <f>J9</f>
        <v>85378.665121708691</v>
      </c>
    </row>
    <row r="14" spans="2:15" ht="15.75" customHeight="1">
      <c r="B14" s="10" t="s">
        <v>20</v>
      </c>
      <c r="C14" s="11">
        <v>458.5</v>
      </c>
      <c r="D14" s="12">
        <v>113208</v>
      </c>
      <c r="E14" s="11">
        <v>10146264.1</v>
      </c>
      <c r="F14" s="12">
        <v>15691</v>
      </c>
      <c r="G14" s="12">
        <v>30828</v>
      </c>
      <c r="H14" s="11">
        <v>12158205.199999999</v>
      </c>
      <c r="J14" s="57" t="s">
        <v>101</v>
      </c>
      <c r="K14" s="58">
        <f>J7</f>
        <v>0.70605187646936185</v>
      </c>
    </row>
    <row r="15" spans="2:15" ht="15.75" customHeight="1">
      <c r="B15" s="10" t="s">
        <v>21</v>
      </c>
      <c r="C15" s="11">
        <v>457.9</v>
      </c>
      <c r="D15" s="12">
        <v>116946</v>
      </c>
      <c r="E15" s="11">
        <v>10147099.9</v>
      </c>
      <c r="F15" s="12">
        <v>39639</v>
      </c>
      <c r="G15" s="12">
        <v>46519</v>
      </c>
      <c r="H15" s="11">
        <v>10127805.800000001</v>
      </c>
      <c r="J15" s="59" t="s">
        <v>102</v>
      </c>
      <c r="K15" s="58">
        <f>1-(M12/19)/(M11/K13)</f>
        <v>0.78340664581952979</v>
      </c>
    </row>
    <row r="16" spans="2:15" ht="15.75" customHeight="1">
      <c r="B16" s="10" t="s">
        <v>22</v>
      </c>
      <c r="C16" s="11">
        <v>484.7</v>
      </c>
      <c r="D16" s="12">
        <v>114601</v>
      </c>
      <c r="E16" s="13">
        <v>10164813.6</v>
      </c>
      <c r="F16" s="12">
        <v>10640</v>
      </c>
      <c r="G16" s="12">
        <v>20766</v>
      </c>
      <c r="H16" s="11">
        <v>10851199.199999999</v>
      </c>
      <c r="J16" s="60" t="s">
        <v>103</v>
      </c>
      <c r="K16" s="56">
        <f>M12/M11</f>
        <v>0.29394812353063815</v>
      </c>
    </row>
    <row r="17" spans="2:13" ht="15.75" customHeight="1">
      <c r="B17" s="10" t="s">
        <v>23</v>
      </c>
      <c r="C17" s="11">
        <v>481.7</v>
      </c>
      <c r="D17" s="12">
        <v>129165</v>
      </c>
      <c r="E17" s="13">
        <v>10165112.01</v>
      </c>
      <c r="F17" s="12">
        <v>23817</v>
      </c>
      <c r="G17" s="12">
        <v>32863</v>
      </c>
      <c r="H17" s="11">
        <v>14248455.4</v>
      </c>
      <c r="J17" s="54" t="s">
        <v>104</v>
      </c>
      <c r="K17" s="58">
        <f>K7</f>
        <v>50.388067520489187</v>
      </c>
    </row>
    <row r="18" spans="2:13" ht="15.75" customHeight="1">
      <c r="B18" s="10" t="s">
        <v>24</v>
      </c>
      <c r="C18" s="11">
        <v>521.4</v>
      </c>
      <c r="D18" s="12">
        <v>128533</v>
      </c>
      <c r="E18" s="13">
        <v>10175972.9</v>
      </c>
      <c r="F18" s="12">
        <v>32513</v>
      </c>
      <c r="G18" s="12">
        <v>47902</v>
      </c>
      <c r="H18" s="11">
        <v>15160046.4</v>
      </c>
      <c r="J18" s="54" t="s">
        <v>105</v>
      </c>
      <c r="K18" s="31">
        <f>K17/AVERAGE(C6:C25)</f>
        <v>0.10976835901117371</v>
      </c>
    </row>
    <row r="19" spans="2:13" ht="15.75" customHeight="1">
      <c r="B19" s="10" t="s">
        <v>25</v>
      </c>
      <c r="C19" s="11">
        <v>526.20000000000005</v>
      </c>
      <c r="D19" s="12">
        <v>114588</v>
      </c>
      <c r="E19" s="13">
        <v>10167023.66</v>
      </c>
      <c r="F19" s="12">
        <v>9043</v>
      </c>
      <c r="G19" s="12">
        <v>20504</v>
      </c>
      <c r="H19" s="11">
        <v>6517035.4000000004</v>
      </c>
      <c r="J19" s="57" t="s">
        <v>106</v>
      </c>
      <c r="K19" s="56">
        <v>5.783726907401899E-6</v>
      </c>
    </row>
    <row r="20" spans="2:13" ht="15.75" customHeight="1">
      <c r="B20" s="10" t="s">
        <v>26</v>
      </c>
      <c r="C20" s="11">
        <v>545.1</v>
      </c>
      <c r="D20" s="12">
        <v>102442</v>
      </c>
      <c r="E20" s="13">
        <v>10175600.82</v>
      </c>
      <c r="F20" s="12">
        <v>10140</v>
      </c>
      <c r="G20" s="12">
        <v>21599</v>
      </c>
      <c r="H20" s="11">
        <v>6825385</v>
      </c>
      <c r="J20" s="57" t="s">
        <v>107</v>
      </c>
      <c r="K20" s="56">
        <v>3.151228062018196E-3</v>
      </c>
    </row>
    <row r="21" spans="2:13" ht="15.75" customHeight="1">
      <c r="B21" s="10" t="s">
        <v>27</v>
      </c>
      <c r="C21" s="11">
        <v>525.6</v>
      </c>
      <c r="D21" s="12">
        <v>102895</v>
      </c>
      <c r="E21" s="13">
        <v>10182355.75</v>
      </c>
      <c r="F21" s="12">
        <v>12924</v>
      </c>
      <c r="G21" s="12">
        <v>24351</v>
      </c>
      <c r="H21" s="11">
        <v>10392119.5</v>
      </c>
      <c r="J21" s="57" t="s">
        <v>108</v>
      </c>
      <c r="K21" s="56">
        <v>1.6474738737835568E-3</v>
      </c>
    </row>
    <row r="22" spans="2:13" ht="15.75" customHeight="1">
      <c r="B22" s="10" t="s">
        <v>28</v>
      </c>
      <c r="C22" s="11">
        <v>534.79999999999995</v>
      </c>
      <c r="D22" s="12">
        <v>76361</v>
      </c>
      <c r="E22" s="13">
        <v>10107332.939999999</v>
      </c>
      <c r="F22" s="12">
        <v>18903</v>
      </c>
      <c r="G22" s="12">
        <v>31835</v>
      </c>
      <c r="H22" s="11">
        <v>12415204.300000001</v>
      </c>
      <c r="J22" s="57" t="s">
        <v>109</v>
      </c>
      <c r="K22" s="56">
        <v>3.30465950878335E-4</v>
      </c>
    </row>
    <row r="23" spans="2:13" ht="15.75" customHeight="1">
      <c r="B23" s="10" t="s">
        <v>29</v>
      </c>
      <c r="C23" s="11">
        <v>525.79999999999995</v>
      </c>
      <c r="D23" s="12">
        <v>88688</v>
      </c>
      <c r="E23" s="13">
        <v>10106401.24</v>
      </c>
      <c r="F23" s="12">
        <v>18378</v>
      </c>
      <c r="G23" s="12">
        <v>24429</v>
      </c>
      <c r="H23" s="11">
        <v>11439859.300000001</v>
      </c>
      <c r="J23" s="57" t="s">
        <v>110</v>
      </c>
      <c r="K23" s="56">
        <v>5.9075245906518923E-4</v>
      </c>
    </row>
    <row r="24" spans="2:13" ht="15.75" customHeight="1">
      <c r="B24" s="10" t="s">
        <v>30</v>
      </c>
      <c r="C24" s="11">
        <v>546.20000000000005</v>
      </c>
      <c r="D24" s="12">
        <v>43182</v>
      </c>
      <c r="E24" s="13">
        <v>10109100.01</v>
      </c>
      <c r="F24" s="12">
        <v>5072</v>
      </c>
      <c r="G24" s="12">
        <v>12300</v>
      </c>
      <c r="H24" s="11">
        <v>12376568.1</v>
      </c>
      <c r="J24" s="57" t="s">
        <v>111</v>
      </c>
      <c r="K24" s="56">
        <v>3334.9012656283089</v>
      </c>
    </row>
    <row r="25" spans="2:13" ht="15.75" customHeight="1">
      <c r="B25" s="10" t="s">
        <v>31</v>
      </c>
      <c r="C25" s="11">
        <v>537</v>
      </c>
      <c r="D25" s="12">
        <v>50484</v>
      </c>
      <c r="E25" s="13">
        <v>10113949.18</v>
      </c>
      <c r="F25" s="12">
        <v>13758</v>
      </c>
      <c r="G25" s="12">
        <v>26571</v>
      </c>
      <c r="H25" s="11">
        <v>13925996.5</v>
      </c>
      <c r="J25" s="57" t="s">
        <v>112</v>
      </c>
      <c r="K25" s="56">
        <v>1.777684443866443</v>
      </c>
      <c r="L25" s="59" t="s">
        <v>113</v>
      </c>
      <c r="M25" s="46">
        <f t="shared" ref="M25:M30" si="0">_xlfn.T.DIST.2T(ABS(K25),$K$13)</f>
        <v>9.7175573810492744E-2</v>
      </c>
    </row>
    <row r="26" spans="2:13" ht="15.75" customHeight="1">
      <c r="J26" s="57" t="s">
        <v>114</v>
      </c>
      <c r="K26" s="56">
        <v>0.49258243494739462</v>
      </c>
      <c r="L26" s="59" t="s">
        <v>115</v>
      </c>
      <c r="M26" s="46">
        <f t="shared" si="0"/>
        <v>0.62994280051367268</v>
      </c>
    </row>
    <row r="27" spans="2:13" ht="15.75" customHeight="1">
      <c r="J27" s="57" t="s">
        <v>87</v>
      </c>
      <c r="K27" s="56">
        <v>-1.4776440190930897</v>
      </c>
      <c r="L27" s="59" t="s">
        <v>116</v>
      </c>
      <c r="M27" s="46">
        <f t="shared" si="0"/>
        <v>0.16164447017075464</v>
      </c>
    </row>
    <row r="28" spans="2:13" ht="15.75" customHeight="1">
      <c r="J28" s="57" t="s">
        <v>90</v>
      </c>
      <c r="K28" s="56">
        <v>1.6607392643247656</v>
      </c>
      <c r="L28" s="59" t="s">
        <v>117</v>
      </c>
      <c r="M28" s="46">
        <f t="shared" si="0"/>
        <v>0.11898767606528809</v>
      </c>
    </row>
    <row r="29" spans="2:13" ht="15.75" customHeight="1">
      <c r="J29" s="57" t="s">
        <v>91</v>
      </c>
      <c r="K29" s="56">
        <v>-1.495717217781938</v>
      </c>
      <c r="L29" s="59" t="s">
        <v>118</v>
      </c>
      <c r="M29" s="46">
        <f t="shared" si="0"/>
        <v>0.15692626103265489</v>
      </c>
    </row>
    <row r="30" spans="2:13" ht="15.75" customHeight="1">
      <c r="J30" s="57" t="s">
        <v>119</v>
      </c>
      <c r="K30" s="56">
        <v>-1.530149489364163</v>
      </c>
      <c r="L30" s="59" t="s">
        <v>120</v>
      </c>
      <c r="M30" s="46">
        <f t="shared" si="0"/>
        <v>0.14825777817724362</v>
      </c>
    </row>
    <row r="31" spans="2:13" ht="15.75" customHeight="1">
      <c r="J31" s="55" t="s">
        <v>121</v>
      </c>
      <c r="K31" s="31">
        <f t="shared" ref="K31:K36" si="1">J5-K19*$K$37</f>
        <v>2.0468578175421003E-5</v>
      </c>
      <c r="L31" s="55" t="s">
        <v>122</v>
      </c>
      <c r="M31" s="31">
        <f t="shared" ref="M31:M36" si="2">J5+K19*$K$37</f>
        <v>9.4704526299132889E-8</v>
      </c>
    </row>
    <row r="32" spans="2:13" ht="15.75" customHeight="1">
      <c r="J32" s="55" t="s">
        <v>123</v>
      </c>
      <c r="K32" s="31">
        <f t="shared" si="1"/>
        <v>5.556073652678321E-3</v>
      </c>
      <c r="L32" s="55" t="s">
        <v>124</v>
      </c>
      <c r="M32" s="31">
        <f t="shared" si="2"/>
        <v>-5.5445061988635171E-3</v>
      </c>
    </row>
    <row r="33" spans="2:14" ht="15.75" customHeight="1">
      <c r="J33" s="55" t="s">
        <v>125</v>
      </c>
      <c r="K33" s="31">
        <f t="shared" si="1"/>
        <v>0.70895358890168114</v>
      </c>
      <c r="L33" s="55" t="s">
        <v>126</v>
      </c>
      <c r="M33" s="31">
        <f t="shared" si="2"/>
        <v>0.70315016403704256</v>
      </c>
    </row>
    <row r="34" spans="2:14" ht="15.75" customHeight="1">
      <c r="J34" s="55" t="s">
        <v>127</v>
      </c>
      <c r="K34" s="31">
        <f t="shared" si="1"/>
        <v>6.7260723550893928</v>
      </c>
      <c r="L34" s="55" t="s">
        <v>128</v>
      </c>
      <c r="M34" s="31">
        <f t="shared" si="2"/>
        <v>6.7249082490317722</v>
      </c>
    </row>
    <row r="35" spans="2:14" ht="15.75" customHeight="1">
      <c r="J35" s="55" t="s">
        <v>129</v>
      </c>
      <c r="K35" s="31">
        <f t="shared" si="1"/>
        <v>85378.666162206981</v>
      </c>
      <c r="L35" s="55" t="s">
        <v>130</v>
      </c>
      <c r="M35" s="31">
        <f t="shared" si="2"/>
        <v>85378.664081210401</v>
      </c>
    </row>
    <row r="36" spans="2:14" ht="15.75" customHeight="1">
      <c r="J36" s="55" t="s">
        <v>131</v>
      </c>
      <c r="K36" s="31">
        <f t="shared" si="1"/>
        <v>5873.795400959656</v>
      </c>
      <c r="L36" s="55" t="s">
        <v>132</v>
      </c>
      <c r="M36" s="31">
        <f t="shared" si="2"/>
        <v>-5873.795400959656</v>
      </c>
    </row>
    <row r="37" spans="2:14" ht="15.75" customHeight="1">
      <c r="J37" s="57" t="s">
        <v>133</v>
      </c>
      <c r="K37" s="31">
        <f>_xlfn.T.INV(0.05,K8)</f>
        <v>-1.7613101357748921</v>
      </c>
    </row>
    <row r="38" spans="2:14" ht="15">
      <c r="J38" s="54" t="s">
        <v>134</v>
      </c>
      <c r="K38" s="31">
        <f>J8</f>
        <v>6.7254903020605825</v>
      </c>
    </row>
    <row r="39" spans="2:14" ht="15">
      <c r="J39" s="54" t="s">
        <v>135</v>
      </c>
      <c r="K39" s="31">
        <f>_xlfn.F.INV.RT(0.05,5,K13)</f>
        <v>2.9582489131221967</v>
      </c>
    </row>
    <row r="42" spans="2:14" ht="15">
      <c r="B42" s="36" t="s">
        <v>6</v>
      </c>
      <c r="C42" s="37" t="s">
        <v>11</v>
      </c>
      <c r="D42" s="45" t="s">
        <v>9</v>
      </c>
      <c r="G42" s="31">
        <f t="array" ref="G42:I46">LINEST(B43:B62,C43:D62,1,1)</f>
        <v>-1.4846787191340953E-3</v>
      </c>
      <c r="H42" s="31">
        <v>1.3155698057057997E-5</v>
      </c>
      <c r="I42" s="31">
        <v>365.09298757511527</v>
      </c>
      <c r="K42" s="54" t="s">
        <v>95</v>
      </c>
      <c r="L42" s="1">
        <v>3</v>
      </c>
      <c r="M42" s="55" t="s">
        <v>96</v>
      </c>
      <c r="N42" s="31">
        <f>H46+G46</f>
        <v>120924.06799999997</v>
      </c>
    </row>
    <row r="43" spans="2:14" ht="15">
      <c r="B43" s="39">
        <v>314.89999999999998</v>
      </c>
      <c r="C43" s="39">
        <v>5141415.5999999996</v>
      </c>
      <c r="D43" s="40">
        <v>109624</v>
      </c>
      <c r="G43" s="31">
        <v>5.8124270477402987E-4</v>
      </c>
      <c r="H43" s="31">
        <v>4.2565723203376904E-6</v>
      </c>
      <c r="I43" s="31">
        <v>50.834899592311409</v>
      </c>
      <c r="K43" s="54" t="s">
        <v>97</v>
      </c>
      <c r="L43" s="1">
        <v>20</v>
      </c>
      <c r="M43" s="55" t="s">
        <v>98</v>
      </c>
      <c r="N43" s="31">
        <f>H46</f>
        <v>46638.619940701268</v>
      </c>
    </row>
    <row r="44" spans="2:14" ht="15">
      <c r="B44" s="39">
        <v>321.7</v>
      </c>
      <c r="C44" s="39">
        <v>5337437.2</v>
      </c>
      <c r="D44" s="40">
        <v>39331</v>
      </c>
      <c r="G44" s="31">
        <v>0.61431482820523975</v>
      </c>
      <c r="H44" s="31">
        <v>52.377936498166449</v>
      </c>
      <c r="I44" s="31" t="e">
        <v>#N/A</v>
      </c>
      <c r="K44" s="54" t="s">
        <v>99</v>
      </c>
      <c r="L44" s="31">
        <f>17</f>
        <v>17</v>
      </c>
      <c r="M44" s="55" t="s">
        <v>100</v>
      </c>
      <c r="N44" s="31">
        <f>G46</f>
        <v>74285.448059298709</v>
      </c>
    </row>
    <row r="45" spans="2:14" ht="17.25">
      <c r="B45" s="39">
        <v>333.1</v>
      </c>
      <c r="C45" s="39">
        <v>5986499.9000000004</v>
      </c>
      <c r="D45" s="40">
        <v>36149</v>
      </c>
      <c r="G45" s="31">
        <v>13.53870052987989</v>
      </c>
      <c r="H45" s="31">
        <v>17</v>
      </c>
      <c r="I45" s="31" t="e">
        <v>#N/A</v>
      </c>
      <c r="K45" s="57" t="s">
        <v>136</v>
      </c>
      <c r="L45" s="58">
        <f>G44</f>
        <v>0.61431482820523975</v>
      </c>
      <c r="N45" s="31">
        <v>-1.4846787191340983E-3</v>
      </c>
    </row>
    <row r="46" spans="2:14" ht="15">
      <c r="B46" s="39">
        <v>361</v>
      </c>
      <c r="C46" s="39">
        <v>6877759.2000000002</v>
      </c>
      <c r="D46" s="40">
        <v>28998</v>
      </c>
      <c r="G46" s="31">
        <v>74285.448059298709</v>
      </c>
      <c r="H46" s="31">
        <v>46638.619940701268</v>
      </c>
      <c r="I46" s="31" t="e">
        <v>#N/A</v>
      </c>
      <c r="K46" s="59" t="s">
        <v>102</v>
      </c>
      <c r="L46" s="31">
        <f>1-(N42/19)/(N43/L44)</f>
        <v>-1.3198632136715673</v>
      </c>
      <c r="N46" s="31">
        <v>1.3155698057057991E-5</v>
      </c>
    </row>
    <row r="47" spans="2:14" ht="17.25">
      <c r="B47" s="39">
        <v>367.6</v>
      </c>
      <c r="C47" s="39">
        <v>7520684.2000000002</v>
      </c>
      <c r="D47" s="40">
        <v>16652</v>
      </c>
      <c r="K47" s="60" t="s">
        <v>137</v>
      </c>
      <c r="L47" s="31">
        <f>N43/N42</f>
        <v>0.38568517179476031</v>
      </c>
      <c r="N47" s="31">
        <v>365.09298757511522</v>
      </c>
    </row>
    <row r="48" spans="2:14" ht="15">
      <c r="B48" s="39">
        <v>412.7</v>
      </c>
      <c r="C48" s="39">
        <v>8528558</v>
      </c>
      <c r="D48" s="40">
        <v>19696</v>
      </c>
      <c r="K48" s="54" t="s">
        <v>104</v>
      </c>
      <c r="L48" s="31">
        <f>SQRT(N43/L44)</f>
        <v>52.377936498166449</v>
      </c>
    </row>
    <row r="49" spans="2:14" ht="15">
      <c r="B49" s="39">
        <v>462</v>
      </c>
      <c r="C49" s="39">
        <v>10671926.9</v>
      </c>
      <c r="D49" s="40">
        <v>13031</v>
      </c>
      <c r="K49" s="54" t="s">
        <v>105</v>
      </c>
      <c r="L49" s="31">
        <f>L48/AVERAGE(B43:B62)</f>
        <v>0.11410320777746262</v>
      </c>
    </row>
    <row r="50" spans="2:14" ht="18">
      <c r="B50" s="39">
        <v>462.9</v>
      </c>
      <c r="C50" s="39">
        <v>10926206</v>
      </c>
      <c r="D50" s="40">
        <v>9855</v>
      </c>
      <c r="K50" s="57" t="s">
        <v>138</v>
      </c>
      <c r="L50" s="31">
        <f>G43</f>
        <v>5.8124270477402987E-4</v>
      </c>
    </row>
    <row r="51" spans="2:14" ht="18">
      <c r="B51" s="39">
        <v>458.5</v>
      </c>
      <c r="C51" s="39">
        <v>12158205.199999999</v>
      </c>
      <c r="D51" s="40">
        <v>15691</v>
      </c>
      <c r="K51" s="57" t="s">
        <v>139</v>
      </c>
      <c r="L51" s="31">
        <f>H43</f>
        <v>4.2565723203376904E-6</v>
      </c>
    </row>
    <row r="52" spans="2:14" ht="15">
      <c r="B52" s="39">
        <v>457.9</v>
      </c>
      <c r="C52" s="39">
        <v>10127805.800000001</v>
      </c>
      <c r="D52" s="40">
        <v>39639</v>
      </c>
      <c r="K52" s="57" t="s">
        <v>108</v>
      </c>
      <c r="L52" s="31">
        <f>I43</f>
        <v>50.834899592311409</v>
      </c>
    </row>
    <row r="53" spans="2:14" ht="18">
      <c r="B53" s="39">
        <v>484.7</v>
      </c>
      <c r="C53" s="39">
        <v>10851199.199999999</v>
      </c>
      <c r="D53" s="40">
        <v>10640</v>
      </c>
      <c r="K53" s="57" t="s">
        <v>140</v>
      </c>
      <c r="L53" s="31">
        <f>G42/G43</f>
        <v>-2.5543180274603099</v>
      </c>
      <c r="M53" s="59" t="s">
        <v>113</v>
      </c>
      <c r="N53" s="46">
        <f>_xlfn.T.DIST.2T(-L53,$L$44)</f>
        <v>2.0526598953186967E-2</v>
      </c>
    </row>
    <row r="54" spans="2:14" ht="18">
      <c r="B54" s="39">
        <v>481.7</v>
      </c>
      <c r="C54" s="39">
        <v>14248455.4</v>
      </c>
      <c r="D54" s="40">
        <v>23817</v>
      </c>
      <c r="K54" s="57" t="s">
        <v>141</v>
      </c>
      <c r="L54" s="31">
        <f>H42/H43</f>
        <v>3.0906788530763891</v>
      </c>
      <c r="M54" s="59" t="s">
        <v>115</v>
      </c>
      <c r="N54" s="46">
        <f t="shared" ref="N54:N55" si="3">_xlfn.T.DIST.2T(L54,$L$44)</f>
        <v>6.6357330646363167E-3</v>
      </c>
    </row>
    <row r="55" spans="2:14" ht="15">
      <c r="B55" s="39">
        <v>521.4</v>
      </c>
      <c r="C55" s="39">
        <v>15160046.4</v>
      </c>
      <c r="D55" s="40">
        <v>32513</v>
      </c>
      <c r="K55" s="57" t="s">
        <v>87</v>
      </c>
      <c r="L55" s="31">
        <f>I42/I43</f>
        <v>7.1819358453170672</v>
      </c>
      <c r="M55" s="59" t="s">
        <v>116</v>
      </c>
      <c r="N55" s="46">
        <f t="shared" si="3"/>
        <v>1.5348089151079232E-6</v>
      </c>
    </row>
    <row r="56" spans="2:14" ht="15">
      <c r="B56" s="39">
        <v>526.20000000000005</v>
      </c>
      <c r="C56" s="39">
        <v>6517035.4000000004</v>
      </c>
      <c r="D56" s="40">
        <v>9043</v>
      </c>
      <c r="K56" s="55" t="s">
        <v>121</v>
      </c>
      <c r="L56" s="31">
        <f t="shared" ref="L56:L58" si="4">N45-L50*$L$59</f>
        <v>-2.7109936321683182E-3</v>
      </c>
      <c r="M56" s="55" t="s">
        <v>122</v>
      </c>
      <c r="N56" s="31">
        <f t="shared" ref="N56:N58" si="5">N45+L50*$L$59</f>
        <v>-2.5836380609987842E-4</v>
      </c>
    </row>
    <row r="57" spans="2:14" ht="15">
      <c r="B57" s="39">
        <v>545.1</v>
      </c>
      <c r="C57" s="39">
        <v>6825385</v>
      </c>
      <c r="D57" s="40">
        <v>10140</v>
      </c>
      <c r="K57" s="55" t="s">
        <v>123</v>
      </c>
      <c r="L57" s="31">
        <f t="shared" si="4"/>
        <v>4.1751154674354227E-6</v>
      </c>
      <c r="M57" s="55" t="s">
        <v>124</v>
      </c>
      <c r="N57" s="31">
        <f t="shared" si="5"/>
        <v>2.2136280646680557E-5</v>
      </c>
    </row>
    <row r="58" spans="2:14" ht="15">
      <c r="B58" s="39">
        <v>525.6</v>
      </c>
      <c r="C58" s="39">
        <v>10392119.5</v>
      </c>
      <c r="D58" s="40">
        <v>12924</v>
      </c>
      <c r="K58" s="55" t="s">
        <v>125</v>
      </c>
      <c r="L58" s="31">
        <f t="shared" si="4"/>
        <v>257.84072451766406</v>
      </c>
      <c r="M58" s="55" t="s">
        <v>126</v>
      </c>
      <c r="N58" s="31">
        <f t="shared" si="5"/>
        <v>472.34525063256638</v>
      </c>
    </row>
    <row r="59" spans="2:14" ht="16.5">
      <c r="B59" s="39">
        <v>534.79999999999995</v>
      </c>
      <c r="C59" s="39">
        <v>12415204.300000001</v>
      </c>
      <c r="D59" s="40">
        <v>18903</v>
      </c>
      <c r="K59" s="57" t="s">
        <v>142</v>
      </c>
      <c r="L59" s="31">
        <f>_xlfn.T.INV.2T(0.05,L44)</f>
        <v>2.109815577833317</v>
      </c>
    </row>
    <row r="60" spans="2:14" ht="15">
      <c r="B60" s="39">
        <v>525.79999999999995</v>
      </c>
      <c r="C60" s="39">
        <v>11439859.300000001</v>
      </c>
      <c r="D60" s="40">
        <v>18378</v>
      </c>
      <c r="K60" s="54" t="s">
        <v>134</v>
      </c>
      <c r="L60" s="31">
        <f>(N44/2)/(N43/L44)</f>
        <v>13.53870052987989</v>
      </c>
    </row>
    <row r="61" spans="2:14" ht="15">
      <c r="B61" s="39">
        <v>546.20000000000005</v>
      </c>
      <c r="C61" s="39">
        <v>12376568.1</v>
      </c>
      <c r="D61" s="40">
        <v>5072</v>
      </c>
      <c r="K61" s="54" t="s">
        <v>135</v>
      </c>
      <c r="L61" s="46">
        <f>_xlfn.F.INV.RT(0.05,2,L44)</f>
        <v>3.5915305684750827</v>
      </c>
    </row>
    <row r="62" spans="2:14" ht="15">
      <c r="B62" s="42">
        <v>537</v>
      </c>
      <c r="C62" s="42">
        <v>13925996.5</v>
      </c>
      <c r="D62" s="43">
        <v>13758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R133"/>
  <sheetViews>
    <sheetView topLeftCell="A106" workbookViewId="0"/>
  </sheetViews>
  <sheetFormatPr defaultColWidth="12.5703125" defaultRowHeight="15.75" customHeight="1"/>
  <sheetData>
    <row r="3" spans="2:12">
      <c r="B3" s="1" t="s">
        <v>143</v>
      </c>
    </row>
    <row r="5" spans="2:12">
      <c r="B5" s="31" t="s">
        <v>6</v>
      </c>
      <c r="C5" s="31" t="s">
        <v>11</v>
      </c>
      <c r="D5" s="1" t="s">
        <v>9</v>
      </c>
    </row>
    <row r="6" spans="2:12">
      <c r="B6" s="61">
        <v>314.89999999999998</v>
      </c>
      <c r="C6" s="61">
        <v>5141415.5999999996</v>
      </c>
      <c r="D6" s="62">
        <v>109624</v>
      </c>
      <c r="F6" s="31">
        <f t="array" ref="F6:H10">LINEST(B6:B15,C6:D15,1,1)</f>
        <v>-9.1902677672163826E-6</v>
      </c>
      <c r="G6" s="31">
        <v>2.3995138688924856E-5</v>
      </c>
      <c r="H6" s="31">
        <v>195.70894095080058</v>
      </c>
      <c r="J6" s="31">
        <f t="array" ref="J6:L10">LINEST(B16:B25,C16:D25,1,1)</f>
        <v>-8.0323813704722053E-4</v>
      </c>
      <c r="K6" s="31">
        <v>-5.3501975594180169E-7</v>
      </c>
      <c r="L6" s="31">
        <v>541.42264251582662</v>
      </c>
    </row>
    <row r="7" spans="2:12">
      <c r="B7" s="61">
        <v>321.7</v>
      </c>
      <c r="C7" s="61">
        <v>5337437.2</v>
      </c>
      <c r="D7" s="62">
        <v>39331</v>
      </c>
      <c r="F7" s="31">
        <v>2.2288631616303374E-4</v>
      </c>
      <c r="G7" s="31">
        <v>2.5717875396033999E-6</v>
      </c>
      <c r="H7" s="31">
        <v>27.053068683682735</v>
      </c>
      <c r="J7" s="31">
        <v>1.2975020732824796E-3</v>
      </c>
      <c r="K7" s="31">
        <v>3.6013793546893936E-6</v>
      </c>
      <c r="L7" s="31">
        <v>32.87004663064841</v>
      </c>
    </row>
    <row r="8" spans="2:12">
      <c r="B8" s="61">
        <v>333.1</v>
      </c>
      <c r="C8" s="61">
        <v>5986499.9000000004</v>
      </c>
      <c r="D8" s="62">
        <v>36149</v>
      </c>
      <c r="F8" s="31">
        <v>0.95360878841471108</v>
      </c>
      <c r="G8" s="31">
        <v>15.214452357466566</v>
      </c>
      <c r="H8" s="31" t="e">
        <v>#N/A</v>
      </c>
      <c r="J8" s="31">
        <v>0.11438668549151729</v>
      </c>
      <c r="K8" s="31">
        <v>24.023362284186888</v>
      </c>
      <c r="L8" s="31" t="e">
        <v>#N/A</v>
      </c>
    </row>
    <row r="9" spans="2:12">
      <c r="B9" s="61">
        <v>361</v>
      </c>
      <c r="C9" s="61">
        <v>6877759.2000000002</v>
      </c>
      <c r="D9" s="62">
        <v>28998</v>
      </c>
      <c r="F9" s="31">
        <v>71.9453242413243</v>
      </c>
      <c r="G9" s="31">
        <v>7</v>
      </c>
      <c r="H9" s="31" t="e">
        <v>#N/A</v>
      </c>
      <c r="J9" s="31">
        <v>0.45206343746368299</v>
      </c>
      <c r="K9" s="31">
        <v>7</v>
      </c>
      <c r="L9" s="31" t="e">
        <v>#N/A</v>
      </c>
    </row>
    <row r="10" spans="2:12">
      <c r="B10" s="61">
        <v>367.6</v>
      </c>
      <c r="C10" s="61">
        <v>7520684.2000000002</v>
      </c>
      <c r="D10" s="62">
        <v>16652</v>
      </c>
      <c r="F10" s="31">
        <v>33307.744076236653</v>
      </c>
      <c r="G10" s="31">
        <v>1620.3569237633396</v>
      </c>
      <c r="H10" s="31" t="e">
        <v>#N/A</v>
      </c>
      <c r="J10" s="31">
        <v>521.79145193895283</v>
      </c>
      <c r="K10" s="31">
        <v>4039.8535480610512</v>
      </c>
      <c r="L10" s="31" t="e">
        <v>#N/A</v>
      </c>
    </row>
    <row r="11" spans="2:12">
      <c r="B11" s="61">
        <v>412.7</v>
      </c>
      <c r="C11" s="61">
        <v>8528558</v>
      </c>
      <c r="D11" s="62">
        <v>19696</v>
      </c>
    </row>
    <row r="12" spans="2:12">
      <c r="B12" s="61">
        <v>457.9</v>
      </c>
      <c r="C12" s="61">
        <v>10127805.800000001</v>
      </c>
      <c r="D12" s="62">
        <v>39639</v>
      </c>
      <c r="F12" s="1" t="s">
        <v>144</v>
      </c>
      <c r="G12" s="31">
        <f>K10/G10</f>
        <v>2.4931874507490237</v>
      </c>
    </row>
    <row r="13" spans="2:12">
      <c r="B13" s="61">
        <v>458.5</v>
      </c>
      <c r="C13" s="61">
        <v>12158205.199999999</v>
      </c>
      <c r="D13" s="62">
        <v>15691</v>
      </c>
      <c r="F13" s="1" t="s">
        <v>145</v>
      </c>
      <c r="G13" s="31">
        <f>_xlfn.F.INV.RT(0.05,G9,K9)</f>
        <v>3.7870435399280704</v>
      </c>
      <c r="I13" s="1" t="s">
        <v>146</v>
      </c>
    </row>
    <row r="14" spans="2:12">
      <c r="B14" s="61">
        <v>462</v>
      </c>
      <c r="C14" s="61">
        <v>10671926.9</v>
      </c>
      <c r="D14" s="62">
        <v>13031</v>
      </c>
    </row>
    <row r="15" spans="2:12">
      <c r="B15" s="61">
        <v>462.9</v>
      </c>
      <c r="C15" s="61">
        <v>10926206</v>
      </c>
      <c r="D15" s="62">
        <v>9855</v>
      </c>
    </row>
    <row r="16" spans="2:12">
      <c r="B16" s="61">
        <v>481.7</v>
      </c>
      <c r="C16" s="61">
        <v>14248455.4</v>
      </c>
      <c r="D16" s="62">
        <v>23817</v>
      </c>
    </row>
    <row r="17" spans="2:14">
      <c r="B17" s="61">
        <v>484.7</v>
      </c>
      <c r="C17" s="61">
        <v>10851199.199999999</v>
      </c>
      <c r="D17" s="62">
        <v>10640</v>
      </c>
    </row>
    <row r="18" spans="2:14">
      <c r="B18" s="61">
        <v>521.4</v>
      </c>
      <c r="C18" s="61">
        <v>15160046.4</v>
      </c>
      <c r="D18" s="62">
        <v>32513</v>
      </c>
    </row>
    <row r="19" spans="2:14">
      <c r="B19" s="61">
        <v>525.6</v>
      </c>
      <c r="C19" s="61">
        <v>10392119.5</v>
      </c>
      <c r="D19" s="62">
        <v>12924</v>
      </c>
    </row>
    <row r="20" spans="2:14">
      <c r="B20" s="61">
        <v>525.79999999999995</v>
      </c>
      <c r="C20" s="61">
        <v>11439859.300000001</v>
      </c>
      <c r="D20" s="62">
        <v>18378</v>
      </c>
    </row>
    <row r="21" spans="2:14">
      <c r="B21" s="61">
        <v>526.20000000000005</v>
      </c>
      <c r="C21" s="61">
        <v>6517035.4000000004</v>
      </c>
      <c r="D21" s="62">
        <v>9043</v>
      </c>
    </row>
    <row r="22" spans="2:14">
      <c r="B22" s="61">
        <v>534.79999999999995</v>
      </c>
      <c r="C22" s="61">
        <v>12415204.300000001</v>
      </c>
      <c r="D22" s="62">
        <v>18903</v>
      </c>
    </row>
    <row r="23" spans="2:14">
      <c r="B23" s="61">
        <v>537</v>
      </c>
      <c r="C23" s="61">
        <v>13925996.5</v>
      </c>
      <c r="D23" s="62">
        <v>13758</v>
      </c>
    </row>
    <row r="24" spans="2:14">
      <c r="B24" s="61">
        <v>545.1</v>
      </c>
      <c r="C24" s="61">
        <v>6825385</v>
      </c>
      <c r="D24" s="62">
        <v>10140</v>
      </c>
    </row>
    <row r="25" spans="2:14">
      <c r="B25" s="61">
        <v>546.20000000000005</v>
      </c>
      <c r="C25" s="61">
        <v>12376568.1</v>
      </c>
      <c r="D25" s="62">
        <v>5072</v>
      </c>
    </row>
    <row r="27" spans="2:14">
      <c r="B27" s="1" t="s">
        <v>147</v>
      </c>
    </row>
    <row r="29" spans="2:14">
      <c r="B29" s="31" t="s">
        <v>6</v>
      </c>
      <c r="C29" s="31" t="s">
        <v>11</v>
      </c>
      <c r="D29" s="1" t="s">
        <v>9</v>
      </c>
      <c r="E29" s="1" t="s">
        <v>148</v>
      </c>
      <c r="F29" s="1" t="s">
        <v>149</v>
      </c>
      <c r="G29" s="1" t="s">
        <v>150</v>
      </c>
      <c r="H29" s="1" t="s">
        <v>151</v>
      </c>
      <c r="I29" s="1" t="s">
        <v>152</v>
      </c>
      <c r="J29" s="1" t="s">
        <v>153</v>
      </c>
      <c r="L29" s="31">
        <f t="array" ref="L29:N33">LINEST(B30:B49,C30:D49,1,1)</f>
        <v>-1.4846787191340953E-3</v>
      </c>
      <c r="M29" s="31">
        <v>1.3155698057057997E-5</v>
      </c>
      <c r="N29" s="31">
        <v>365.09298757511527</v>
      </c>
    </row>
    <row r="30" spans="2:14">
      <c r="B30" s="61">
        <v>314.89999999999998</v>
      </c>
      <c r="C30" s="61">
        <v>5141415.5999999996</v>
      </c>
      <c r="D30" s="62">
        <v>109624</v>
      </c>
      <c r="E30" s="31">
        <f t="shared" ref="E30:F30" si="0">C30^2</f>
        <v>26434154371923.355</v>
      </c>
      <c r="F30" s="31">
        <f t="shared" si="0"/>
        <v>12017421376</v>
      </c>
      <c r="G30" s="31">
        <f t="shared" ref="G30:G49" si="1">C30*D30</f>
        <v>563622543734.3999</v>
      </c>
      <c r="H30" s="31">
        <f t="shared" ref="H30:H49" si="2">J30^2</f>
        <v>2018.2125971239411</v>
      </c>
      <c r="I30" s="31">
        <f t="shared" ref="I30:I49" si="3">$N$29+$M$29*C30+$L$29*D30</f>
        <v>269.97547888820691</v>
      </c>
      <c r="J30" s="61">
        <f t="shared" ref="J30:J49" si="4">B30-I30</f>
        <v>44.924521111793069</v>
      </c>
      <c r="L30" s="31">
        <v>5.8124270477402987E-4</v>
      </c>
      <c r="M30" s="31">
        <v>4.2565723203376904E-6</v>
      </c>
      <c r="N30" s="31">
        <v>50.834899592311409</v>
      </c>
    </row>
    <row r="31" spans="2:14">
      <c r="B31" s="61">
        <v>321.7</v>
      </c>
      <c r="C31" s="61">
        <v>5337437.2</v>
      </c>
      <c r="D31" s="62">
        <v>39331</v>
      </c>
      <c r="E31" s="31">
        <f t="shared" ref="E31:F31" si="5">C31^2</f>
        <v>28488235863943.844</v>
      </c>
      <c r="F31" s="31">
        <f t="shared" si="5"/>
        <v>1546927561</v>
      </c>
      <c r="G31" s="31">
        <f t="shared" si="1"/>
        <v>209926742513.20001</v>
      </c>
      <c r="H31" s="31">
        <f t="shared" si="2"/>
        <v>3048.8951209076695</v>
      </c>
      <c r="I31" s="31">
        <f t="shared" si="3"/>
        <v>376.91680107456125</v>
      </c>
      <c r="J31" s="61">
        <f t="shared" si="4"/>
        <v>-55.216801074561261</v>
      </c>
      <c r="L31" s="31">
        <v>0.61431482820523975</v>
      </c>
      <c r="M31" s="31">
        <v>52.377936498166449</v>
      </c>
      <c r="N31" s="31" t="e">
        <v>#N/A</v>
      </c>
    </row>
    <row r="32" spans="2:14">
      <c r="B32" s="61">
        <v>333.1</v>
      </c>
      <c r="C32" s="61">
        <v>5986499.9000000004</v>
      </c>
      <c r="D32" s="62">
        <v>36149</v>
      </c>
      <c r="E32" s="31">
        <f t="shared" ref="E32:F32" si="6">C32^2</f>
        <v>35838181052700.016</v>
      </c>
      <c r="F32" s="31">
        <f t="shared" si="6"/>
        <v>1306750201</v>
      </c>
      <c r="G32" s="31">
        <f t="shared" si="1"/>
        <v>216405984885.10001</v>
      </c>
      <c r="H32" s="31">
        <f t="shared" si="2"/>
        <v>3258.1174567282615</v>
      </c>
      <c r="I32" s="31">
        <f t="shared" si="3"/>
        <v>390.17992166014477</v>
      </c>
      <c r="J32" s="61">
        <f t="shared" si="4"/>
        <v>-57.079921660144748</v>
      </c>
      <c r="L32" s="31">
        <v>13.53870052987989</v>
      </c>
      <c r="M32" s="31">
        <v>17</v>
      </c>
      <c r="N32" s="31" t="e">
        <v>#N/A</v>
      </c>
    </row>
    <row r="33" spans="2:18">
      <c r="B33" s="61">
        <v>361</v>
      </c>
      <c r="C33" s="61">
        <v>6877759.2000000002</v>
      </c>
      <c r="D33" s="62">
        <v>28998</v>
      </c>
      <c r="E33" s="31">
        <f t="shared" ref="E33:F33" si="7">C33^2</f>
        <v>47303571613184.641</v>
      </c>
      <c r="F33" s="31">
        <f t="shared" si="7"/>
        <v>840884004</v>
      </c>
      <c r="G33" s="31">
        <f t="shared" si="1"/>
        <v>199441261281.60001</v>
      </c>
      <c r="H33" s="31">
        <f t="shared" si="2"/>
        <v>2654.5162183543816</v>
      </c>
      <c r="I33" s="31">
        <f t="shared" si="3"/>
        <v>412.52199742201753</v>
      </c>
      <c r="J33" s="61">
        <f t="shared" si="4"/>
        <v>-51.521997422017535</v>
      </c>
      <c r="L33" s="31">
        <v>74285.448059298709</v>
      </c>
      <c r="M33" s="31">
        <v>46638.619940701268</v>
      </c>
      <c r="N33" s="31" t="e">
        <v>#N/A</v>
      </c>
    </row>
    <row r="34" spans="2:18">
      <c r="B34" s="61">
        <v>367.6</v>
      </c>
      <c r="C34" s="61">
        <v>7520684.2000000002</v>
      </c>
      <c r="D34" s="62">
        <v>16652</v>
      </c>
      <c r="E34" s="31">
        <f t="shared" ref="E34:F34" si="8">C34^2</f>
        <v>56560690836129.641</v>
      </c>
      <c r="F34" s="31">
        <f t="shared" si="8"/>
        <v>277289104</v>
      </c>
      <c r="G34" s="31">
        <f t="shared" si="1"/>
        <v>125234433298.40001</v>
      </c>
      <c r="H34" s="31">
        <f t="shared" si="2"/>
        <v>5142.3195194216687</v>
      </c>
      <c r="I34" s="31">
        <f t="shared" si="3"/>
        <v>439.30996806178115</v>
      </c>
      <c r="J34" s="61">
        <f t="shared" si="4"/>
        <v>-71.709968061781126</v>
      </c>
    </row>
    <row r="35" spans="2:18">
      <c r="B35" s="61">
        <v>412.7</v>
      </c>
      <c r="C35" s="61">
        <v>8528558</v>
      </c>
      <c r="D35" s="62">
        <v>19696</v>
      </c>
      <c r="E35" s="31">
        <f t="shared" ref="E35:F35" si="9">C35^2</f>
        <v>72736301559364</v>
      </c>
      <c r="F35" s="31">
        <f t="shared" si="9"/>
        <v>387932416</v>
      </c>
      <c r="G35" s="31">
        <f t="shared" si="1"/>
        <v>167978478368</v>
      </c>
      <c r="H35" s="31">
        <f t="shared" si="2"/>
        <v>1249.6146829363961</v>
      </c>
      <c r="I35" s="31">
        <f t="shared" si="3"/>
        <v>448.04988943315658</v>
      </c>
      <c r="J35" s="61">
        <f t="shared" si="4"/>
        <v>-35.349889433156591</v>
      </c>
    </row>
    <row r="36" spans="2:18">
      <c r="B36" s="61">
        <v>462</v>
      </c>
      <c r="C36" s="61">
        <v>10671926.9</v>
      </c>
      <c r="D36" s="62">
        <v>13031</v>
      </c>
      <c r="E36" s="31">
        <f t="shared" ref="E36:F36" si="10">C36^2</f>
        <v>113890023758943.63</v>
      </c>
      <c r="F36" s="31">
        <f t="shared" si="10"/>
        <v>169806961</v>
      </c>
      <c r="G36" s="31">
        <f t="shared" si="1"/>
        <v>139065879433.89999</v>
      </c>
      <c r="H36" s="31">
        <f t="shared" si="2"/>
        <v>582.87417231051245</v>
      </c>
      <c r="I36" s="31">
        <f t="shared" si="3"/>
        <v>486.14278716947388</v>
      </c>
      <c r="J36" s="61">
        <f t="shared" si="4"/>
        <v>-24.142787169473877</v>
      </c>
    </row>
    <row r="37" spans="2:18">
      <c r="B37" s="61">
        <v>462.9</v>
      </c>
      <c r="C37" s="61">
        <v>10926206</v>
      </c>
      <c r="D37" s="62">
        <v>9855</v>
      </c>
      <c r="E37" s="31">
        <f t="shared" ref="E37:F37" si="11">C37^2</f>
        <v>119381977554436</v>
      </c>
      <c r="F37" s="31">
        <f t="shared" si="11"/>
        <v>97121025</v>
      </c>
      <c r="G37" s="31">
        <f t="shared" si="1"/>
        <v>107677760130</v>
      </c>
      <c r="H37" s="31">
        <f t="shared" si="2"/>
        <v>979.89946098300584</v>
      </c>
      <c r="I37" s="31">
        <f t="shared" si="3"/>
        <v>494.20334584326417</v>
      </c>
      <c r="J37" s="61">
        <f t="shared" si="4"/>
        <v>-31.303345843264196</v>
      </c>
      <c r="L37" s="31">
        <f t="array" ref="L37:R41">LINEST(B30:B49,C30:H49,1,1)</f>
        <v>1.1853380916060729E-2</v>
      </c>
      <c r="M37" s="31">
        <v>3.122005018537536E-10</v>
      </c>
      <c r="N37" s="31">
        <v>3.7748168335898527E-8</v>
      </c>
      <c r="O37" s="31">
        <v>-1.1860330225149484E-12</v>
      </c>
      <c r="P37" s="31">
        <v>-6.7150904131573225E-3</v>
      </c>
      <c r="Q37" s="31">
        <v>3.8364206055097851E-5</v>
      </c>
      <c r="R37" s="31">
        <v>234.9534628790596</v>
      </c>
    </row>
    <row r="38" spans="2:18">
      <c r="B38" s="61">
        <v>458.5</v>
      </c>
      <c r="C38" s="61">
        <v>12158205.199999999</v>
      </c>
      <c r="D38" s="62">
        <v>15691</v>
      </c>
      <c r="E38" s="31">
        <f t="shared" ref="E38:F38" si="12">C38^2</f>
        <v>147821953685307.03</v>
      </c>
      <c r="F38" s="31">
        <f t="shared" si="12"/>
        <v>246207481</v>
      </c>
      <c r="G38" s="31">
        <f t="shared" si="1"/>
        <v>190774397793.19998</v>
      </c>
      <c r="H38" s="31">
        <f t="shared" si="2"/>
        <v>1870.2658444543415</v>
      </c>
      <c r="I38" s="31">
        <f t="shared" si="3"/>
        <v>501.74657032013454</v>
      </c>
      <c r="J38" s="61">
        <f t="shared" si="4"/>
        <v>-43.246570320134538</v>
      </c>
      <c r="L38" s="31">
        <v>7.8000182567777602E-3</v>
      </c>
      <c r="M38" s="31">
        <v>4.3557317637978085E-10</v>
      </c>
      <c r="N38" s="31">
        <v>2.8428137657602716E-8</v>
      </c>
      <c r="O38" s="31">
        <v>1.7275831764964388E-12</v>
      </c>
      <c r="P38" s="31">
        <v>6.1823937425005597E-3</v>
      </c>
      <c r="Q38" s="31">
        <v>4.3840066365882205E-5</v>
      </c>
      <c r="R38" s="31">
        <v>312.57633268489951</v>
      </c>
    </row>
    <row r="39" spans="2:18">
      <c r="B39" s="61">
        <v>457.9</v>
      </c>
      <c r="C39" s="61">
        <v>10127805.800000001</v>
      </c>
      <c r="D39" s="62">
        <v>39639</v>
      </c>
      <c r="E39" s="31">
        <f t="shared" ref="E39:F39" si="13">C39^2</f>
        <v>102572450322513.66</v>
      </c>
      <c r="F39" s="31">
        <f t="shared" si="13"/>
        <v>1571250321</v>
      </c>
      <c r="G39" s="31">
        <f t="shared" si="1"/>
        <v>401456094106.20001</v>
      </c>
      <c r="H39" s="31">
        <f t="shared" si="2"/>
        <v>339.29039832342363</v>
      </c>
      <c r="I39" s="31">
        <f t="shared" si="3"/>
        <v>439.48016291267959</v>
      </c>
      <c r="J39" s="61">
        <f t="shared" si="4"/>
        <v>18.419837087320388</v>
      </c>
      <c r="L39" s="31">
        <v>0.82028539978043435</v>
      </c>
      <c r="M39" s="31">
        <v>40.886165177086085</v>
      </c>
      <c r="N39" s="31" t="e">
        <v>#N/A</v>
      </c>
      <c r="O39" s="31" t="e">
        <v>#N/A</v>
      </c>
      <c r="P39" s="31" t="e">
        <v>#N/A</v>
      </c>
      <c r="Q39" s="31" t="e">
        <v>#N/A</v>
      </c>
      <c r="R39" s="31" t="e">
        <v>#N/A</v>
      </c>
    </row>
    <row r="40" spans="2:18">
      <c r="B40" s="61">
        <v>484.7</v>
      </c>
      <c r="C40" s="61">
        <v>10851199.199999999</v>
      </c>
      <c r="D40" s="62">
        <v>10640</v>
      </c>
      <c r="E40" s="31">
        <f t="shared" ref="E40:F40" si="14">C40^2</f>
        <v>117748524078080.63</v>
      </c>
      <c r="F40" s="31">
        <f t="shared" si="14"/>
        <v>113209600</v>
      </c>
      <c r="G40" s="31">
        <f t="shared" si="1"/>
        <v>115456759487.99998</v>
      </c>
      <c r="H40" s="31">
        <f t="shared" si="2"/>
        <v>54.038762888808193</v>
      </c>
      <c r="I40" s="31">
        <f t="shared" si="3"/>
        <v>492.05110623571773</v>
      </c>
      <c r="J40" s="61">
        <f t="shared" si="4"/>
        <v>-7.3511062357177366</v>
      </c>
      <c r="L40" s="31">
        <v>9.8894860555915667</v>
      </c>
      <c r="M40" s="31">
        <v>13</v>
      </c>
      <c r="N40" s="31" t="e">
        <v>#N/A</v>
      </c>
      <c r="O40" s="31" t="e">
        <v>#N/A</v>
      </c>
      <c r="P40" s="31" t="e">
        <v>#N/A</v>
      </c>
      <c r="Q40" s="31" t="e">
        <v>#N/A</v>
      </c>
      <c r="R40" s="31" t="e">
        <v>#N/A</v>
      </c>
    </row>
    <row r="41" spans="2:18">
      <c r="B41" s="61">
        <v>481.7</v>
      </c>
      <c r="C41" s="61">
        <v>14248455.4</v>
      </c>
      <c r="D41" s="62">
        <v>23817</v>
      </c>
      <c r="E41" s="31">
        <f t="shared" ref="E41:F41" si="15">C41^2</f>
        <v>203018481285789.16</v>
      </c>
      <c r="F41" s="31">
        <f t="shared" si="15"/>
        <v>567249489</v>
      </c>
      <c r="G41" s="31">
        <f t="shared" si="1"/>
        <v>339355462261.79999</v>
      </c>
      <c r="H41" s="31">
        <f t="shared" si="2"/>
        <v>1258.8851493118259</v>
      </c>
      <c r="I41" s="31">
        <f t="shared" si="3"/>
        <v>517.18077154335606</v>
      </c>
      <c r="J41" s="61">
        <f t="shared" si="4"/>
        <v>-35.48077154335607</v>
      </c>
      <c r="L41" s="31">
        <v>99192.247462456406</v>
      </c>
      <c r="M41" s="31">
        <v>21731.820537543568</v>
      </c>
      <c r="N41" s="31" t="e">
        <v>#N/A</v>
      </c>
      <c r="O41" s="31" t="e">
        <v>#N/A</v>
      </c>
      <c r="P41" s="31" t="e">
        <v>#N/A</v>
      </c>
      <c r="Q41" s="31" t="e">
        <v>#N/A</v>
      </c>
      <c r="R41" s="31" t="e">
        <v>#N/A</v>
      </c>
    </row>
    <row r="42" spans="2:18">
      <c r="B42" s="61">
        <v>521.4</v>
      </c>
      <c r="C42" s="61">
        <v>15160046.4</v>
      </c>
      <c r="D42" s="62">
        <v>32513</v>
      </c>
      <c r="E42" s="31">
        <f t="shared" ref="E42:F42" si="16">C42^2</f>
        <v>229827006850152.97</v>
      </c>
      <c r="F42" s="31">
        <f t="shared" si="16"/>
        <v>1057095169</v>
      </c>
      <c r="G42" s="31">
        <f t="shared" si="1"/>
        <v>492898588603.20001</v>
      </c>
      <c r="H42" s="31">
        <f t="shared" si="2"/>
        <v>26.392659400693127</v>
      </c>
      <c r="I42" s="31">
        <f t="shared" si="3"/>
        <v>516.26262134929755</v>
      </c>
      <c r="J42" s="61">
        <f t="shared" si="4"/>
        <v>5.1373786507024306</v>
      </c>
    </row>
    <row r="43" spans="2:18">
      <c r="B43" s="61">
        <v>526.20000000000005</v>
      </c>
      <c r="C43" s="61">
        <v>6517035.4000000004</v>
      </c>
      <c r="D43" s="62">
        <v>9043</v>
      </c>
      <c r="E43" s="31">
        <f t="shared" ref="E43:F43" si="17">C43^2</f>
        <v>42471750404853.164</v>
      </c>
      <c r="F43" s="31">
        <f t="shared" si="17"/>
        <v>81775849</v>
      </c>
      <c r="G43" s="31">
        <f t="shared" si="1"/>
        <v>58933551122.200005</v>
      </c>
      <c r="H43" s="31">
        <f t="shared" si="2"/>
        <v>7884.873844886728</v>
      </c>
      <c r="I43" s="31">
        <f t="shared" si="3"/>
        <v>437.40318786754381</v>
      </c>
      <c r="J43" s="61">
        <f t="shared" si="4"/>
        <v>88.796812132456239</v>
      </c>
    </row>
    <row r="44" spans="2:18">
      <c r="B44" s="61">
        <v>545.1</v>
      </c>
      <c r="C44" s="61">
        <v>6825385</v>
      </c>
      <c r="D44" s="62">
        <v>10140</v>
      </c>
      <c r="E44" s="31">
        <f t="shared" ref="E44:F44" si="18">C44^2</f>
        <v>46585880398225</v>
      </c>
      <c r="F44" s="31">
        <f t="shared" si="18"/>
        <v>102819600</v>
      </c>
      <c r="G44" s="31">
        <f t="shared" si="1"/>
        <v>69209403900</v>
      </c>
      <c r="H44" s="31">
        <f t="shared" si="2"/>
        <v>11081.551929630206</v>
      </c>
      <c r="I44" s="31">
        <f t="shared" si="3"/>
        <v>439.83104954626839</v>
      </c>
      <c r="J44" s="61">
        <f t="shared" si="4"/>
        <v>105.26895045373163</v>
      </c>
    </row>
    <row r="45" spans="2:18">
      <c r="B45" s="61">
        <v>525.6</v>
      </c>
      <c r="C45" s="61">
        <v>10392119.5</v>
      </c>
      <c r="D45" s="62">
        <v>12924</v>
      </c>
      <c r="E45" s="31">
        <f t="shared" ref="E45:F45" si="19">C45^2</f>
        <v>107996147702280.25</v>
      </c>
      <c r="F45" s="31">
        <f t="shared" si="19"/>
        <v>167029776</v>
      </c>
      <c r="G45" s="31">
        <f t="shared" si="1"/>
        <v>134307752418</v>
      </c>
      <c r="H45" s="31">
        <f t="shared" si="2"/>
        <v>1847.2300171338945</v>
      </c>
      <c r="I45" s="31">
        <f t="shared" si="3"/>
        <v>482.62058612389075</v>
      </c>
      <c r="J45" s="61">
        <f t="shared" si="4"/>
        <v>42.979413876109277</v>
      </c>
    </row>
    <row r="46" spans="2:18">
      <c r="B46" s="61">
        <v>534.79999999999995</v>
      </c>
      <c r="C46" s="61">
        <v>12415204.300000001</v>
      </c>
      <c r="D46" s="62">
        <v>18903</v>
      </c>
      <c r="E46" s="31">
        <f t="shared" ref="E46:F46" si="20">C46^2</f>
        <v>154137297810738.5</v>
      </c>
      <c r="F46" s="31">
        <f t="shared" si="20"/>
        <v>357323409</v>
      </c>
      <c r="G46" s="31">
        <f t="shared" si="1"/>
        <v>234684606882.90002</v>
      </c>
      <c r="H46" s="31">
        <f t="shared" si="2"/>
        <v>1186.1973020547991</v>
      </c>
      <c r="I46" s="31">
        <f t="shared" si="3"/>
        <v>500.35878483481162</v>
      </c>
      <c r="J46" s="61">
        <f t="shared" si="4"/>
        <v>34.441215165188339</v>
      </c>
    </row>
    <row r="47" spans="2:18">
      <c r="B47" s="61">
        <v>525.79999999999995</v>
      </c>
      <c r="C47" s="61">
        <v>11439859.300000001</v>
      </c>
      <c r="D47" s="62">
        <v>18378</v>
      </c>
      <c r="E47" s="31">
        <f t="shared" ref="E47:F47" si="21">C47^2</f>
        <v>130870380803796.5</v>
      </c>
      <c r="F47" s="31">
        <f t="shared" si="21"/>
        <v>337750884</v>
      </c>
      <c r="G47" s="31">
        <f t="shared" si="1"/>
        <v>210241734215.40002</v>
      </c>
      <c r="H47" s="31">
        <f t="shared" si="2"/>
        <v>1405.7327844992321</v>
      </c>
      <c r="I47" s="31">
        <f t="shared" si="3"/>
        <v>488.30689684089572</v>
      </c>
      <c r="J47" s="61">
        <f t="shared" si="4"/>
        <v>37.493103159104237</v>
      </c>
    </row>
    <row r="48" spans="2:18">
      <c r="B48" s="61">
        <v>546.20000000000005</v>
      </c>
      <c r="C48" s="61">
        <v>12376568.1</v>
      </c>
      <c r="D48" s="62">
        <v>5072</v>
      </c>
      <c r="E48" s="31">
        <f t="shared" ref="E48:F48" si="22">C48^2</f>
        <v>153179437933937.59</v>
      </c>
      <c r="F48" s="31">
        <f t="shared" si="22"/>
        <v>25725184</v>
      </c>
      <c r="G48" s="31">
        <f t="shared" si="1"/>
        <v>62773953403.199997</v>
      </c>
      <c r="H48" s="31">
        <f t="shared" si="2"/>
        <v>666.40957738480404</v>
      </c>
      <c r="I48" s="31">
        <f t="shared" si="3"/>
        <v>520.38509001788304</v>
      </c>
      <c r="J48" s="61">
        <f t="shared" si="4"/>
        <v>25.814909982117001</v>
      </c>
    </row>
    <row r="49" spans="2:13">
      <c r="B49" s="61">
        <v>537</v>
      </c>
      <c r="C49" s="61">
        <v>13925996.5</v>
      </c>
      <c r="D49" s="62">
        <v>13758</v>
      </c>
      <c r="E49" s="31">
        <f t="shared" ref="E49:F49" si="23">C49^2</f>
        <v>193933378518012.25</v>
      </c>
      <c r="F49" s="31">
        <f t="shared" si="23"/>
        <v>189282564</v>
      </c>
      <c r="G49" s="31">
        <f t="shared" si="1"/>
        <v>191593859847</v>
      </c>
      <c r="H49" s="31">
        <f t="shared" si="2"/>
        <v>83.302441966677719</v>
      </c>
      <c r="I49" s="31">
        <f t="shared" si="3"/>
        <v>527.87298285491488</v>
      </c>
      <c r="J49" s="61">
        <f t="shared" si="4"/>
        <v>9.1270171450851194</v>
      </c>
    </row>
    <row r="50" spans="2:13">
      <c r="J50" s="61">
        <f>SUM(J30:J49)</f>
        <v>5.6843418860808015E-14</v>
      </c>
    </row>
    <row r="51" spans="2:13">
      <c r="E51" s="1" t="s">
        <v>144</v>
      </c>
      <c r="F51" s="31">
        <f>(L41/5)/(M41/14)</f>
        <v>12.780258902610639</v>
      </c>
    </row>
    <row r="52" spans="2:13">
      <c r="E52" s="1" t="s">
        <v>154</v>
      </c>
      <c r="F52" s="46">
        <f>_xlfn.F.DIST.RT(F51,5,14)</f>
        <v>8.341943655931956E-5</v>
      </c>
      <c r="H52" s="1" t="s">
        <v>155</v>
      </c>
    </row>
    <row r="53" spans="2:13">
      <c r="E53" s="1" t="s">
        <v>156</v>
      </c>
      <c r="F53" s="46">
        <f>_xlfn.F.INV.RT(0.05,20,5)</f>
        <v>4.5581314973965119</v>
      </c>
    </row>
    <row r="56" spans="2:13">
      <c r="B56" s="1" t="s">
        <v>157</v>
      </c>
    </row>
    <row r="58" spans="2:13">
      <c r="B58" s="31" t="s">
        <v>6</v>
      </c>
      <c r="C58" s="31" t="s">
        <v>11</v>
      </c>
      <c r="D58" s="1" t="s">
        <v>9</v>
      </c>
      <c r="E58" s="1" t="s">
        <v>158</v>
      </c>
      <c r="F58" s="1" t="s">
        <v>159</v>
      </c>
      <c r="I58" s="31">
        <f t="array" ref="I58:M62">LINEST(B59:B78,C59:F78,1,1)</f>
        <v>-5.8398831303318533E-5</v>
      </c>
      <c r="J58" s="31">
        <v>7.5322298011188005E-2</v>
      </c>
      <c r="K58" s="31">
        <v>4.4556310323567244E-2</v>
      </c>
      <c r="L58" s="31">
        <v>-4.0773120082778121E-4</v>
      </c>
      <c r="M58" s="31">
        <v>-6817.1327636024153</v>
      </c>
    </row>
    <row r="59" spans="2:13">
      <c r="B59" s="61">
        <v>314.89999999999998</v>
      </c>
      <c r="C59" s="61">
        <v>5141415.5999999996</v>
      </c>
      <c r="D59" s="62">
        <v>109624</v>
      </c>
      <c r="E59" s="31">
        <f t="shared" ref="E59:E78" si="24">I30^2</f>
        <v>72886.759200916655</v>
      </c>
      <c r="F59" s="31">
        <f t="shared" ref="F59:F78" si="25">I30^3</f>
        <v>19677637.719876897</v>
      </c>
      <c r="I59" s="31">
        <v>3.8738436561188201E-5</v>
      </c>
      <c r="J59" s="31">
        <v>4.6980149417698687E-2</v>
      </c>
      <c r="K59" s="31">
        <v>2.7536993642320023E-2</v>
      </c>
      <c r="L59" s="31">
        <v>2.4507948250585026E-4</v>
      </c>
      <c r="M59" s="31">
        <v>4412.3494314189102</v>
      </c>
    </row>
    <row r="60" spans="2:13">
      <c r="B60" s="61">
        <v>321.7</v>
      </c>
      <c r="C60" s="61">
        <v>5337437.2</v>
      </c>
      <c r="D60" s="62">
        <v>39331</v>
      </c>
      <c r="E60" s="31">
        <f t="shared" si="24"/>
        <v>142066.27493228039</v>
      </c>
      <c r="F60" s="31">
        <f t="shared" si="25"/>
        <v>53547165.888054252</v>
      </c>
      <c r="I60" s="31">
        <v>0.69596445119974104</v>
      </c>
      <c r="J60" s="31">
        <v>49.507720190922285</v>
      </c>
      <c r="K60" s="31" t="e">
        <v>#N/A</v>
      </c>
      <c r="L60" s="31" t="e">
        <v>#N/A</v>
      </c>
      <c r="M60" s="31" t="e">
        <v>#N/A</v>
      </c>
    </row>
    <row r="61" spans="2:13">
      <c r="B61" s="61">
        <v>333.1</v>
      </c>
      <c r="C61" s="61">
        <v>5986499.9000000004</v>
      </c>
      <c r="D61" s="62">
        <v>36149</v>
      </c>
      <c r="E61" s="31">
        <f t="shared" si="24"/>
        <v>152240.37126671671</v>
      </c>
      <c r="F61" s="31">
        <f t="shared" si="25"/>
        <v>59401136.134358883</v>
      </c>
      <c r="I61" s="31">
        <v>8.584084006944936</v>
      </c>
      <c r="J61" s="31">
        <v>15</v>
      </c>
      <c r="K61" s="31" t="e">
        <v>#N/A</v>
      </c>
      <c r="L61" s="31" t="e">
        <v>#N/A</v>
      </c>
      <c r="M61" s="31" t="e">
        <v>#N/A</v>
      </c>
    </row>
    <row r="62" spans="2:13">
      <c r="B62" s="61">
        <v>361</v>
      </c>
      <c r="C62" s="61">
        <v>6877759.2000000002</v>
      </c>
      <c r="D62" s="62">
        <v>28998</v>
      </c>
      <c r="E62" s="31">
        <f t="shared" si="24"/>
        <v>170174.39835705105</v>
      </c>
      <c r="F62" s="31">
        <f t="shared" si="25"/>
        <v>70200682.720340803</v>
      </c>
      <c r="I62" s="31">
        <v>84158.852622460152</v>
      </c>
      <c r="J62" s="31">
        <v>36765.215377539818</v>
      </c>
      <c r="K62" s="31" t="e">
        <v>#N/A</v>
      </c>
      <c r="L62" s="31" t="e">
        <v>#N/A</v>
      </c>
      <c r="M62" s="31" t="e">
        <v>#N/A</v>
      </c>
    </row>
    <row r="63" spans="2:13">
      <c r="B63" s="61">
        <v>367.6</v>
      </c>
      <c r="C63" s="61">
        <v>7520684.2000000002</v>
      </c>
      <c r="D63" s="62">
        <v>16652</v>
      </c>
      <c r="E63" s="31">
        <f t="shared" si="24"/>
        <v>192993.24803844318</v>
      </c>
      <c r="F63" s="31">
        <f t="shared" si="25"/>
        <v>84783857.63190788</v>
      </c>
    </row>
    <row r="64" spans="2:13">
      <c r="B64" s="61">
        <v>412.7</v>
      </c>
      <c r="C64" s="61">
        <v>8528558</v>
      </c>
      <c r="D64" s="62">
        <v>19696</v>
      </c>
      <c r="E64" s="31">
        <f t="shared" si="24"/>
        <v>200748.70342106384</v>
      </c>
      <c r="F64" s="31">
        <f t="shared" si="25"/>
        <v>89945434.371657193</v>
      </c>
      <c r="I64" s="31">
        <f t="array" ref="I64:K68">LINEST(B59:B78,C59:D78,1,1)</f>
        <v>-1.4846787191340953E-3</v>
      </c>
      <c r="J64" s="31">
        <v>1.3155698057057997E-5</v>
      </c>
      <c r="K64" s="31">
        <v>365.09298757511527</v>
      </c>
    </row>
    <row r="65" spans="2:11">
      <c r="B65" s="61">
        <v>462</v>
      </c>
      <c r="C65" s="61">
        <v>10671926.9</v>
      </c>
      <c r="D65" s="62">
        <v>13031</v>
      </c>
      <c r="E65" s="31">
        <f t="shared" si="24"/>
        <v>236334.80951690438</v>
      </c>
      <c r="F65" s="31">
        <f t="shared" si="25"/>
        <v>114892463.00371459</v>
      </c>
      <c r="I65" s="31">
        <v>5.8124270477402987E-4</v>
      </c>
      <c r="J65" s="31">
        <v>4.2565723203376904E-6</v>
      </c>
      <c r="K65" s="31">
        <v>50.834899592311409</v>
      </c>
    </row>
    <row r="66" spans="2:11">
      <c r="B66" s="61">
        <v>462.9</v>
      </c>
      <c r="C66" s="61">
        <v>10926206</v>
      </c>
      <c r="D66" s="62">
        <v>9855</v>
      </c>
      <c r="E66" s="31">
        <f t="shared" si="24"/>
        <v>244236.94704267697</v>
      </c>
      <c r="F66" s="31">
        <f t="shared" si="25"/>
        <v>120702716.40703508</v>
      </c>
      <c r="I66" s="31">
        <v>0.61431482820523975</v>
      </c>
      <c r="J66" s="31">
        <v>52.377936498166449</v>
      </c>
      <c r="K66" s="31" t="e">
        <v>#N/A</v>
      </c>
    </row>
    <row r="67" spans="2:11">
      <c r="B67" s="61">
        <v>458.5</v>
      </c>
      <c r="C67" s="61">
        <v>12158205.199999999</v>
      </c>
      <c r="D67" s="62">
        <v>15691</v>
      </c>
      <c r="E67" s="31">
        <f t="shared" si="24"/>
        <v>251749.62082801771</v>
      </c>
      <c r="F67" s="31">
        <f t="shared" si="25"/>
        <v>126314508.82985219</v>
      </c>
      <c r="I67" s="31">
        <v>13.53870052987989</v>
      </c>
      <c r="J67" s="31">
        <v>17</v>
      </c>
      <c r="K67" s="31" t="e">
        <v>#N/A</v>
      </c>
    </row>
    <row r="68" spans="2:11">
      <c r="B68" s="61">
        <v>457.9</v>
      </c>
      <c r="C68" s="61">
        <v>10127805.800000001</v>
      </c>
      <c r="D68" s="62">
        <v>39639</v>
      </c>
      <c r="E68" s="31">
        <f t="shared" si="24"/>
        <v>193142.81359375539</v>
      </c>
      <c r="F68" s="31">
        <f t="shared" si="25"/>
        <v>84882435.183596924</v>
      </c>
      <c r="I68" s="31">
        <v>74285.448059298709</v>
      </c>
      <c r="J68" s="31">
        <v>46638.619940701268</v>
      </c>
      <c r="K68" s="31" t="e">
        <v>#N/A</v>
      </c>
    </row>
    <row r="69" spans="2:11">
      <c r="B69" s="61">
        <v>484.7</v>
      </c>
      <c r="C69" s="61">
        <v>10851199.199999999</v>
      </c>
      <c r="D69" s="62">
        <v>10640</v>
      </c>
      <c r="E69" s="31">
        <f t="shared" si="24"/>
        <v>242114.29114779358</v>
      </c>
      <c r="F69" s="31">
        <f t="shared" si="25"/>
        <v>119132604.79474847</v>
      </c>
    </row>
    <row r="70" spans="2:11">
      <c r="B70" s="61">
        <v>481.7</v>
      </c>
      <c r="C70" s="61">
        <v>14248455.4</v>
      </c>
      <c r="D70" s="62">
        <v>23817</v>
      </c>
      <c r="E70" s="31">
        <f t="shared" si="24"/>
        <v>267475.95045418106</v>
      </c>
      <c r="F70" s="31">
        <f t="shared" si="25"/>
        <v>138333418.42518583</v>
      </c>
    </row>
    <row r="71" spans="2:11">
      <c r="B71" s="61">
        <v>521.4</v>
      </c>
      <c r="C71" s="61">
        <v>15160046.4</v>
      </c>
      <c r="D71" s="62">
        <v>32513</v>
      </c>
      <c r="E71" s="31">
        <f t="shared" si="24"/>
        <v>266527.09420244815</v>
      </c>
      <c r="F71" s="31">
        <f t="shared" si="25"/>
        <v>137597976.31356704</v>
      </c>
    </row>
    <row r="72" spans="2:11">
      <c r="B72" s="61">
        <v>526.20000000000005</v>
      </c>
      <c r="C72" s="61">
        <v>6517035.4000000004</v>
      </c>
      <c r="D72" s="62">
        <v>9043</v>
      </c>
      <c r="E72" s="31">
        <f t="shared" si="24"/>
        <v>191321.54875668982</v>
      </c>
      <c r="F72" s="31">
        <f t="shared" si="25"/>
        <v>83684655.333931834</v>
      </c>
    </row>
    <row r="73" spans="2:11">
      <c r="B73" s="61">
        <v>545.1</v>
      </c>
      <c r="C73" s="61">
        <v>6825385</v>
      </c>
      <c r="D73" s="62">
        <v>10140</v>
      </c>
      <c r="E73" s="31">
        <f t="shared" si="24"/>
        <v>193451.35214497198</v>
      </c>
      <c r="F73" s="31">
        <f t="shared" si="25"/>
        <v>85085911.250067785</v>
      </c>
    </row>
    <row r="74" spans="2:11">
      <c r="B74" s="61">
        <v>525.6</v>
      </c>
      <c r="C74" s="61">
        <v>10392119.5</v>
      </c>
      <c r="D74" s="62">
        <v>12924</v>
      </c>
      <c r="E74" s="31">
        <f t="shared" si="24"/>
        <v>232922.63015056786</v>
      </c>
      <c r="F74" s="31">
        <f t="shared" si="25"/>
        <v>112413256.28478529</v>
      </c>
    </row>
    <row r="75" spans="2:11">
      <c r="B75" s="61">
        <v>534.79999999999995</v>
      </c>
      <c r="C75" s="61">
        <v>12415204.300000001</v>
      </c>
      <c r="D75" s="62">
        <v>18903</v>
      </c>
      <c r="E75" s="31">
        <f t="shared" si="24"/>
        <v>250358.91356136929</v>
      </c>
      <c r="F75" s="31">
        <f t="shared" si="25"/>
        <v>125269281.76213038</v>
      </c>
    </row>
    <row r="76" spans="2:11">
      <c r="B76" s="61">
        <v>525.79999999999995</v>
      </c>
      <c r="C76" s="61">
        <v>11439859.300000001</v>
      </c>
      <c r="D76" s="62">
        <v>18378</v>
      </c>
      <c r="E76" s="31">
        <f t="shared" si="24"/>
        <v>238443.62550238517</v>
      </c>
      <c r="F76" s="31">
        <f t="shared" si="25"/>
        <v>116433666.84056237</v>
      </c>
    </row>
    <row r="77" spans="2:11">
      <c r="B77" s="61">
        <v>546.20000000000005</v>
      </c>
      <c r="C77" s="61">
        <v>12376568.1</v>
      </c>
      <c r="D77" s="62">
        <v>5072</v>
      </c>
      <c r="E77" s="31">
        <f t="shared" si="24"/>
        <v>270800.64191292023</v>
      </c>
      <c r="F77" s="31">
        <f t="shared" si="25"/>
        <v>140920616.4187555</v>
      </c>
    </row>
    <row r="78" spans="2:11">
      <c r="B78" s="61">
        <v>537</v>
      </c>
      <c r="C78" s="61">
        <v>13925996.5</v>
      </c>
      <c r="D78" s="62">
        <v>13758</v>
      </c>
      <c r="E78" s="31">
        <f t="shared" si="24"/>
        <v>278649.88602814527</v>
      </c>
      <c r="F78" s="31">
        <f t="shared" si="25"/>
        <v>147091746.50985911</v>
      </c>
    </row>
    <row r="80" spans="2:11">
      <c r="B80" s="1" t="s">
        <v>144</v>
      </c>
      <c r="C80" s="31">
        <f>((J68-J62)/2)/(J62/15)</f>
        <v>2.0141466182991268</v>
      </c>
    </row>
    <row r="81" spans="2:12">
      <c r="B81" s="1" t="s">
        <v>154</v>
      </c>
      <c r="C81" s="46">
        <f>_xlfn.F.DIST.RT(C80,2,15)</f>
        <v>0.16795219207197298</v>
      </c>
      <c r="E81" s="1" t="s">
        <v>160</v>
      </c>
    </row>
    <row r="82" spans="2:12">
      <c r="B82" s="1" t="s">
        <v>156</v>
      </c>
      <c r="C82" s="46">
        <f>_xlfn.F.INV.RT(0.05,2,15)</f>
        <v>3.6823203436732408</v>
      </c>
    </row>
    <row r="85" spans="2:12">
      <c r="B85" s="1" t="s">
        <v>161</v>
      </c>
    </row>
    <row r="87" spans="2:12">
      <c r="B87" s="31" t="s">
        <v>6</v>
      </c>
      <c r="C87" s="31" t="s">
        <v>11</v>
      </c>
      <c r="D87" s="1" t="s">
        <v>9</v>
      </c>
      <c r="E87" s="1" t="s">
        <v>152</v>
      </c>
      <c r="F87" s="1" t="s">
        <v>153</v>
      </c>
      <c r="G87" s="63" t="s">
        <v>162</v>
      </c>
      <c r="J87" s="31">
        <f t="array" ref="J87:L91">LINEST(B88:B107,C88:D107,1,1)</f>
        <v>-1.4846787191340953E-3</v>
      </c>
      <c r="K87" s="31">
        <v>1.3155698057057997E-5</v>
      </c>
      <c r="L87" s="31">
        <v>365.09298757511527</v>
      </c>
    </row>
    <row r="88" spans="2:12">
      <c r="B88" s="61">
        <v>314.89999999999998</v>
      </c>
      <c r="C88" s="61">
        <v>5141415.5999999996</v>
      </c>
      <c r="D88" s="62">
        <v>109624</v>
      </c>
      <c r="E88" s="31">
        <v>269.97547888820645</v>
      </c>
      <c r="F88" s="61">
        <v>44.924521111793524</v>
      </c>
      <c r="J88" s="31">
        <v>5.8124270477402987E-4</v>
      </c>
      <c r="K88" s="31">
        <v>4.2565723203376904E-6</v>
      </c>
      <c r="L88" s="31">
        <v>50.834899592311409</v>
      </c>
    </row>
    <row r="89" spans="2:12">
      <c r="B89" s="61">
        <v>321.7</v>
      </c>
      <c r="C89" s="61">
        <v>5337437.2</v>
      </c>
      <c r="D89" s="62">
        <v>39331</v>
      </c>
      <c r="E89" s="31">
        <v>376.91680107456102</v>
      </c>
      <c r="F89" s="61">
        <v>-55.216801074561033</v>
      </c>
      <c r="G89" s="31">
        <f t="shared" ref="G89:G107" si="26">(F89-F88)^2</f>
        <v>10028.284409231268</v>
      </c>
      <c r="J89" s="31">
        <v>0.61431482820523975</v>
      </c>
      <c r="K89" s="31">
        <v>52.377936498166449</v>
      </c>
      <c r="L89" s="31" t="e">
        <v>#N/A</v>
      </c>
    </row>
    <row r="90" spans="2:12">
      <c r="B90" s="61">
        <v>333.1</v>
      </c>
      <c r="C90" s="61">
        <v>5986499.9000000004</v>
      </c>
      <c r="D90" s="62">
        <v>36149</v>
      </c>
      <c r="E90" s="31">
        <v>390.17992166014454</v>
      </c>
      <c r="F90" s="61">
        <v>-57.079921660144521</v>
      </c>
      <c r="G90" s="31">
        <f t="shared" si="26"/>
        <v>3.4712183164249586</v>
      </c>
      <c r="J90" s="31">
        <v>13.53870052987989</v>
      </c>
      <c r="K90" s="31">
        <v>17</v>
      </c>
      <c r="L90" s="31" t="e">
        <v>#N/A</v>
      </c>
    </row>
    <row r="91" spans="2:12">
      <c r="B91" s="61">
        <v>361</v>
      </c>
      <c r="C91" s="61">
        <v>6877759.2000000002</v>
      </c>
      <c r="D91" s="62">
        <v>28998</v>
      </c>
      <c r="E91" s="31">
        <v>412.52199742201731</v>
      </c>
      <c r="F91" s="61">
        <v>-51.521997422017307</v>
      </c>
      <c r="G91" s="31">
        <f t="shared" si="26"/>
        <v>30.89052183676197</v>
      </c>
      <c r="J91" s="31">
        <v>74285.448059298709</v>
      </c>
      <c r="K91" s="31">
        <v>46638.619940701268</v>
      </c>
      <c r="L91" s="31" t="e">
        <v>#N/A</v>
      </c>
    </row>
    <row r="92" spans="2:12">
      <c r="B92" s="61">
        <v>367.6</v>
      </c>
      <c r="C92" s="61">
        <v>7520684.2000000002</v>
      </c>
      <c r="D92" s="62">
        <v>16652</v>
      </c>
      <c r="E92" s="31">
        <v>439.30996806178098</v>
      </c>
      <c r="F92" s="61">
        <v>-71.709968061780955</v>
      </c>
      <c r="G92" s="31">
        <f t="shared" si="26"/>
        <v>407.55415855195906</v>
      </c>
    </row>
    <row r="93" spans="2:12">
      <c r="B93" s="61">
        <v>412.7</v>
      </c>
      <c r="C93" s="61">
        <v>8528558</v>
      </c>
      <c r="D93" s="62">
        <v>19696</v>
      </c>
      <c r="E93" s="31">
        <v>448.04988943315641</v>
      </c>
      <c r="F93" s="61">
        <v>-35.34988943315642</v>
      </c>
      <c r="G93" s="31">
        <f t="shared" si="26"/>
        <v>1322.0553178797586</v>
      </c>
      <c r="J93" s="64" t="s">
        <v>163</v>
      </c>
      <c r="K93" s="31">
        <f>G108/K91</f>
        <v>0.65754663998168339</v>
      </c>
    </row>
    <row r="94" spans="2:12">
      <c r="B94" s="61">
        <v>462</v>
      </c>
      <c r="C94" s="61">
        <v>10671926.9</v>
      </c>
      <c r="D94" s="62">
        <v>13031</v>
      </c>
      <c r="E94" s="31">
        <v>486.14278716947371</v>
      </c>
      <c r="F94" s="61">
        <v>-24.142787169473706</v>
      </c>
      <c r="G94" s="31">
        <f t="shared" si="26"/>
        <v>125.5991411486422</v>
      </c>
      <c r="J94" s="64" t="s">
        <v>164</v>
      </c>
      <c r="K94" s="1">
        <v>0.05</v>
      </c>
    </row>
    <row r="95" spans="2:12">
      <c r="B95" s="61">
        <v>462.9</v>
      </c>
      <c r="C95" s="61">
        <v>10926206</v>
      </c>
      <c r="D95" s="62">
        <v>9855</v>
      </c>
      <c r="E95" s="31">
        <v>494.20334584326406</v>
      </c>
      <c r="F95" s="61">
        <v>-31.303345843264083</v>
      </c>
      <c r="G95" s="31">
        <f t="shared" si="26"/>
        <v>51.273600520794595</v>
      </c>
      <c r="J95" s="64" t="s">
        <v>165</v>
      </c>
      <c r="K95" s="1">
        <v>20</v>
      </c>
    </row>
    <row r="96" spans="2:12">
      <c r="B96" s="61">
        <v>458.5</v>
      </c>
      <c r="C96" s="61">
        <v>12158205.199999999</v>
      </c>
      <c r="D96" s="62">
        <v>15691</v>
      </c>
      <c r="E96" s="31">
        <v>501.74657032013442</v>
      </c>
      <c r="F96" s="61">
        <v>-43.246570320134424</v>
      </c>
      <c r="G96" s="31">
        <f t="shared" si="26"/>
        <v>142.64061090491484</v>
      </c>
      <c r="J96" s="64" t="s">
        <v>166</v>
      </c>
      <c r="K96" s="1">
        <v>3</v>
      </c>
    </row>
    <row r="97" spans="2:11">
      <c r="B97" s="61">
        <v>457.9</v>
      </c>
      <c r="C97" s="61">
        <v>10127805.800000001</v>
      </c>
      <c r="D97" s="62">
        <v>39639</v>
      </c>
      <c r="E97" s="31">
        <v>439.48016291267936</v>
      </c>
      <c r="F97" s="61">
        <v>18.419837087320616</v>
      </c>
      <c r="G97" s="31">
        <f t="shared" si="26"/>
        <v>3802.7458025422256</v>
      </c>
      <c r="J97" s="64" t="s">
        <v>167</v>
      </c>
      <c r="K97" s="1">
        <v>1.1000000000000001</v>
      </c>
    </row>
    <row r="98" spans="2:11">
      <c r="B98" s="61">
        <v>484.7</v>
      </c>
      <c r="C98" s="61">
        <v>10851199.199999999</v>
      </c>
      <c r="D98" s="62">
        <v>10640</v>
      </c>
      <c r="E98" s="31">
        <v>492.05110623571761</v>
      </c>
      <c r="F98" s="61">
        <v>-7.3511062357176229</v>
      </c>
      <c r="G98" s="31">
        <f t="shared" si="26"/>
        <v>664.14151975924915</v>
      </c>
      <c r="J98" s="64" t="s">
        <v>168</v>
      </c>
      <c r="K98" s="1">
        <v>1.53</v>
      </c>
    </row>
    <row r="99" spans="2:11">
      <c r="B99" s="61">
        <v>481.7</v>
      </c>
      <c r="C99" s="61">
        <v>14248455.4</v>
      </c>
      <c r="D99" s="62">
        <v>23817</v>
      </c>
      <c r="E99" s="31">
        <v>517.18077154335583</v>
      </c>
      <c r="F99" s="61">
        <v>-35.480771543355843</v>
      </c>
      <c r="G99" s="31">
        <f t="shared" si="26"/>
        <v>791.27807031974521</v>
      </c>
    </row>
    <row r="100" spans="2:11">
      <c r="B100" s="61">
        <v>521.4</v>
      </c>
      <c r="C100" s="61">
        <v>15160046.4</v>
      </c>
      <c r="D100" s="62">
        <v>32513</v>
      </c>
      <c r="E100" s="31">
        <v>516.26262134929721</v>
      </c>
      <c r="F100" s="61">
        <v>5.1373786507027717</v>
      </c>
      <c r="G100" s="31">
        <f t="shared" si="26"/>
        <v>1649.8341251871038</v>
      </c>
      <c r="J100" s="65" t="s">
        <v>169</v>
      </c>
      <c r="K100" s="31">
        <f>1-K93/2</f>
        <v>0.67122668000915831</v>
      </c>
    </row>
    <row r="101" spans="2:11">
      <c r="B101" s="61">
        <v>526.20000000000005</v>
      </c>
      <c r="C101" s="61">
        <v>6517035.4000000004</v>
      </c>
      <c r="D101" s="62">
        <v>9043</v>
      </c>
      <c r="E101" s="31">
        <v>437.40318786754369</v>
      </c>
      <c r="F101" s="61">
        <v>88.796812132456353</v>
      </c>
      <c r="G101" s="31">
        <f t="shared" si="26"/>
        <v>6998.9008104879522</v>
      </c>
      <c r="J101" s="65" t="s">
        <v>170</v>
      </c>
      <c r="K101" s="31">
        <f>SUMPRODUCT(F89:F107,F88:F106)/SQRT(SUMSQ(F88:F106)*SUMSQ(F89:F107))</f>
        <v>0.66379825507343171</v>
      </c>
    </row>
    <row r="102" spans="2:11">
      <c r="B102" s="61">
        <v>545.1</v>
      </c>
      <c r="C102" s="61">
        <v>6825385</v>
      </c>
      <c r="D102" s="62">
        <v>10140</v>
      </c>
      <c r="E102" s="31">
        <v>439.83104954626822</v>
      </c>
      <c r="F102" s="61">
        <v>105.2689504537318</v>
      </c>
      <c r="G102" s="31">
        <f t="shared" si="26"/>
        <v>271.33134087523126</v>
      </c>
      <c r="J102" s="65" t="s">
        <v>171</v>
      </c>
      <c r="K102" s="31">
        <f>SUMPRODUCT(F88:F106,F89:F107)/SUMSQ(F88:F106)</f>
        <v>0.64985763450722578</v>
      </c>
    </row>
    <row r="103" spans="2:11">
      <c r="B103" s="61">
        <v>525.6</v>
      </c>
      <c r="C103" s="61">
        <v>10392119.5</v>
      </c>
      <c r="D103" s="62">
        <v>12924</v>
      </c>
      <c r="E103" s="31">
        <v>482.62058612389063</v>
      </c>
      <c r="F103" s="61">
        <v>42.97941387610939</v>
      </c>
      <c r="G103" s="31">
        <f t="shared" si="26"/>
        <v>3879.9863670549607</v>
      </c>
    </row>
    <row r="104" spans="2:11">
      <c r="B104" s="61">
        <v>534.79999999999995</v>
      </c>
      <c r="C104" s="61">
        <v>12415204.300000001</v>
      </c>
      <c r="D104" s="62">
        <v>18903</v>
      </c>
      <c r="E104" s="31">
        <v>500.35878483481133</v>
      </c>
      <c r="F104" s="61">
        <v>34.441215165188623</v>
      </c>
      <c r="G104" s="31">
        <f t="shared" si="26"/>
        <v>72.900837227169049</v>
      </c>
    </row>
    <row r="105" spans="2:11">
      <c r="B105" s="61">
        <v>525.79999999999995</v>
      </c>
      <c r="C105" s="61">
        <v>11439859.300000001</v>
      </c>
      <c r="D105" s="62">
        <v>18378</v>
      </c>
      <c r="E105" s="31">
        <v>488.30689684089555</v>
      </c>
      <c r="F105" s="61">
        <v>37.493103159104407</v>
      </c>
      <c r="G105" s="31">
        <f t="shared" si="26"/>
        <v>9.3140203274073095</v>
      </c>
      <c r="J105" s="1" t="s">
        <v>172</v>
      </c>
    </row>
    <row r="106" spans="2:11">
      <c r="B106" s="61">
        <v>546.20000000000005</v>
      </c>
      <c r="C106" s="61">
        <v>12376568.1</v>
      </c>
      <c r="D106" s="62">
        <v>5072</v>
      </c>
      <c r="E106" s="31">
        <v>520.38509001788293</v>
      </c>
      <c r="F106" s="61">
        <v>25.814909982117115</v>
      </c>
      <c r="G106" s="31">
        <f t="shared" si="26"/>
        <v>136.38019587903256</v>
      </c>
    </row>
    <row r="107" spans="2:11">
      <c r="B107" s="61">
        <v>537</v>
      </c>
      <c r="C107" s="61">
        <v>13925996.5</v>
      </c>
      <c r="D107" s="62">
        <v>13758</v>
      </c>
      <c r="E107" s="31">
        <v>527.87298285491465</v>
      </c>
      <c r="F107" s="61">
        <v>9.1270171450853468</v>
      </c>
      <c r="G107" s="31">
        <f t="shared" si="26"/>
        <v>278.48576734025619</v>
      </c>
    </row>
    <row r="108" spans="2:11">
      <c r="G108" s="31">
        <f>SUM(G88:G107)</f>
        <v>30667.067835390859</v>
      </c>
    </row>
    <row r="110" spans="2:11">
      <c r="B110" s="1" t="s">
        <v>173</v>
      </c>
    </row>
    <row r="112" spans="2:11">
      <c r="B112" s="31" t="s">
        <v>6</v>
      </c>
      <c r="C112" s="31" t="s">
        <v>11</v>
      </c>
      <c r="D112" s="1" t="s">
        <v>9</v>
      </c>
      <c r="E112" s="1" t="s">
        <v>174</v>
      </c>
      <c r="F112" s="1" t="s">
        <v>175</v>
      </c>
      <c r="G112" s="1" t="s">
        <v>176</v>
      </c>
      <c r="H112" s="1" t="s">
        <v>177</v>
      </c>
    </row>
    <row r="113" spans="2:11">
      <c r="B113" s="61">
        <v>314.89999999999998</v>
      </c>
      <c r="C113" s="61">
        <v>5141415.5999999996</v>
      </c>
      <c r="D113" s="62">
        <v>109624</v>
      </c>
      <c r="E113" s="61">
        <v>44.924521111793524</v>
      </c>
      <c r="F113" s="31">
        <f t="shared" ref="F113:F132" si="27">E113^2</f>
        <v>2018.2125971239821</v>
      </c>
      <c r="G113" s="31">
        <f t="shared" ref="G113:G132" si="28">E113^3</f>
        <v>90667.234427583971</v>
      </c>
      <c r="H113" s="31">
        <f t="shared" ref="H113:H132" si="29">E113^4</f>
        <v>4073182.0871899286</v>
      </c>
      <c r="J113" s="64" t="s">
        <v>97</v>
      </c>
      <c r="K113" s="1">
        <v>20</v>
      </c>
    </row>
    <row r="114" spans="2:11">
      <c r="B114" s="61">
        <v>321.7</v>
      </c>
      <c r="C114" s="61">
        <v>5337437.2</v>
      </c>
      <c r="D114" s="62">
        <v>39331</v>
      </c>
      <c r="E114" s="61">
        <v>-55.216801074561033</v>
      </c>
      <c r="F114" s="31">
        <f t="shared" si="27"/>
        <v>3048.8951209076445</v>
      </c>
      <c r="G114" s="31">
        <f t="shared" si="28"/>
        <v>-168350.2353883571</v>
      </c>
      <c r="H114" s="31">
        <f t="shared" si="29"/>
        <v>9295761.4582944401</v>
      </c>
      <c r="J114" s="64" t="s">
        <v>178</v>
      </c>
      <c r="K114" s="31">
        <f>SQRT(F133/K113)</f>
        <v>48.290071412610928</v>
      </c>
    </row>
    <row r="115" spans="2:11">
      <c r="B115" s="61">
        <v>333.1</v>
      </c>
      <c r="C115" s="61">
        <v>5986499.9000000004</v>
      </c>
      <c r="D115" s="62">
        <v>36149</v>
      </c>
      <c r="E115" s="61">
        <v>-57.079921660144521</v>
      </c>
      <c r="F115" s="31">
        <f t="shared" si="27"/>
        <v>3258.1174567282355</v>
      </c>
      <c r="G115" s="31">
        <f t="shared" si="28"/>
        <v>-185973.089189597</v>
      </c>
      <c r="H115" s="31">
        <f t="shared" si="29"/>
        <v>10615329.361837266</v>
      </c>
      <c r="J115" s="64" t="s">
        <v>179</v>
      </c>
      <c r="K115" s="31">
        <f>((1/K113)*G133)/(K114)^3</f>
        <v>0.47951373263251507</v>
      </c>
    </row>
    <row r="116" spans="2:11">
      <c r="B116" s="61">
        <v>361</v>
      </c>
      <c r="C116" s="61">
        <v>6877759.2000000002</v>
      </c>
      <c r="D116" s="62">
        <v>28998</v>
      </c>
      <c r="E116" s="61">
        <v>-51.521997422017307</v>
      </c>
      <c r="F116" s="31">
        <f t="shared" si="27"/>
        <v>2654.516218354358</v>
      </c>
      <c r="G116" s="31">
        <f t="shared" si="28"/>
        <v>-136765.97775875637</v>
      </c>
      <c r="H116" s="31">
        <f t="shared" si="29"/>
        <v>7046456.353506322</v>
      </c>
      <c r="J116" s="64" t="s">
        <v>95</v>
      </c>
      <c r="K116" s="31">
        <f>(H133/K113)/(K114)^4</f>
        <v>2.3699907719876347</v>
      </c>
    </row>
    <row r="117" spans="2:11">
      <c r="B117" s="61">
        <v>367.6</v>
      </c>
      <c r="C117" s="61">
        <v>7520684.2000000002</v>
      </c>
      <c r="D117" s="62">
        <v>16652</v>
      </c>
      <c r="E117" s="61">
        <v>-71.709968061780955</v>
      </c>
      <c r="F117" s="31">
        <f t="shared" si="27"/>
        <v>5142.3195194216451</v>
      </c>
      <c r="G117" s="31">
        <f t="shared" si="28"/>
        <v>-368755.56850119896</v>
      </c>
      <c r="H117" s="31">
        <f t="shared" si="29"/>
        <v>26443450.039824858</v>
      </c>
      <c r="J117" s="64" t="s">
        <v>180</v>
      </c>
      <c r="K117" s="31">
        <f>(K113/6)*((K115)^2+(((K116-3)^2)/4))</f>
        <v>1.0972044220945041</v>
      </c>
    </row>
    <row r="118" spans="2:11">
      <c r="B118" s="61">
        <v>412.7</v>
      </c>
      <c r="C118" s="61">
        <v>8528558</v>
      </c>
      <c r="D118" s="62">
        <v>19696</v>
      </c>
      <c r="E118" s="61">
        <v>-35.34988943315642</v>
      </c>
      <c r="F118" s="31">
        <f t="shared" si="27"/>
        <v>1249.614682936384</v>
      </c>
      <c r="G118" s="31">
        <f t="shared" si="28"/>
        <v>-44173.740875849995</v>
      </c>
      <c r="H118" s="31">
        <f t="shared" si="29"/>
        <v>1561536.8558101996</v>
      </c>
      <c r="J118" s="66"/>
    </row>
    <row r="119" spans="2:11">
      <c r="B119" s="61">
        <v>462</v>
      </c>
      <c r="C119" s="61">
        <v>10671926.9</v>
      </c>
      <c r="D119" s="62">
        <v>13031</v>
      </c>
      <c r="E119" s="61">
        <v>-24.142787169473706</v>
      </c>
      <c r="F119" s="31">
        <f t="shared" si="27"/>
        <v>582.87417231050426</v>
      </c>
      <c r="G119" s="31">
        <f t="shared" si="28"/>
        <v>-14072.207088675648</v>
      </c>
      <c r="H119" s="31">
        <f t="shared" si="29"/>
        <v>339742.30074665544</v>
      </c>
      <c r="J119" s="64" t="s">
        <v>181</v>
      </c>
      <c r="K119" s="46">
        <f>_xlfn.CHISQ.INV.RT(0.05,2)</f>
        <v>5.9914645471079817</v>
      </c>
    </row>
    <row r="120" spans="2:11">
      <c r="B120" s="61">
        <v>462.9</v>
      </c>
      <c r="C120" s="61">
        <v>10926206</v>
      </c>
      <c r="D120" s="62">
        <v>9855</v>
      </c>
      <c r="E120" s="61">
        <v>-31.303345843264083</v>
      </c>
      <c r="F120" s="31">
        <f t="shared" si="27"/>
        <v>979.89946098299868</v>
      </c>
      <c r="G120" s="31">
        <f t="shared" si="28"/>
        <v>-30674.131718778866</v>
      </c>
      <c r="H120" s="31">
        <f t="shared" si="29"/>
        <v>960202.9536347714</v>
      </c>
      <c r="J120" s="64" t="s">
        <v>182</v>
      </c>
      <c r="K120" s="46">
        <f>_xlfn.CHISQ.DIST.RT(K117,2)</f>
        <v>0.57775682834072439</v>
      </c>
    </row>
    <row r="121" spans="2:11">
      <c r="B121" s="61">
        <v>458.5</v>
      </c>
      <c r="C121" s="61">
        <v>12158205.199999999</v>
      </c>
      <c r="D121" s="62">
        <v>15691</v>
      </c>
      <c r="E121" s="61">
        <v>-43.246570320134424</v>
      </c>
      <c r="F121" s="31">
        <f t="shared" si="27"/>
        <v>1870.2658444543317</v>
      </c>
      <c r="G121" s="31">
        <f t="shared" si="28"/>
        <v>-80882.583359539844</v>
      </c>
      <c r="H121" s="31">
        <f t="shared" si="29"/>
        <v>3497894.3289324744</v>
      </c>
      <c r="K121" s="46"/>
    </row>
    <row r="122" spans="2:11">
      <c r="B122" s="61">
        <v>457.9</v>
      </c>
      <c r="C122" s="61">
        <v>10127805.800000001</v>
      </c>
      <c r="D122" s="62">
        <v>39639</v>
      </c>
      <c r="E122" s="61">
        <v>18.419837087320616</v>
      </c>
      <c r="F122" s="31">
        <f t="shared" si="27"/>
        <v>339.29039832343204</v>
      </c>
      <c r="G122" s="31">
        <f t="shared" si="28"/>
        <v>6249.6738624097379</v>
      </c>
      <c r="H122" s="31">
        <f t="shared" si="29"/>
        <v>115117.97439447317</v>
      </c>
      <c r="J122" s="1" t="s">
        <v>183</v>
      </c>
    </row>
    <row r="123" spans="2:11">
      <c r="B123" s="61">
        <v>484.7</v>
      </c>
      <c r="C123" s="61">
        <v>10851199.199999999</v>
      </c>
      <c r="D123" s="62">
        <v>10640</v>
      </c>
      <c r="E123" s="61">
        <v>-7.3511062357176229</v>
      </c>
      <c r="F123" s="31">
        <f t="shared" si="27"/>
        <v>54.038762888806517</v>
      </c>
      <c r="G123" s="31">
        <f t="shared" si="28"/>
        <v>-397.24468684237166</v>
      </c>
      <c r="H123" s="31">
        <f t="shared" si="29"/>
        <v>2920.1878945526523</v>
      </c>
    </row>
    <row r="124" spans="2:11">
      <c r="B124" s="61">
        <v>481.7</v>
      </c>
      <c r="C124" s="61">
        <v>14248455.4</v>
      </c>
      <c r="D124" s="62">
        <v>23817</v>
      </c>
      <c r="E124" s="61">
        <v>-35.480771543355843</v>
      </c>
      <c r="F124" s="31">
        <f t="shared" si="27"/>
        <v>1258.8851493118098</v>
      </c>
      <c r="G124" s="31">
        <f t="shared" si="28"/>
        <v>-44666.216382055733</v>
      </c>
      <c r="H124" s="31">
        <f t="shared" si="29"/>
        <v>1584791.8191578176</v>
      </c>
    </row>
    <row r="125" spans="2:11">
      <c r="B125" s="61">
        <v>521.4</v>
      </c>
      <c r="C125" s="61">
        <v>15160046.4</v>
      </c>
      <c r="D125" s="62">
        <v>32513</v>
      </c>
      <c r="E125" s="61">
        <v>5.1373786507027717</v>
      </c>
      <c r="F125" s="31">
        <f t="shared" si="27"/>
        <v>26.39265940069663</v>
      </c>
      <c r="G125" s="31">
        <f t="shared" si="28"/>
        <v>135.58908494040867</v>
      </c>
      <c r="H125" s="31">
        <f t="shared" si="29"/>
        <v>696.57247024118021</v>
      </c>
    </row>
    <row r="126" spans="2:11">
      <c r="B126" s="61">
        <v>526.20000000000005</v>
      </c>
      <c r="C126" s="61">
        <v>6517035.4000000004</v>
      </c>
      <c r="D126" s="62">
        <v>9043</v>
      </c>
      <c r="E126" s="61">
        <v>88.796812132456353</v>
      </c>
      <c r="F126" s="31">
        <f t="shared" si="27"/>
        <v>7884.873844886748</v>
      </c>
      <c r="G126" s="31">
        <f t="shared" si="28"/>
        <v>700151.66149252735</v>
      </c>
      <c r="H126" s="31">
        <f t="shared" si="29"/>
        <v>62171235.549779125</v>
      </c>
    </row>
    <row r="127" spans="2:11">
      <c r="B127" s="61">
        <v>545.1</v>
      </c>
      <c r="C127" s="61">
        <v>6825385</v>
      </c>
      <c r="D127" s="62">
        <v>10140</v>
      </c>
      <c r="E127" s="61">
        <v>105.2689504537318</v>
      </c>
      <c r="F127" s="31">
        <f t="shared" si="27"/>
        <v>11081.551929630241</v>
      </c>
      <c r="G127" s="31">
        <f t="shared" si="28"/>
        <v>1166543.341030702</v>
      </c>
      <c r="H127" s="31">
        <f t="shared" si="29"/>
        <v>122800793.16909172</v>
      </c>
    </row>
    <row r="128" spans="2:11">
      <c r="B128" s="61">
        <v>525.6</v>
      </c>
      <c r="C128" s="61">
        <v>10392119.5</v>
      </c>
      <c r="D128" s="62">
        <v>12924</v>
      </c>
      <c r="E128" s="61">
        <v>42.97941387610939</v>
      </c>
      <c r="F128" s="31">
        <f t="shared" si="27"/>
        <v>1847.2300171339043</v>
      </c>
      <c r="G128" s="31">
        <f t="shared" si="28"/>
        <v>79392.863430770711</v>
      </c>
      <c r="H128" s="31">
        <f t="shared" si="29"/>
        <v>3412258.7362005245</v>
      </c>
    </row>
    <row r="129" spans="2:8">
      <c r="B129" s="61">
        <v>534.79999999999995</v>
      </c>
      <c r="C129" s="61">
        <v>12415204.300000001</v>
      </c>
      <c r="D129" s="62">
        <v>18903</v>
      </c>
      <c r="E129" s="61">
        <v>34.441215165188623</v>
      </c>
      <c r="F129" s="31">
        <f t="shared" si="27"/>
        <v>1186.1973020548189</v>
      </c>
      <c r="G129" s="31">
        <f t="shared" si="28"/>
        <v>40854.076508436257</v>
      </c>
      <c r="H129" s="31">
        <f t="shared" si="29"/>
        <v>1407064.0394021312</v>
      </c>
    </row>
    <row r="130" spans="2:8">
      <c r="B130" s="61">
        <v>525.79999999999995</v>
      </c>
      <c r="C130" s="61">
        <v>11439859.300000001</v>
      </c>
      <c r="D130" s="62">
        <v>18378</v>
      </c>
      <c r="E130" s="61">
        <v>37.493103159104407</v>
      </c>
      <c r="F130" s="31">
        <f t="shared" si="27"/>
        <v>1405.7327844992449</v>
      </c>
      <c r="G130" s="31">
        <f t="shared" si="28"/>
        <v>52705.284303365275</v>
      </c>
      <c r="H130" s="31">
        <f t="shared" si="29"/>
        <v>1976084.6614160005</v>
      </c>
    </row>
    <row r="131" spans="2:8">
      <c r="B131" s="61">
        <v>546.20000000000005</v>
      </c>
      <c r="C131" s="61">
        <v>12376568.1</v>
      </c>
      <c r="D131" s="62">
        <v>5072</v>
      </c>
      <c r="E131" s="61">
        <v>25.814909982117115</v>
      </c>
      <c r="F131" s="31">
        <f t="shared" si="27"/>
        <v>666.40957738480984</v>
      </c>
      <c r="G131" s="31">
        <f t="shared" si="28"/>
        <v>17203.303251409576</v>
      </c>
      <c r="H131" s="31">
        <f t="shared" si="29"/>
        <v>444101.72483020084</v>
      </c>
    </row>
    <row r="132" spans="2:8">
      <c r="B132" s="61">
        <v>537</v>
      </c>
      <c r="C132" s="61">
        <v>13925996.5</v>
      </c>
      <c r="D132" s="62">
        <v>13758</v>
      </c>
      <c r="E132" s="61">
        <v>9.1270171450853468</v>
      </c>
      <c r="F132" s="31">
        <f t="shared" si="27"/>
        <v>83.302441966681869</v>
      </c>
      <c r="G132" s="31">
        <f t="shared" si="28"/>
        <v>760.30281605738253</v>
      </c>
      <c r="H132" s="31">
        <f t="shared" si="29"/>
        <v>6939.2968376124009</v>
      </c>
    </row>
    <row r="133" spans="2:8">
      <c r="E133" s="61">
        <f t="shared" ref="E133:H133" si="30">SUM(E113:E132)</f>
        <v>4.0358827391173691E-12</v>
      </c>
      <c r="F133" s="31">
        <f t="shared" si="30"/>
        <v>46638.619940701268</v>
      </c>
      <c r="G133" s="31">
        <f t="shared" si="30"/>
        <v>1079952.3352585507</v>
      </c>
      <c r="H133" s="31">
        <f t="shared" si="30"/>
        <v>257755559.47125128</v>
      </c>
    </row>
  </sheetData>
  <autoFilter ref="B6:D25">
    <sortState ref="B6:D25">
      <sortCondition ref="B6:B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13"/>
  <sheetViews>
    <sheetView tabSelected="1" workbookViewId="0">
      <selection activeCell="E18" sqref="E18"/>
    </sheetView>
  </sheetViews>
  <sheetFormatPr defaultColWidth="12.5703125" defaultRowHeight="15.75" customHeight="1"/>
  <sheetData>
    <row r="1" spans="1:17" ht="15.75" customHeight="1">
      <c r="A1" s="99"/>
      <c r="B1" s="100"/>
      <c r="C1" s="101"/>
      <c r="D1" s="101"/>
      <c r="E1" s="101"/>
      <c r="F1" s="101"/>
      <c r="G1" s="101"/>
      <c r="H1" s="99"/>
      <c r="I1" s="99"/>
      <c r="J1" s="99"/>
      <c r="K1" s="99"/>
      <c r="L1" s="99"/>
      <c r="M1" s="102"/>
      <c r="N1" s="102"/>
      <c r="O1" s="102"/>
      <c r="P1" s="102"/>
      <c r="Q1" s="102"/>
    </row>
    <row r="2" spans="1:17" ht="15.75" customHeight="1">
      <c r="A2" s="80" t="s">
        <v>184</v>
      </c>
      <c r="B2" s="82"/>
      <c r="C2" s="82"/>
      <c r="D2" s="83"/>
      <c r="E2" s="82"/>
      <c r="F2" s="83"/>
      <c r="G2" s="83"/>
      <c r="H2" s="78"/>
      <c r="I2" s="78"/>
      <c r="J2" s="78"/>
      <c r="K2" s="78"/>
      <c r="L2" s="78"/>
      <c r="M2" s="81"/>
      <c r="N2" s="81"/>
      <c r="O2" s="81"/>
      <c r="P2" s="81"/>
      <c r="Q2" s="102"/>
    </row>
    <row r="3" spans="1:17" ht="15.75" customHeight="1">
      <c r="A3" s="80" t="s">
        <v>185</v>
      </c>
      <c r="B3" s="82"/>
      <c r="C3" s="82"/>
      <c r="D3" s="83"/>
      <c r="E3" s="82"/>
      <c r="F3" s="83"/>
      <c r="G3" s="83"/>
      <c r="H3" s="78"/>
      <c r="I3" s="79" t="s">
        <v>186</v>
      </c>
      <c r="J3" s="78"/>
      <c r="K3" s="78"/>
      <c r="L3" s="78"/>
      <c r="M3" s="81"/>
      <c r="N3" s="81"/>
      <c r="O3" s="81"/>
      <c r="P3" s="81"/>
      <c r="Q3" s="102"/>
    </row>
    <row r="4" spans="1:17" ht="15.75" customHeight="1">
      <c r="A4" s="80" t="s">
        <v>6</v>
      </c>
      <c r="B4" s="84" t="s">
        <v>187</v>
      </c>
      <c r="C4" s="82" t="s">
        <v>188</v>
      </c>
      <c r="D4" s="83"/>
      <c r="E4" s="82">
        <f t="array" ref="E4:F8">LINEST(A5:A24,C5:C24,1,1)</f>
        <v>92345.762281774631</v>
      </c>
      <c r="F4" s="83">
        <v>7580.89944348481</v>
      </c>
      <c r="G4" s="83"/>
      <c r="H4" s="78"/>
      <c r="I4" s="80" t="s">
        <v>6</v>
      </c>
      <c r="J4" s="84" t="s">
        <v>187</v>
      </c>
      <c r="K4" s="79" t="s">
        <v>188</v>
      </c>
      <c r="L4" s="78"/>
      <c r="M4" s="85">
        <f t="array" ref="M4:O8">LINEST(I5:I24,J5:K24,1,1)</f>
        <v>312.23969013442667</v>
      </c>
      <c r="N4" s="85">
        <v>-8698.3237183868696</v>
      </c>
      <c r="O4" s="85">
        <v>70718.703508771898</v>
      </c>
      <c r="P4" s="81"/>
      <c r="Q4" s="102"/>
    </row>
    <row r="5" spans="1:17" ht="15.75" customHeight="1">
      <c r="A5" s="83">
        <v>109624</v>
      </c>
      <c r="B5" s="86">
        <v>1</v>
      </c>
      <c r="C5" s="87">
        <f t="shared" ref="C5:C24" si="0">1/B5</f>
        <v>1</v>
      </c>
      <c r="D5" s="83"/>
      <c r="E5" s="82">
        <v>9865.4204329850509</v>
      </c>
      <c r="F5" s="83">
        <v>2787.0146608157097</v>
      </c>
      <c r="G5" s="83" t="s">
        <v>189</v>
      </c>
      <c r="H5" s="78"/>
      <c r="I5" s="83">
        <v>109624</v>
      </c>
      <c r="J5" s="86">
        <v>1</v>
      </c>
      <c r="K5" s="78">
        <f t="shared" ref="K5:K24" si="1">J5^2</f>
        <v>1</v>
      </c>
      <c r="L5" s="78"/>
      <c r="M5" s="85">
        <v>129.36146684003745</v>
      </c>
      <c r="N5" s="85">
        <v>2796.7219144464566</v>
      </c>
      <c r="O5" s="85">
        <v>12752.048959659447</v>
      </c>
      <c r="P5" s="88" t="s">
        <v>189</v>
      </c>
      <c r="Q5" s="102"/>
    </row>
    <row r="6" spans="1:17" ht="15.75" customHeight="1">
      <c r="A6" s="83">
        <v>39331</v>
      </c>
      <c r="B6" s="86">
        <v>2</v>
      </c>
      <c r="C6" s="87">
        <f t="shared" si="0"/>
        <v>0.5</v>
      </c>
      <c r="D6" s="83"/>
      <c r="E6" s="103">
        <v>0.82957756737813992</v>
      </c>
      <c r="F6" s="83">
        <v>9610.4423015773627</v>
      </c>
      <c r="G6" s="89">
        <f>F6/AVERAGE(A5:A24)</f>
        <v>0.39724554520898298</v>
      </c>
      <c r="H6" s="78"/>
      <c r="I6" s="83">
        <v>39331</v>
      </c>
      <c r="J6" s="86">
        <v>2</v>
      </c>
      <c r="K6" s="78">
        <f t="shared" si="1"/>
        <v>4</v>
      </c>
      <c r="L6" s="78"/>
      <c r="M6" s="85">
        <v>0.48802133907993572</v>
      </c>
      <c r="N6" s="85">
        <v>17140.272316750841</v>
      </c>
      <c r="O6" s="85" t="e">
        <v>#N/A</v>
      </c>
      <c r="P6" s="90">
        <f>N6/AVERAGE(I5:I24)</f>
        <v>0.70848943345516791</v>
      </c>
      <c r="Q6" s="102"/>
    </row>
    <row r="7" spans="1:17" ht="15.75" customHeight="1">
      <c r="A7" s="83">
        <v>36149</v>
      </c>
      <c r="B7" s="86">
        <v>3</v>
      </c>
      <c r="C7" s="87">
        <f t="shared" si="0"/>
        <v>0.33333333333333331</v>
      </c>
      <c r="D7" s="83"/>
      <c r="E7" s="82">
        <v>87.619898290849392</v>
      </c>
      <c r="F7" s="83">
        <v>18</v>
      </c>
      <c r="G7" s="83"/>
      <c r="H7" s="78"/>
      <c r="I7" s="83">
        <v>36149</v>
      </c>
      <c r="J7" s="86">
        <v>3</v>
      </c>
      <c r="K7" s="78">
        <f t="shared" si="1"/>
        <v>9</v>
      </c>
      <c r="L7" s="78"/>
      <c r="M7" s="85">
        <v>8.102254446942883</v>
      </c>
      <c r="N7" s="85">
        <v>17</v>
      </c>
      <c r="O7" s="85" t="e">
        <v>#N/A</v>
      </c>
      <c r="P7" s="81"/>
      <c r="Q7" s="102"/>
    </row>
    <row r="8" spans="1:17" ht="15.75" customHeight="1">
      <c r="A8" s="83">
        <v>28998</v>
      </c>
      <c r="B8" s="86">
        <v>4</v>
      </c>
      <c r="C8" s="87">
        <f t="shared" si="0"/>
        <v>0.25</v>
      </c>
      <c r="D8" s="83"/>
      <c r="E8" s="82">
        <v>8092626486.0249462</v>
      </c>
      <c r="F8" s="83">
        <v>1662490822.1750565</v>
      </c>
      <c r="G8" s="83"/>
      <c r="H8" s="78"/>
      <c r="I8" s="83">
        <v>28998</v>
      </c>
      <c r="J8" s="86">
        <v>4</v>
      </c>
      <c r="K8" s="78">
        <f t="shared" si="1"/>
        <v>16</v>
      </c>
      <c r="L8" s="78"/>
      <c r="M8" s="85">
        <v>4760705411.6296234</v>
      </c>
      <c r="N8" s="85">
        <v>4994411896.5703793</v>
      </c>
      <c r="O8" s="85" t="e">
        <v>#N/A</v>
      </c>
      <c r="P8" s="81"/>
      <c r="Q8" s="102"/>
    </row>
    <row r="9" spans="1:17" ht="15.75" customHeight="1">
      <c r="A9" s="83">
        <v>16652</v>
      </c>
      <c r="B9" s="86">
        <v>5</v>
      </c>
      <c r="C9" s="87">
        <f t="shared" si="0"/>
        <v>0.2</v>
      </c>
      <c r="D9" s="83" t="s">
        <v>190</v>
      </c>
      <c r="E9" s="82">
        <f t="shared" ref="E9:F9" si="2">E4/E5</f>
        <v>9.3605501062089971</v>
      </c>
      <c r="F9" s="82">
        <f t="shared" si="2"/>
        <v>2.7200787818123695</v>
      </c>
      <c r="G9" s="83"/>
      <c r="H9" s="78"/>
      <c r="I9" s="83">
        <v>16652</v>
      </c>
      <c r="J9" s="86">
        <v>5</v>
      </c>
      <c r="K9" s="78">
        <f t="shared" si="1"/>
        <v>25</v>
      </c>
      <c r="L9" s="78"/>
      <c r="M9" s="85">
        <f t="shared" ref="M9:O9" si="3">M4/M5</f>
        <v>2.4136993632000801</v>
      </c>
      <c r="N9" s="85">
        <f t="shared" si="3"/>
        <v>-3.1101854186702336</v>
      </c>
      <c r="O9" s="85">
        <f t="shared" si="3"/>
        <v>5.545673776229016</v>
      </c>
      <c r="P9" s="81"/>
      <c r="Q9" s="102"/>
    </row>
    <row r="10" spans="1:17" ht="15.75" customHeight="1">
      <c r="A10" s="83">
        <v>19696</v>
      </c>
      <c r="B10" s="86">
        <v>6</v>
      </c>
      <c r="C10" s="87">
        <f t="shared" si="0"/>
        <v>0.16666666666666666</v>
      </c>
      <c r="D10" s="83" t="s">
        <v>191</v>
      </c>
      <c r="E10" s="82">
        <f t="shared" ref="E10:F10" si="4">_xlfn.T.DIST.2T(E9,$F$7)</f>
        <v>2.4446940308096424E-8</v>
      </c>
      <c r="F10" s="82">
        <f t="shared" si="4"/>
        <v>1.4039454548485165E-2</v>
      </c>
      <c r="G10" s="83"/>
      <c r="H10" s="78"/>
      <c r="I10" s="83">
        <v>19696</v>
      </c>
      <c r="J10" s="86">
        <v>6</v>
      </c>
      <c r="K10" s="78">
        <f t="shared" si="1"/>
        <v>36</v>
      </c>
      <c r="L10" s="78"/>
      <c r="M10" s="91">
        <f>_xlfn.T.DIST.2T(M9,$N$7)</f>
        <v>2.7357165012599934E-2</v>
      </c>
      <c r="N10" s="91">
        <f>_xlfn.T.DIST.2T(-N9,$N$7)</f>
        <v>6.3640830619046259E-3</v>
      </c>
      <c r="O10" s="91">
        <f>_xlfn.T.DIST.2T(O9,$N$7)</f>
        <v>3.5577620537194202E-5</v>
      </c>
      <c r="P10" s="81"/>
      <c r="Q10" s="102"/>
    </row>
    <row r="11" spans="1:17" ht="15.75" customHeight="1">
      <c r="A11" s="83">
        <v>13031</v>
      </c>
      <c r="B11" s="86">
        <v>7</v>
      </c>
      <c r="C11" s="87">
        <f t="shared" si="0"/>
        <v>0.14285714285714285</v>
      </c>
      <c r="D11" s="83"/>
      <c r="E11" s="82"/>
      <c r="F11" s="83"/>
      <c r="G11" s="83"/>
      <c r="H11" s="78"/>
      <c r="I11" s="83">
        <v>13031</v>
      </c>
      <c r="J11" s="86">
        <v>7</v>
      </c>
      <c r="K11" s="78">
        <f t="shared" si="1"/>
        <v>49</v>
      </c>
      <c r="L11" s="78"/>
      <c r="M11" s="81"/>
      <c r="N11" s="81"/>
      <c r="O11" s="81"/>
      <c r="P11" s="81"/>
      <c r="Q11" s="102"/>
    </row>
    <row r="12" spans="1:17" ht="15.75" customHeight="1">
      <c r="A12" s="83">
        <v>9855</v>
      </c>
      <c r="B12" s="86">
        <v>8</v>
      </c>
      <c r="C12" s="87">
        <f t="shared" si="0"/>
        <v>0.125</v>
      </c>
      <c r="D12" s="83"/>
      <c r="E12" s="92" t="s">
        <v>192</v>
      </c>
      <c r="F12" s="83" t="s">
        <v>193</v>
      </c>
      <c r="G12" s="83"/>
      <c r="H12" s="78"/>
      <c r="I12" s="83">
        <v>9855</v>
      </c>
      <c r="J12" s="86">
        <v>8</v>
      </c>
      <c r="K12" s="78">
        <f t="shared" si="1"/>
        <v>64</v>
      </c>
      <c r="L12" s="78"/>
      <c r="M12" s="81"/>
      <c r="N12" s="92" t="s">
        <v>192</v>
      </c>
      <c r="O12" s="93" t="s">
        <v>194</v>
      </c>
      <c r="P12" s="81"/>
      <c r="Q12" s="102"/>
    </row>
    <row r="13" spans="1:17" ht="15.75" customHeight="1">
      <c r="A13" s="83">
        <v>15691</v>
      </c>
      <c r="B13" s="86">
        <v>9</v>
      </c>
      <c r="C13" s="87">
        <f t="shared" si="0"/>
        <v>0.1111111111111111</v>
      </c>
      <c r="D13" s="83"/>
      <c r="E13" s="92" t="s">
        <v>195</v>
      </c>
      <c r="F13" s="83" t="s">
        <v>196</v>
      </c>
      <c r="G13" s="83"/>
      <c r="H13" s="78"/>
      <c r="I13" s="83">
        <v>15691</v>
      </c>
      <c r="J13" s="86">
        <v>9</v>
      </c>
      <c r="K13" s="78">
        <f t="shared" si="1"/>
        <v>81</v>
      </c>
      <c r="L13" s="78"/>
      <c r="M13" s="81"/>
      <c r="N13" s="92" t="s">
        <v>195</v>
      </c>
      <c r="O13" s="93" t="s">
        <v>197</v>
      </c>
      <c r="P13" s="81"/>
      <c r="Q13" s="102"/>
    </row>
    <row r="14" spans="1:17" ht="15.75" customHeight="1">
      <c r="A14" s="83">
        <v>39639</v>
      </c>
      <c r="B14" s="86">
        <v>10</v>
      </c>
      <c r="C14" s="87">
        <f t="shared" si="0"/>
        <v>0.1</v>
      </c>
      <c r="D14" s="83"/>
      <c r="E14" s="92"/>
      <c r="F14" s="83"/>
      <c r="G14" s="83"/>
      <c r="H14" s="78"/>
      <c r="I14" s="83">
        <v>39639</v>
      </c>
      <c r="J14" s="86">
        <v>10</v>
      </c>
      <c r="K14" s="78">
        <f t="shared" si="1"/>
        <v>100</v>
      </c>
      <c r="L14" s="78"/>
      <c r="M14" s="81"/>
      <c r="N14" s="81"/>
      <c r="O14" s="81"/>
      <c r="P14" s="81"/>
      <c r="Q14" s="102"/>
    </row>
    <row r="15" spans="1:17" ht="15.75" customHeight="1">
      <c r="A15" s="83">
        <v>10640</v>
      </c>
      <c r="B15" s="86">
        <v>11</v>
      </c>
      <c r="C15" s="87">
        <f t="shared" si="0"/>
        <v>9.0909090909090912E-2</v>
      </c>
      <c r="D15" s="83"/>
      <c r="E15" s="92"/>
      <c r="F15" s="83"/>
      <c r="G15" s="83"/>
      <c r="H15" s="78"/>
      <c r="I15" s="83">
        <v>10640</v>
      </c>
      <c r="J15" s="86">
        <v>11</v>
      </c>
      <c r="K15" s="78">
        <f t="shared" si="1"/>
        <v>121</v>
      </c>
      <c r="L15" s="78"/>
      <c r="M15" s="81"/>
      <c r="N15" s="81"/>
      <c r="O15" s="81"/>
      <c r="P15" s="81"/>
      <c r="Q15" s="102"/>
    </row>
    <row r="16" spans="1:17" ht="15.75" customHeight="1">
      <c r="A16" s="83">
        <v>23817</v>
      </c>
      <c r="B16" s="86">
        <v>12</v>
      </c>
      <c r="C16" s="87">
        <f t="shared" si="0"/>
        <v>8.3333333333333329E-2</v>
      </c>
      <c r="D16" s="83"/>
      <c r="E16" s="92" t="s">
        <v>218</v>
      </c>
      <c r="F16" s="83"/>
      <c r="G16" s="83"/>
      <c r="H16" s="78"/>
      <c r="I16" s="83">
        <v>23817</v>
      </c>
      <c r="J16" s="86">
        <v>12</v>
      </c>
      <c r="K16" s="78">
        <f t="shared" si="1"/>
        <v>144</v>
      </c>
      <c r="L16" s="78"/>
      <c r="M16" s="81"/>
      <c r="N16" s="81"/>
      <c r="O16" s="81"/>
      <c r="P16" s="81"/>
      <c r="Q16" s="102"/>
    </row>
    <row r="17" spans="1:17" ht="15.75" customHeight="1">
      <c r="A17" s="83">
        <v>32513</v>
      </c>
      <c r="B17" s="86">
        <v>13</v>
      </c>
      <c r="C17" s="87">
        <f t="shared" si="0"/>
        <v>7.6923076923076927E-2</v>
      </c>
      <c r="D17" s="83"/>
      <c r="E17" s="92">
        <f>7581+92345.8*(1/21)</f>
        <v>11978.419047619049</v>
      </c>
      <c r="F17" s="83"/>
      <c r="G17" s="83"/>
      <c r="H17" s="78"/>
      <c r="I17" s="83">
        <v>32513</v>
      </c>
      <c r="J17" s="86">
        <v>13</v>
      </c>
      <c r="K17" s="78">
        <f t="shared" si="1"/>
        <v>169</v>
      </c>
      <c r="L17" s="78"/>
      <c r="M17" s="81"/>
      <c r="N17" s="81"/>
      <c r="O17" s="81"/>
      <c r="P17" s="81"/>
      <c r="Q17" s="102"/>
    </row>
    <row r="18" spans="1:17" ht="15.75" customHeight="1">
      <c r="A18" s="83">
        <v>9043</v>
      </c>
      <c r="B18" s="86">
        <v>14</v>
      </c>
      <c r="C18" s="87">
        <f t="shared" si="0"/>
        <v>7.1428571428571425E-2</v>
      </c>
      <c r="D18" s="83"/>
      <c r="E18" s="92"/>
      <c r="F18" s="83"/>
      <c r="G18" s="83"/>
      <c r="H18" s="78"/>
      <c r="I18" s="83">
        <v>9043</v>
      </c>
      <c r="J18" s="86">
        <v>14</v>
      </c>
      <c r="K18" s="78">
        <f t="shared" si="1"/>
        <v>196</v>
      </c>
      <c r="L18" s="78"/>
      <c r="M18" s="81"/>
      <c r="N18" s="81"/>
      <c r="O18" s="81"/>
      <c r="P18" s="81"/>
      <c r="Q18" s="102"/>
    </row>
    <row r="19" spans="1:17" ht="15.75" customHeight="1">
      <c r="A19" s="83">
        <v>10140</v>
      </c>
      <c r="B19" s="86">
        <v>15</v>
      </c>
      <c r="C19" s="87">
        <f t="shared" si="0"/>
        <v>6.6666666666666666E-2</v>
      </c>
      <c r="D19" s="83"/>
      <c r="E19" s="92"/>
      <c r="F19" s="83"/>
      <c r="G19" s="83"/>
      <c r="H19" s="78"/>
      <c r="I19" s="83">
        <v>10140</v>
      </c>
      <c r="J19" s="86">
        <v>15</v>
      </c>
      <c r="K19" s="78">
        <f t="shared" si="1"/>
        <v>225</v>
      </c>
      <c r="L19" s="78"/>
      <c r="M19" s="81"/>
      <c r="N19" s="81"/>
      <c r="O19" s="81"/>
      <c r="P19" s="81"/>
      <c r="Q19" s="102"/>
    </row>
    <row r="20" spans="1:17" ht="15.75" customHeight="1">
      <c r="A20" s="83">
        <v>12924</v>
      </c>
      <c r="B20" s="86">
        <v>16</v>
      </c>
      <c r="C20" s="87">
        <f t="shared" si="0"/>
        <v>6.25E-2</v>
      </c>
      <c r="D20" s="83"/>
      <c r="E20" s="92"/>
      <c r="F20" s="83"/>
      <c r="G20" s="83"/>
      <c r="H20" s="78"/>
      <c r="I20" s="83">
        <v>12924</v>
      </c>
      <c r="J20" s="86">
        <v>16</v>
      </c>
      <c r="K20" s="78">
        <f t="shared" si="1"/>
        <v>256</v>
      </c>
      <c r="L20" s="78"/>
      <c r="M20" s="81"/>
      <c r="N20" s="81"/>
      <c r="O20" s="81"/>
      <c r="P20" s="81"/>
      <c r="Q20" s="102"/>
    </row>
    <row r="21" spans="1:17" ht="15.75" customHeight="1">
      <c r="A21" s="83">
        <v>18903</v>
      </c>
      <c r="B21" s="86">
        <v>17</v>
      </c>
      <c r="C21" s="87">
        <f t="shared" si="0"/>
        <v>5.8823529411764705E-2</v>
      </c>
      <c r="D21" s="83"/>
      <c r="E21" s="92"/>
      <c r="F21" s="83"/>
      <c r="G21" s="83"/>
      <c r="H21" s="78"/>
      <c r="I21" s="83">
        <v>18903</v>
      </c>
      <c r="J21" s="86">
        <v>17</v>
      </c>
      <c r="K21" s="78">
        <f t="shared" si="1"/>
        <v>289</v>
      </c>
      <c r="L21" s="78"/>
      <c r="M21" s="81"/>
      <c r="N21" s="81"/>
      <c r="O21" s="81"/>
      <c r="P21" s="81"/>
      <c r="Q21" s="102"/>
    </row>
    <row r="22" spans="1:17" ht="15.75" customHeight="1">
      <c r="A22" s="94">
        <v>18378</v>
      </c>
      <c r="B22" s="86">
        <v>18</v>
      </c>
      <c r="C22" s="87">
        <f t="shared" si="0"/>
        <v>5.5555555555555552E-2</v>
      </c>
      <c r="D22" s="78"/>
      <c r="E22" s="78"/>
      <c r="F22" s="78"/>
      <c r="G22" s="78"/>
      <c r="H22" s="78"/>
      <c r="I22" s="94">
        <v>18378</v>
      </c>
      <c r="J22" s="86">
        <v>18</v>
      </c>
      <c r="K22" s="78">
        <f t="shared" si="1"/>
        <v>324</v>
      </c>
      <c r="L22" s="78"/>
      <c r="M22" s="81"/>
      <c r="N22" s="81"/>
      <c r="O22" s="81"/>
      <c r="P22" s="81"/>
      <c r="Q22" s="102"/>
    </row>
    <row r="23" spans="1:17" ht="15.75" customHeight="1">
      <c r="A23" s="94">
        <v>5072</v>
      </c>
      <c r="B23" s="86">
        <v>19</v>
      </c>
      <c r="C23" s="87">
        <f t="shared" si="0"/>
        <v>5.2631578947368418E-2</v>
      </c>
      <c r="D23" s="78"/>
      <c r="E23" s="78"/>
      <c r="F23" s="78"/>
      <c r="G23" s="78"/>
      <c r="H23" s="78"/>
      <c r="I23" s="94">
        <v>5072</v>
      </c>
      <c r="J23" s="86">
        <v>19</v>
      </c>
      <c r="K23" s="78">
        <f t="shared" si="1"/>
        <v>361</v>
      </c>
      <c r="L23" s="78"/>
      <c r="M23" s="81"/>
      <c r="N23" s="81"/>
      <c r="O23" s="81"/>
      <c r="P23" s="81"/>
      <c r="Q23" s="102"/>
    </row>
    <row r="24" spans="1:17" ht="15.75" customHeight="1">
      <c r="A24" s="94">
        <v>13758</v>
      </c>
      <c r="B24" s="86">
        <v>20</v>
      </c>
      <c r="C24" s="87">
        <f t="shared" si="0"/>
        <v>0.05</v>
      </c>
      <c r="D24" s="78"/>
      <c r="E24" s="78"/>
      <c r="F24" s="78"/>
      <c r="G24" s="78"/>
      <c r="H24" s="78"/>
      <c r="I24" s="94">
        <v>13758</v>
      </c>
      <c r="J24" s="86">
        <v>20</v>
      </c>
      <c r="K24" s="78">
        <f t="shared" si="1"/>
        <v>400</v>
      </c>
      <c r="L24" s="78"/>
      <c r="M24" s="81"/>
      <c r="N24" s="81"/>
      <c r="O24" s="81"/>
      <c r="P24" s="81"/>
      <c r="Q24" s="102"/>
    </row>
    <row r="25" spans="1:17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102"/>
    </row>
    <row r="26" spans="1:17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102"/>
    </row>
    <row r="27" spans="1:17">
      <c r="A27" s="88" t="s">
        <v>198</v>
      </c>
      <c r="B27" s="81"/>
      <c r="C27" s="81"/>
      <c r="D27" s="81"/>
      <c r="E27" s="81"/>
      <c r="F27" s="81"/>
      <c r="G27" s="81"/>
      <c r="H27" s="81"/>
      <c r="I27" s="88" t="s">
        <v>199</v>
      </c>
      <c r="J27" s="81"/>
      <c r="K27" s="81"/>
      <c r="L27" s="81"/>
      <c r="M27" s="81"/>
      <c r="N27" s="81"/>
      <c r="O27" s="81"/>
      <c r="P27" s="81"/>
      <c r="Q27" s="102"/>
    </row>
    <row r="28" spans="1:17" ht="15.75" customHeight="1">
      <c r="A28" s="80" t="s">
        <v>6</v>
      </c>
      <c r="B28" s="84" t="s">
        <v>187</v>
      </c>
      <c r="C28" s="88" t="s">
        <v>200</v>
      </c>
      <c r="D28" s="81"/>
      <c r="E28" s="85">
        <f t="array" ref="E28:F32">LINEST(C29:C48,B29:B48,1,1)</f>
        <v>-7.1714117699088656E-2</v>
      </c>
      <c r="F28" s="85">
        <v>10.590511414781265</v>
      </c>
      <c r="G28" s="81"/>
      <c r="H28" s="81"/>
      <c r="I28" s="80" t="s">
        <v>6</v>
      </c>
      <c r="J28" s="84" t="s">
        <v>187</v>
      </c>
      <c r="K28" s="88" t="s">
        <v>201</v>
      </c>
      <c r="L28" s="88" t="s">
        <v>202</v>
      </c>
      <c r="M28" s="81"/>
      <c r="N28" s="85">
        <f t="array" ref="N28:O32">LINEST(L29:L48,K29:K48,1,1)</f>
        <v>-0.61365577821878947</v>
      </c>
      <c r="O28" s="85">
        <v>11.136487962220627</v>
      </c>
      <c r="P28" s="81"/>
      <c r="Q28" s="102"/>
    </row>
    <row r="29" spans="1:17" ht="15.75" customHeight="1">
      <c r="A29" s="83">
        <v>109624</v>
      </c>
      <c r="B29" s="86">
        <v>1</v>
      </c>
      <c r="C29" s="85">
        <f t="shared" ref="C29:C48" si="5">LN(A29)</f>
        <v>11.604811607626036</v>
      </c>
      <c r="D29" s="81"/>
      <c r="E29" s="85">
        <v>2.1548012123366846E-2</v>
      </c>
      <c r="F29" s="85">
        <v>0.25812683819833171</v>
      </c>
      <c r="G29" s="88" t="s">
        <v>189</v>
      </c>
      <c r="H29" s="81"/>
      <c r="I29" s="83">
        <v>109624</v>
      </c>
      <c r="J29" s="86">
        <v>1</v>
      </c>
      <c r="K29" s="85">
        <f t="shared" ref="K29:K48" si="6">LN(J29)</f>
        <v>0</v>
      </c>
      <c r="L29" s="85">
        <f t="shared" ref="L29:L48" si="7">LN(I29)</f>
        <v>11.604811607626036</v>
      </c>
      <c r="M29" s="81"/>
      <c r="N29" s="85">
        <v>0.13719902248274835</v>
      </c>
      <c r="O29" s="85">
        <v>0.31008915442627816</v>
      </c>
      <c r="P29" s="88" t="s">
        <v>189</v>
      </c>
      <c r="Q29" s="102"/>
    </row>
    <row r="30" spans="1:17" ht="15.75" customHeight="1">
      <c r="A30" s="83">
        <v>39331</v>
      </c>
      <c r="B30" s="86">
        <v>2</v>
      </c>
      <c r="C30" s="85">
        <f t="shared" si="5"/>
        <v>10.579768290986172</v>
      </c>
      <c r="D30" s="81"/>
      <c r="E30" s="90">
        <v>0.38093921680734549</v>
      </c>
      <c r="F30" s="85">
        <v>0.55567138634423896</v>
      </c>
      <c r="G30" s="90">
        <f>F30/AVERAGE(C29:C48)</f>
        <v>5.648494454205813E-2</v>
      </c>
      <c r="H30" s="81"/>
      <c r="I30" s="83">
        <v>39331</v>
      </c>
      <c r="J30" s="86">
        <v>2</v>
      </c>
      <c r="K30" s="85">
        <f t="shared" si="6"/>
        <v>0.69314718055994529</v>
      </c>
      <c r="L30" s="85">
        <f t="shared" si="7"/>
        <v>10.579768290986172</v>
      </c>
      <c r="M30" s="81"/>
      <c r="N30" s="90">
        <v>0.52638331235929214</v>
      </c>
      <c r="O30" s="85">
        <v>0.48603202426557751</v>
      </c>
      <c r="P30" s="90">
        <f>O30/AVERAGE(L29:L48)</f>
        <v>4.9405984563865836E-2</v>
      </c>
      <c r="Q30" s="102"/>
    </row>
    <row r="31" spans="1:17" ht="15.75" customHeight="1">
      <c r="A31" s="83">
        <v>36149</v>
      </c>
      <c r="B31" s="86">
        <v>3</v>
      </c>
      <c r="C31" s="85">
        <f t="shared" si="5"/>
        <v>10.495404564687007</v>
      </c>
      <c r="D31" s="81"/>
      <c r="E31" s="85">
        <v>11.076304764726665</v>
      </c>
      <c r="F31" s="85">
        <v>18</v>
      </c>
      <c r="G31" s="81"/>
      <c r="H31" s="81"/>
      <c r="I31" s="83">
        <v>36149</v>
      </c>
      <c r="J31" s="86">
        <v>3</v>
      </c>
      <c r="K31" s="85">
        <f t="shared" si="6"/>
        <v>1.0986122886681098</v>
      </c>
      <c r="L31" s="85">
        <f t="shared" si="7"/>
        <v>10.495404564687007</v>
      </c>
      <c r="M31" s="81"/>
      <c r="N31" s="85">
        <v>20.005417608205242</v>
      </c>
      <c r="O31" s="85">
        <v>18</v>
      </c>
      <c r="P31" s="81"/>
      <c r="Q31" s="102"/>
    </row>
    <row r="32" spans="1:17" ht="15.75" customHeight="1">
      <c r="A32" s="83">
        <v>28998</v>
      </c>
      <c r="B32" s="86">
        <v>4</v>
      </c>
      <c r="C32" s="85">
        <f t="shared" si="5"/>
        <v>10.274982141073139</v>
      </c>
      <c r="D32" s="81"/>
      <c r="E32" s="85">
        <v>3.4200382604435626</v>
      </c>
      <c r="F32" s="85">
        <v>5.5578724128311121</v>
      </c>
      <c r="G32" s="88" t="s">
        <v>203</v>
      </c>
      <c r="H32" s="81"/>
      <c r="I32" s="83">
        <v>28998</v>
      </c>
      <c r="J32" s="86">
        <v>4</v>
      </c>
      <c r="K32" s="85">
        <f t="shared" si="6"/>
        <v>1.3862943611198906</v>
      </c>
      <c r="L32" s="85">
        <f t="shared" si="7"/>
        <v>10.274982141073139</v>
      </c>
      <c r="M32" s="81"/>
      <c r="N32" s="85">
        <v>4.7258223582641659</v>
      </c>
      <c r="O32" s="85">
        <v>4.2520883150105089</v>
      </c>
      <c r="P32" s="88" t="s">
        <v>204</v>
      </c>
      <c r="Q32" s="102"/>
    </row>
    <row r="33" spans="1:17" ht="15.75" customHeight="1">
      <c r="A33" s="83">
        <v>16652</v>
      </c>
      <c r="B33" s="86">
        <v>5</v>
      </c>
      <c r="C33" s="85">
        <f t="shared" si="5"/>
        <v>9.7202856083148657</v>
      </c>
      <c r="D33" s="81"/>
      <c r="E33" s="85">
        <f t="shared" ref="E33:F33" si="8">E28/E29</f>
        <v>-3.3281082862080469</v>
      </c>
      <c r="F33" s="85">
        <f t="shared" si="8"/>
        <v>41.028323473454734</v>
      </c>
      <c r="G33" s="85">
        <f>EXP(F28)</f>
        <v>39755.815639665023</v>
      </c>
      <c r="H33" s="81"/>
      <c r="I33" s="83">
        <v>16652</v>
      </c>
      <c r="J33" s="86">
        <v>5</v>
      </c>
      <c r="K33" s="85">
        <f t="shared" si="6"/>
        <v>1.6094379124341003</v>
      </c>
      <c r="L33" s="85">
        <f t="shared" si="7"/>
        <v>9.7202856083148657</v>
      </c>
      <c r="M33" s="81"/>
      <c r="N33" s="85">
        <f t="shared" ref="N33:O33" si="9">N28/N29</f>
        <v>-4.4727416209977129</v>
      </c>
      <c r="O33" s="85">
        <f t="shared" si="9"/>
        <v>35.913826082776659</v>
      </c>
      <c r="P33" s="85">
        <f>EXP(O28)</f>
        <v>68630.200833494557</v>
      </c>
      <c r="Q33" s="102"/>
    </row>
    <row r="34" spans="1:17" ht="15.75" customHeight="1">
      <c r="A34" s="83">
        <v>19696</v>
      </c>
      <c r="B34" s="86">
        <v>6</v>
      </c>
      <c r="C34" s="85">
        <f t="shared" si="5"/>
        <v>9.8881708484242345</v>
      </c>
      <c r="D34" s="81"/>
      <c r="E34" s="85">
        <f>_xlfn.T.DIST.2T(-E33,$F$31)</f>
        <v>3.7416752128437434E-3</v>
      </c>
      <c r="F34" s="85">
        <f>_xlfn.T.DIST.2T(F33,$F$31)</f>
        <v>3.0954486435249781E-19</v>
      </c>
      <c r="G34" s="81"/>
      <c r="H34" s="81"/>
      <c r="I34" s="83">
        <v>19696</v>
      </c>
      <c r="J34" s="86">
        <v>6</v>
      </c>
      <c r="K34" s="85">
        <f t="shared" si="6"/>
        <v>1.791759469228055</v>
      </c>
      <c r="L34" s="85">
        <f t="shared" si="7"/>
        <v>9.8881708484242345</v>
      </c>
      <c r="M34" s="81"/>
      <c r="N34" s="85">
        <f>_xlfn.T.DIST.2T(-N33,$O$31)</f>
        <v>2.941706097694023E-4</v>
      </c>
      <c r="O34" s="85">
        <f>_xlfn.T.DIST.2T(O33,$O$31)</f>
        <v>3.307910898862612E-18</v>
      </c>
      <c r="P34" s="81"/>
      <c r="Q34" s="102"/>
    </row>
    <row r="35" spans="1:17" ht="15.75" customHeight="1">
      <c r="A35" s="83">
        <v>13031</v>
      </c>
      <c r="B35" s="86">
        <v>7</v>
      </c>
      <c r="C35" s="85">
        <f t="shared" si="5"/>
        <v>9.475086413144906</v>
      </c>
      <c r="D35" s="81"/>
      <c r="E35" s="81"/>
      <c r="F35" s="81"/>
      <c r="G35" s="81"/>
      <c r="H35" s="81"/>
      <c r="I35" s="83">
        <v>13031</v>
      </c>
      <c r="J35" s="86">
        <v>7</v>
      </c>
      <c r="K35" s="85">
        <f t="shared" si="6"/>
        <v>1.9459101490553132</v>
      </c>
      <c r="L35" s="85">
        <f t="shared" si="7"/>
        <v>9.475086413144906</v>
      </c>
      <c r="M35" s="81"/>
      <c r="N35" s="81"/>
      <c r="O35" s="81"/>
      <c r="P35" s="81"/>
      <c r="Q35" s="102"/>
    </row>
    <row r="36" spans="1:17" ht="15.75" customHeight="1">
      <c r="A36" s="83">
        <v>9855</v>
      </c>
      <c r="B36" s="86">
        <v>8</v>
      </c>
      <c r="C36" s="85">
        <f t="shared" si="5"/>
        <v>9.1957342195868197</v>
      </c>
      <c r="D36" s="81"/>
      <c r="E36" s="95" t="s">
        <v>192</v>
      </c>
      <c r="F36" s="93" t="s">
        <v>205</v>
      </c>
      <c r="G36" s="81"/>
      <c r="H36" s="81"/>
      <c r="I36" s="83">
        <v>9855</v>
      </c>
      <c r="J36" s="86">
        <v>8</v>
      </c>
      <c r="K36" s="85">
        <f t="shared" si="6"/>
        <v>2.0794415416798357</v>
      </c>
      <c r="L36" s="85">
        <f t="shared" si="7"/>
        <v>9.1957342195868197</v>
      </c>
      <c r="M36" s="81"/>
      <c r="N36" s="95" t="s">
        <v>192</v>
      </c>
      <c r="O36" s="93" t="s">
        <v>206</v>
      </c>
      <c r="P36" s="81"/>
      <c r="Q36" s="102"/>
    </row>
    <row r="37" spans="1:17" ht="15.75" customHeight="1">
      <c r="A37" s="83">
        <v>15691</v>
      </c>
      <c r="B37" s="86">
        <v>9</v>
      </c>
      <c r="C37" s="85">
        <f t="shared" si="5"/>
        <v>9.6608425785590679</v>
      </c>
      <c r="D37" s="81"/>
      <c r="E37" s="95" t="s">
        <v>195</v>
      </c>
      <c r="F37" s="96" t="s">
        <v>207</v>
      </c>
      <c r="G37" s="81"/>
      <c r="H37" s="81"/>
      <c r="I37" s="83">
        <v>15691</v>
      </c>
      <c r="J37" s="86">
        <v>9</v>
      </c>
      <c r="K37" s="85">
        <f t="shared" si="6"/>
        <v>2.1972245773362196</v>
      </c>
      <c r="L37" s="85">
        <f t="shared" si="7"/>
        <v>9.6608425785590679</v>
      </c>
      <c r="M37" s="81"/>
      <c r="N37" s="95" t="s">
        <v>195</v>
      </c>
      <c r="O37" s="97" t="s">
        <v>208</v>
      </c>
      <c r="P37" s="81"/>
      <c r="Q37" s="102"/>
    </row>
    <row r="38" spans="1:17" ht="15">
      <c r="A38" s="83">
        <v>39639</v>
      </c>
      <c r="B38" s="86">
        <v>10</v>
      </c>
      <c r="C38" s="85">
        <f t="shared" si="5"/>
        <v>10.587568761082327</v>
      </c>
      <c r="D38" s="81"/>
      <c r="E38" s="81"/>
      <c r="F38" s="81"/>
      <c r="G38" s="81"/>
      <c r="H38" s="81"/>
      <c r="I38" s="83">
        <v>39639</v>
      </c>
      <c r="J38" s="86">
        <v>10</v>
      </c>
      <c r="K38" s="85">
        <f t="shared" si="6"/>
        <v>2.3025850929940459</v>
      </c>
      <c r="L38" s="85">
        <f t="shared" si="7"/>
        <v>10.587568761082327</v>
      </c>
      <c r="M38" s="81"/>
      <c r="N38" s="81"/>
      <c r="O38" s="81"/>
      <c r="P38" s="81"/>
      <c r="Q38" s="102"/>
    </row>
    <row r="39" spans="1:17" ht="15">
      <c r="A39" s="83">
        <v>10640</v>
      </c>
      <c r="B39" s="86">
        <v>11</v>
      </c>
      <c r="C39" s="85">
        <f t="shared" si="5"/>
        <v>9.2723757628956349</v>
      </c>
      <c r="D39" s="81"/>
      <c r="E39" s="81"/>
      <c r="F39" s="81"/>
      <c r="G39" s="81"/>
      <c r="H39" s="81"/>
      <c r="I39" s="83">
        <v>10640</v>
      </c>
      <c r="J39" s="86">
        <v>11</v>
      </c>
      <c r="K39" s="85">
        <f t="shared" si="6"/>
        <v>2.3978952727983707</v>
      </c>
      <c r="L39" s="85">
        <f t="shared" si="7"/>
        <v>9.2723757628956349</v>
      </c>
      <c r="M39" s="81"/>
      <c r="N39" s="81"/>
      <c r="O39" s="81"/>
      <c r="P39" s="81"/>
      <c r="Q39" s="102"/>
    </row>
    <row r="40" spans="1:17" ht="15">
      <c r="A40" s="83">
        <v>23817</v>
      </c>
      <c r="B40" s="86">
        <v>12</v>
      </c>
      <c r="C40" s="85">
        <f t="shared" si="5"/>
        <v>10.078154890393224</v>
      </c>
      <c r="D40" s="81"/>
      <c r="E40" s="81"/>
      <c r="F40" s="81"/>
      <c r="G40" s="81"/>
      <c r="H40" s="81"/>
      <c r="I40" s="83">
        <v>23817</v>
      </c>
      <c r="J40" s="86">
        <v>12</v>
      </c>
      <c r="K40" s="85">
        <f t="shared" si="6"/>
        <v>2.4849066497880004</v>
      </c>
      <c r="L40" s="85">
        <f t="shared" si="7"/>
        <v>10.078154890393224</v>
      </c>
      <c r="M40" s="81"/>
      <c r="N40" s="81"/>
      <c r="O40" s="81"/>
      <c r="P40" s="81"/>
      <c r="Q40" s="102"/>
    </row>
    <row r="41" spans="1:17" ht="15">
      <c r="A41" s="83">
        <v>32513</v>
      </c>
      <c r="B41" s="86">
        <v>13</v>
      </c>
      <c r="C41" s="85">
        <f t="shared" si="5"/>
        <v>10.389395288339156</v>
      </c>
      <c r="D41" s="81"/>
      <c r="E41" s="81"/>
      <c r="F41" s="81"/>
      <c r="G41" s="81"/>
      <c r="H41" s="81"/>
      <c r="I41" s="83">
        <v>32513</v>
      </c>
      <c r="J41" s="86">
        <v>13</v>
      </c>
      <c r="K41" s="85">
        <f t="shared" si="6"/>
        <v>2.5649493574615367</v>
      </c>
      <c r="L41" s="85">
        <f t="shared" si="7"/>
        <v>10.389395288339156</v>
      </c>
      <c r="M41" s="81"/>
      <c r="N41" s="81"/>
      <c r="O41" s="81"/>
      <c r="P41" s="81"/>
      <c r="Q41" s="102"/>
    </row>
    <row r="42" spans="1:17" ht="15">
      <c r="A42" s="83">
        <v>9043</v>
      </c>
      <c r="B42" s="86">
        <v>14</v>
      </c>
      <c r="C42" s="85">
        <f t="shared" si="5"/>
        <v>9.1097462567404808</v>
      </c>
      <c r="D42" s="81"/>
      <c r="E42" s="81"/>
      <c r="F42" s="81"/>
      <c r="G42" s="81"/>
      <c r="H42" s="81"/>
      <c r="I42" s="83">
        <v>9043</v>
      </c>
      <c r="J42" s="86">
        <v>14</v>
      </c>
      <c r="K42" s="85">
        <f t="shared" si="6"/>
        <v>2.6390573296152584</v>
      </c>
      <c r="L42" s="85">
        <f t="shared" si="7"/>
        <v>9.1097462567404808</v>
      </c>
      <c r="M42" s="81"/>
      <c r="N42" s="81"/>
      <c r="O42" s="81"/>
      <c r="P42" s="81"/>
      <c r="Q42" s="102"/>
    </row>
    <row r="43" spans="1:17" ht="15">
      <c r="A43" s="83">
        <v>10140</v>
      </c>
      <c r="B43" s="86">
        <v>15</v>
      </c>
      <c r="C43" s="85">
        <f t="shared" si="5"/>
        <v>9.2242432771451739</v>
      </c>
      <c r="D43" s="81"/>
      <c r="E43" s="81"/>
      <c r="F43" s="81"/>
      <c r="G43" s="81"/>
      <c r="H43" s="81"/>
      <c r="I43" s="83">
        <v>10140</v>
      </c>
      <c r="J43" s="86">
        <v>15</v>
      </c>
      <c r="K43" s="85">
        <f t="shared" si="6"/>
        <v>2.7080502011022101</v>
      </c>
      <c r="L43" s="85">
        <f t="shared" si="7"/>
        <v>9.2242432771451739</v>
      </c>
      <c r="M43" s="81"/>
      <c r="N43" s="81"/>
      <c r="O43" s="81"/>
      <c r="P43" s="81"/>
      <c r="Q43" s="102"/>
    </row>
    <row r="44" spans="1:17" ht="15">
      <c r="A44" s="83">
        <v>12924</v>
      </c>
      <c r="B44" s="86">
        <v>16</v>
      </c>
      <c r="C44" s="85">
        <f t="shared" si="5"/>
        <v>9.4668413269443885</v>
      </c>
      <c r="D44" s="81"/>
      <c r="E44" s="81"/>
      <c r="F44" s="81"/>
      <c r="G44" s="81"/>
      <c r="H44" s="81"/>
      <c r="I44" s="83">
        <v>12924</v>
      </c>
      <c r="J44" s="86">
        <v>16</v>
      </c>
      <c r="K44" s="85">
        <f t="shared" si="6"/>
        <v>2.7725887222397811</v>
      </c>
      <c r="L44" s="85">
        <f t="shared" si="7"/>
        <v>9.4668413269443885</v>
      </c>
      <c r="M44" s="81"/>
      <c r="N44" s="81"/>
      <c r="O44" s="81"/>
      <c r="P44" s="81"/>
      <c r="Q44" s="102"/>
    </row>
    <row r="45" spans="1:17" ht="15">
      <c r="A45" s="83">
        <v>18903</v>
      </c>
      <c r="B45" s="86">
        <v>17</v>
      </c>
      <c r="C45" s="85">
        <f t="shared" si="5"/>
        <v>9.847075918610166</v>
      </c>
      <c r="D45" s="81"/>
      <c r="E45" s="81"/>
      <c r="F45" s="81"/>
      <c r="G45" s="81"/>
      <c r="H45" s="81"/>
      <c r="I45" s="83">
        <v>18903</v>
      </c>
      <c r="J45" s="86">
        <v>17</v>
      </c>
      <c r="K45" s="85">
        <f t="shared" si="6"/>
        <v>2.8332133440562162</v>
      </c>
      <c r="L45" s="85">
        <f t="shared" si="7"/>
        <v>9.847075918610166</v>
      </c>
      <c r="M45" s="81"/>
      <c r="N45" s="81"/>
      <c r="O45" s="81"/>
      <c r="P45" s="81"/>
      <c r="Q45" s="102"/>
    </row>
    <row r="46" spans="1:17" ht="15">
      <c r="A46" s="94">
        <v>18378</v>
      </c>
      <c r="B46" s="86">
        <v>18</v>
      </c>
      <c r="C46" s="85">
        <f t="shared" si="5"/>
        <v>9.8189095760608307</v>
      </c>
      <c r="D46" s="81"/>
      <c r="E46" s="81"/>
      <c r="F46" s="81"/>
      <c r="G46" s="81"/>
      <c r="H46" s="81"/>
      <c r="I46" s="94">
        <v>18378</v>
      </c>
      <c r="J46" s="86">
        <v>18</v>
      </c>
      <c r="K46" s="85">
        <f t="shared" si="6"/>
        <v>2.8903717578961645</v>
      </c>
      <c r="L46" s="85">
        <f t="shared" si="7"/>
        <v>9.8189095760608307</v>
      </c>
      <c r="M46" s="81"/>
      <c r="N46" s="81"/>
      <c r="O46" s="81"/>
      <c r="P46" s="81"/>
      <c r="Q46" s="102"/>
    </row>
    <row r="47" spans="1:17" ht="15">
      <c r="A47" s="94">
        <v>5072</v>
      </c>
      <c r="B47" s="86">
        <v>19</v>
      </c>
      <c r="C47" s="85">
        <f t="shared" si="5"/>
        <v>8.5314904961170619</v>
      </c>
      <c r="D47" s="81"/>
      <c r="E47" s="81"/>
      <c r="F47" s="81"/>
      <c r="G47" s="81"/>
      <c r="H47" s="81"/>
      <c r="I47" s="94">
        <v>5072</v>
      </c>
      <c r="J47" s="86">
        <v>19</v>
      </c>
      <c r="K47" s="85">
        <f t="shared" si="6"/>
        <v>2.9444389791664403</v>
      </c>
      <c r="L47" s="85">
        <f t="shared" si="7"/>
        <v>8.5314904961170619</v>
      </c>
      <c r="M47" s="81"/>
      <c r="N47" s="81"/>
      <c r="O47" s="81"/>
      <c r="P47" s="81"/>
      <c r="Q47" s="102"/>
    </row>
    <row r="48" spans="1:17" ht="15">
      <c r="A48" s="94">
        <v>13758</v>
      </c>
      <c r="B48" s="86">
        <v>20</v>
      </c>
      <c r="C48" s="85">
        <f t="shared" si="5"/>
        <v>9.5293757520859597</v>
      </c>
      <c r="D48" s="81"/>
      <c r="E48" s="81"/>
      <c r="F48" s="81"/>
      <c r="G48" s="81"/>
      <c r="H48" s="81"/>
      <c r="I48" s="94">
        <v>13758</v>
      </c>
      <c r="J48" s="86">
        <v>20</v>
      </c>
      <c r="K48" s="85">
        <f t="shared" si="6"/>
        <v>2.9957322735539909</v>
      </c>
      <c r="L48" s="85">
        <f t="shared" si="7"/>
        <v>9.5293757520859597</v>
      </c>
      <c r="M48" s="81"/>
      <c r="N48" s="81"/>
      <c r="O48" s="81"/>
      <c r="P48" s="81"/>
      <c r="Q48" s="102"/>
    </row>
    <row r="49" spans="1:17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102"/>
    </row>
    <row r="50" spans="1:17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102"/>
    </row>
    <row r="51" spans="1:17" ht="90">
      <c r="A51" s="80" t="s">
        <v>209</v>
      </c>
      <c r="B51" s="82"/>
      <c r="C51" s="82"/>
      <c r="D51" s="83"/>
      <c r="E51" s="82"/>
      <c r="F51" s="83"/>
      <c r="G51" s="83"/>
      <c r="H51" s="78"/>
      <c r="I51" s="78"/>
      <c r="J51" s="78"/>
      <c r="K51" s="78"/>
      <c r="L51" s="78"/>
      <c r="M51" s="81"/>
      <c r="N51" s="81"/>
      <c r="O51" s="81"/>
      <c r="P51" s="81"/>
      <c r="Q51" s="102"/>
    </row>
    <row r="52" spans="1:17" ht="15">
      <c r="A52" s="80" t="s">
        <v>185</v>
      </c>
      <c r="B52" s="82"/>
      <c r="C52" s="82"/>
      <c r="D52" s="83"/>
      <c r="E52" s="82"/>
      <c r="F52" s="83"/>
      <c r="G52" s="83"/>
      <c r="H52" s="78"/>
      <c r="I52" s="79" t="s">
        <v>186</v>
      </c>
      <c r="J52" s="78"/>
      <c r="K52" s="78"/>
      <c r="L52" s="78"/>
      <c r="M52" s="81"/>
      <c r="N52" s="81"/>
      <c r="O52" s="81"/>
      <c r="P52" s="81"/>
      <c r="Q52" s="102"/>
    </row>
    <row r="53" spans="1:17" ht="15">
      <c r="A53" s="80" t="s">
        <v>6</v>
      </c>
      <c r="B53" s="84" t="s">
        <v>187</v>
      </c>
      <c r="C53" s="82" t="s">
        <v>188</v>
      </c>
      <c r="D53" s="83"/>
      <c r="E53" s="82">
        <f t="array" ref="E53:F57">LINEST(A54:A73,C54:C73,1,1)</f>
        <v>-8626700.7434757799</v>
      </c>
      <c r="F53" s="83">
        <v>11423249.523755688</v>
      </c>
      <c r="G53" s="83"/>
      <c r="H53" s="78"/>
      <c r="I53" s="80" t="s">
        <v>6</v>
      </c>
      <c r="J53" s="84" t="s">
        <v>187</v>
      </c>
      <c r="K53" s="79" t="s">
        <v>188</v>
      </c>
      <c r="L53" s="78"/>
      <c r="M53" s="85">
        <f t="array" ref="M53:O57">LINEST(I54:I73,J54:K73,1,1)</f>
        <v>-27194.048034859879</v>
      </c>
      <c r="N53" s="85">
        <v>913703.41211551626</v>
      </c>
      <c r="O53" s="85">
        <v>4179878.4207894746</v>
      </c>
      <c r="P53" s="81"/>
      <c r="Q53" s="102"/>
    </row>
    <row r="54" spans="1:17" ht="15">
      <c r="A54" s="98">
        <v>5141415.5999999996</v>
      </c>
      <c r="B54" s="86">
        <v>1</v>
      </c>
      <c r="C54" s="87">
        <f t="shared" ref="C54:C73" si="10">1/B54</f>
        <v>1</v>
      </c>
      <c r="D54" s="83"/>
      <c r="E54" s="82">
        <v>2552317.9907638403</v>
      </c>
      <c r="F54" s="83">
        <v>721038.47044764832</v>
      </c>
      <c r="G54" s="83" t="s">
        <v>189</v>
      </c>
      <c r="H54" s="78"/>
      <c r="I54" s="98">
        <v>5141415.5999999996</v>
      </c>
      <c r="J54" s="86">
        <v>1</v>
      </c>
      <c r="K54" s="78">
        <f t="shared" ref="K54:K73" si="11">J54^2</f>
        <v>1</v>
      </c>
      <c r="L54" s="78"/>
      <c r="M54" s="85">
        <v>17446.959603085084</v>
      </c>
      <c r="N54" s="85">
        <v>377193.42130486923</v>
      </c>
      <c r="O54" s="85">
        <v>1719866.7307232679</v>
      </c>
      <c r="P54" s="88" t="s">
        <v>189</v>
      </c>
      <c r="Q54" s="102"/>
    </row>
    <row r="55" spans="1:17" ht="15">
      <c r="A55" s="98">
        <v>5337437.2</v>
      </c>
      <c r="B55" s="86">
        <v>2</v>
      </c>
      <c r="C55" s="87">
        <f t="shared" si="10"/>
        <v>0.5</v>
      </c>
      <c r="D55" s="83"/>
      <c r="E55" s="82">
        <v>0.38825542007207187</v>
      </c>
      <c r="F55" s="83">
        <v>2486351.691966549</v>
      </c>
      <c r="G55" s="89">
        <f>F55/AVERAGE(A54:A73)</f>
        <v>0.25187380400175008</v>
      </c>
      <c r="H55" s="78"/>
      <c r="I55" s="98">
        <v>5337437.2</v>
      </c>
      <c r="J55" s="86">
        <v>2</v>
      </c>
      <c r="K55" s="78">
        <f t="shared" si="11"/>
        <v>4</v>
      </c>
      <c r="L55" s="78"/>
      <c r="M55" s="85">
        <v>0.50055633221340468</v>
      </c>
      <c r="N55" s="85">
        <v>2311705.6879543266</v>
      </c>
      <c r="O55" s="85" t="e">
        <v>#N/A</v>
      </c>
      <c r="P55" s="90">
        <f>N55/AVERAGE(I54:I73)</f>
        <v>0.23418171582034283</v>
      </c>
      <c r="Q55" s="102"/>
    </row>
    <row r="56" spans="1:17" ht="15">
      <c r="A56" s="98">
        <v>5986499.9000000004</v>
      </c>
      <c r="B56" s="86">
        <v>3</v>
      </c>
      <c r="C56" s="87">
        <f t="shared" si="10"/>
        <v>0.33333333333333331</v>
      </c>
      <c r="D56" s="83"/>
      <c r="E56" s="82">
        <v>11.424044921036565</v>
      </c>
      <c r="F56" s="83">
        <v>18</v>
      </c>
      <c r="G56" s="83"/>
      <c r="H56" s="78"/>
      <c r="I56" s="98">
        <v>5986499.9000000004</v>
      </c>
      <c r="J56" s="86">
        <v>3</v>
      </c>
      <c r="K56" s="78">
        <f t="shared" si="11"/>
        <v>9</v>
      </c>
      <c r="L56" s="78"/>
      <c r="M56" s="85">
        <v>8.5189363650755521</v>
      </c>
      <c r="N56" s="85">
        <v>17</v>
      </c>
      <c r="O56" s="85" t="e">
        <v>#N/A</v>
      </c>
      <c r="P56" s="81"/>
      <c r="Q56" s="102"/>
    </row>
    <row r="57" spans="1:17" ht="15">
      <c r="A57" s="98">
        <v>6877759.2000000002</v>
      </c>
      <c r="B57" s="86">
        <v>4</v>
      </c>
      <c r="C57" s="87">
        <f t="shared" si="10"/>
        <v>0.25</v>
      </c>
      <c r="D57" s="83"/>
      <c r="E57" s="82">
        <v>70622814365085.109</v>
      </c>
      <c r="F57" s="83">
        <v>111275005250608.58</v>
      </c>
      <c r="G57" s="83"/>
      <c r="H57" s="78"/>
      <c r="I57" s="98">
        <v>6877759.2000000002</v>
      </c>
      <c r="J57" s="86">
        <v>4</v>
      </c>
      <c r="K57" s="78">
        <f t="shared" si="11"/>
        <v>16</v>
      </c>
      <c r="L57" s="78"/>
      <c r="M57" s="85">
        <v>91050105424447.125</v>
      </c>
      <c r="N57" s="85">
        <v>90847714191246.563</v>
      </c>
      <c r="O57" s="85" t="e">
        <v>#N/A</v>
      </c>
      <c r="P57" s="81"/>
      <c r="Q57" s="102"/>
    </row>
    <row r="58" spans="1:17" ht="15">
      <c r="A58" s="98">
        <v>7520684.2000000002</v>
      </c>
      <c r="B58" s="86">
        <v>5</v>
      </c>
      <c r="C58" s="87">
        <f t="shared" si="10"/>
        <v>0.2</v>
      </c>
      <c r="D58" s="83" t="s">
        <v>190</v>
      </c>
      <c r="E58" s="82">
        <f t="shared" ref="E58:F58" si="12">E53/E54</f>
        <v>-3.3799474731179715</v>
      </c>
      <c r="F58" s="82">
        <f t="shared" si="12"/>
        <v>15.842773987723147</v>
      </c>
      <c r="G58" s="83"/>
      <c r="H58" s="78"/>
      <c r="I58" s="98">
        <v>7520684.2000000002</v>
      </c>
      <c r="J58" s="86">
        <v>5</v>
      </c>
      <c r="K58" s="78">
        <f t="shared" si="11"/>
        <v>25</v>
      </c>
      <c r="L58" s="78"/>
      <c r="M58" s="85">
        <f t="shared" ref="M58:O58" si="13">M53/M54</f>
        <v>-1.5586697426668685</v>
      </c>
      <c r="N58" s="85">
        <f t="shared" si="13"/>
        <v>2.422373669600693</v>
      </c>
      <c r="O58" s="85">
        <f t="shared" si="13"/>
        <v>2.4303501812792669</v>
      </c>
      <c r="P58" s="81"/>
      <c r="Q58" s="102"/>
    </row>
    <row r="59" spans="1:17" ht="15">
      <c r="A59" s="98">
        <v>8528558</v>
      </c>
      <c r="B59" s="86">
        <v>6</v>
      </c>
      <c r="C59" s="87">
        <f t="shared" si="10"/>
        <v>0.16666666666666666</v>
      </c>
      <c r="D59" s="83" t="s">
        <v>191</v>
      </c>
      <c r="E59" s="82">
        <f>_xlfn.T.DIST.2T(-E58,$F$7)</f>
        <v>3.3363943413072016E-3</v>
      </c>
      <c r="F59" s="82">
        <f>_xlfn.T.DIST.2T(F58,$F$7)</f>
        <v>5.1469071287744165E-12</v>
      </c>
      <c r="G59" s="83"/>
      <c r="H59" s="78"/>
      <c r="I59" s="98">
        <v>8528558</v>
      </c>
      <c r="J59" s="86">
        <v>6</v>
      </c>
      <c r="K59" s="78">
        <f t="shared" si="11"/>
        <v>36</v>
      </c>
      <c r="L59" s="78"/>
      <c r="M59" s="91">
        <f>_xlfn.T.DIST.2T(-M58,$N$7)</f>
        <v>0.13749549722135279</v>
      </c>
      <c r="N59" s="91">
        <f t="shared" ref="N59:O59" si="14">_xlfn.T.DIST.2T(N58,$N$7)</f>
        <v>2.6880305022102514E-2</v>
      </c>
      <c r="O59" s="91">
        <f t="shared" si="14"/>
        <v>2.6448711799538355E-2</v>
      </c>
      <c r="P59" s="81"/>
      <c r="Q59" s="102"/>
    </row>
    <row r="60" spans="1:17" ht="15">
      <c r="A60" s="98">
        <v>10671926.9</v>
      </c>
      <c r="B60" s="86">
        <v>7</v>
      </c>
      <c r="C60" s="87">
        <f t="shared" si="10"/>
        <v>0.14285714285714285</v>
      </c>
      <c r="D60" s="83"/>
      <c r="E60" s="82"/>
      <c r="F60" s="83"/>
      <c r="G60" s="83"/>
      <c r="H60" s="78"/>
      <c r="I60" s="98">
        <v>10671926.9</v>
      </c>
      <c r="J60" s="86">
        <v>7</v>
      </c>
      <c r="K60" s="78">
        <f t="shared" si="11"/>
        <v>49</v>
      </c>
      <c r="L60" s="78"/>
      <c r="M60" s="81"/>
      <c r="N60" s="81"/>
      <c r="O60" s="81"/>
      <c r="P60" s="81"/>
      <c r="Q60" s="102"/>
    </row>
    <row r="61" spans="1:17" ht="15">
      <c r="A61" s="98">
        <v>10926206</v>
      </c>
      <c r="B61" s="86">
        <v>8</v>
      </c>
      <c r="C61" s="87">
        <f t="shared" si="10"/>
        <v>0.125</v>
      </c>
      <c r="D61" s="83"/>
      <c r="E61" s="92" t="s">
        <v>192</v>
      </c>
      <c r="F61" s="83" t="s">
        <v>210</v>
      </c>
      <c r="G61" s="83"/>
      <c r="H61" s="78"/>
      <c r="I61" s="98">
        <v>10926206</v>
      </c>
      <c r="J61" s="86">
        <v>8</v>
      </c>
      <c r="K61" s="78">
        <f t="shared" si="11"/>
        <v>64</v>
      </c>
      <c r="L61" s="78"/>
      <c r="M61" s="81"/>
      <c r="N61" s="95" t="s">
        <v>192</v>
      </c>
      <c r="O61" s="88" t="s">
        <v>211</v>
      </c>
      <c r="P61" s="81"/>
      <c r="Q61" s="102"/>
    </row>
    <row r="62" spans="1:17" ht="15">
      <c r="A62" s="98">
        <v>12158205.199999999</v>
      </c>
      <c r="B62" s="86">
        <v>9</v>
      </c>
      <c r="C62" s="87">
        <f t="shared" si="10"/>
        <v>0.1111111111111111</v>
      </c>
      <c r="D62" s="83"/>
      <c r="E62" s="92" t="s">
        <v>195</v>
      </c>
      <c r="F62" s="83" t="s">
        <v>212</v>
      </c>
      <c r="G62" s="83"/>
      <c r="H62" s="78"/>
      <c r="I62" s="98">
        <v>12158205.199999999</v>
      </c>
      <c r="J62" s="86">
        <v>9</v>
      </c>
      <c r="K62" s="78">
        <f t="shared" si="11"/>
        <v>81</v>
      </c>
      <c r="L62" s="78"/>
      <c r="M62" s="81"/>
      <c r="N62" s="95" t="s">
        <v>195</v>
      </c>
      <c r="O62" s="88" t="s">
        <v>213</v>
      </c>
      <c r="P62" s="81"/>
      <c r="Q62" s="102"/>
    </row>
    <row r="63" spans="1:17" ht="15">
      <c r="A63" s="98">
        <v>10127805.800000001</v>
      </c>
      <c r="B63" s="86">
        <v>10</v>
      </c>
      <c r="C63" s="87">
        <f t="shared" si="10"/>
        <v>0.1</v>
      </c>
      <c r="D63" s="83"/>
      <c r="E63" s="92"/>
      <c r="F63" s="83"/>
      <c r="G63" s="83"/>
      <c r="H63" s="78"/>
      <c r="I63" s="98">
        <v>10127805.800000001</v>
      </c>
      <c r="J63" s="86">
        <v>10</v>
      </c>
      <c r="K63" s="78">
        <f t="shared" si="11"/>
        <v>100</v>
      </c>
      <c r="L63" s="78"/>
      <c r="M63" s="81"/>
      <c r="N63" s="81"/>
      <c r="O63" s="81"/>
      <c r="P63" s="81"/>
      <c r="Q63" s="102"/>
    </row>
    <row r="64" spans="1:17" ht="15">
      <c r="A64" s="98">
        <v>10851199.199999999</v>
      </c>
      <c r="B64" s="86">
        <v>11</v>
      </c>
      <c r="C64" s="87">
        <f t="shared" si="10"/>
        <v>9.0909090909090912E-2</v>
      </c>
      <c r="D64" s="83"/>
      <c r="E64" s="92"/>
      <c r="F64" s="83"/>
      <c r="G64" s="83"/>
      <c r="H64" s="78"/>
      <c r="I64" s="98">
        <v>10851199.199999999</v>
      </c>
      <c r="J64" s="86">
        <v>11</v>
      </c>
      <c r="K64" s="78">
        <f t="shared" si="11"/>
        <v>121</v>
      </c>
      <c r="L64" s="78"/>
      <c r="M64" s="81"/>
      <c r="N64" s="81"/>
      <c r="O64" s="81"/>
      <c r="P64" s="81"/>
      <c r="Q64" s="102"/>
    </row>
    <row r="65" spans="1:17" ht="15">
      <c r="A65" s="98">
        <v>14248455.4</v>
      </c>
      <c r="B65" s="86">
        <v>12</v>
      </c>
      <c r="C65" s="87">
        <f t="shared" si="10"/>
        <v>8.3333333333333329E-2</v>
      </c>
      <c r="D65" s="83"/>
      <c r="E65" s="92"/>
      <c r="F65" s="83"/>
      <c r="G65" s="83"/>
      <c r="H65" s="78"/>
      <c r="I65" s="98">
        <v>14248455.4</v>
      </c>
      <c r="J65" s="86">
        <v>12</v>
      </c>
      <c r="K65" s="78">
        <f t="shared" si="11"/>
        <v>144</v>
      </c>
      <c r="L65" s="78"/>
      <c r="M65" s="81"/>
      <c r="N65" s="81"/>
      <c r="O65" s="81"/>
      <c r="P65" s="81"/>
      <c r="Q65" s="102"/>
    </row>
    <row r="66" spans="1:17" ht="15">
      <c r="A66" s="98">
        <v>15160046.4</v>
      </c>
      <c r="B66" s="86">
        <v>13</v>
      </c>
      <c r="C66" s="87">
        <f t="shared" si="10"/>
        <v>7.6923076923076927E-2</v>
      </c>
      <c r="D66" s="83"/>
      <c r="E66" s="92"/>
      <c r="F66" s="83"/>
      <c r="G66" s="83"/>
      <c r="H66" s="78"/>
      <c r="I66" s="98">
        <v>15160046.4</v>
      </c>
      <c r="J66" s="86">
        <v>13</v>
      </c>
      <c r="K66" s="78">
        <f t="shared" si="11"/>
        <v>169</v>
      </c>
      <c r="L66" s="78"/>
      <c r="M66" s="81"/>
      <c r="N66" s="81"/>
      <c r="O66" s="81"/>
      <c r="P66" s="81"/>
      <c r="Q66" s="102"/>
    </row>
    <row r="67" spans="1:17" ht="15">
      <c r="A67" s="98">
        <v>6517035.4000000004</v>
      </c>
      <c r="B67" s="86">
        <v>14</v>
      </c>
      <c r="C67" s="87">
        <f t="shared" si="10"/>
        <v>7.1428571428571425E-2</v>
      </c>
      <c r="D67" s="83"/>
      <c r="E67" s="92"/>
      <c r="F67" s="83"/>
      <c r="G67" s="83"/>
      <c r="H67" s="78"/>
      <c r="I67" s="98">
        <v>6517035.4000000004</v>
      </c>
      <c r="J67" s="86">
        <v>14</v>
      </c>
      <c r="K67" s="78">
        <f t="shared" si="11"/>
        <v>196</v>
      </c>
      <c r="L67" s="78"/>
      <c r="M67" s="81"/>
      <c r="N67" s="81"/>
      <c r="O67" s="81"/>
      <c r="P67" s="81"/>
      <c r="Q67" s="102"/>
    </row>
    <row r="68" spans="1:17" ht="15">
      <c r="A68" s="98">
        <v>6825385</v>
      </c>
      <c r="B68" s="86">
        <v>15</v>
      </c>
      <c r="C68" s="87">
        <f t="shared" si="10"/>
        <v>6.6666666666666666E-2</v>
      </c>
      <c r="D68" s="83"/>
      <c r="E68" s="92"/>
      <c r="F68" s="83"/>
      <c r="G68" s="83"/>
      <c r="H68" s="78"/>
      <c r="I68" s="98">
        <v>6825385</v>
      </c>
      <c r="J68" s="86">
        <v>15</v>
      </c>
      <c r="K68" s="78">
        <f t="shared" si="11"/>
        <v>225</v>
      </c>
      <c r="L68" s="78"/>
      <c r="M68" s="81"/>
      <c r="N68" s="81"/>
      <c r="O68" s="81"/>
      <c r="P68" s="81"/>
      <c r="Q68" s="102"/>
    </row>
    <row r="69" spans="1:17" ht="15">
      <c r="A69" s="98">
        <v>10392119.5</v>
      </c>
      <c r="B69" s="86">
        <v>16</v>
      </c>
      <c r="C69" s="87">
        <f t="shared" si="10"/>
        <v>6.25E-2</v>
      </c>
      <c r="D69" s="83"/>
      <c r="E69" s="92"/>
      <c r="F69" s="83"/>
      <c r="G69" s="83"/>
      <c r="H69" s="78"/>
      <c r="I69" s="98">
        <v>10392119.5</v>
      </c>
      <c r="J69" s="86">
        <v>16</v>
      </c>
      <c r="K69" s="78">
        <f t="shared" si="11"/>
        <v>256</v>
      </c>
      <c r="L69" s="78"/>
      <c r="M69" s="81"/>
      <c r="N69" s="81"/>
      <c r="O69" s="81"/>
      <c r="P69" s="81"/>
      <c r="Q69" s="102"/>
    </row>
    <row r="70" spans="1:17" ht="15">
      <c r="A70" s="98">
        <v>12415204.300000001</v>
      </c>
      <c r="B70" s="86">
        <v>17</v>
      </c>
      <c r="C70" s="87">
        <f t="shared" si="10"/>
        <v>5.8823529411764705E-2</v>
      </c>
      <c r="D70" s="83"/>
      <c r="E70" s="92"/>
      <c r="F70" s="83"/>
      <c r="G70" s="83"/>
      <c r="H70" s="78"/>
      <c r="I70" s="98">
        <v>12415204.300000001</v>
      </c>
      <c r="J70" s="86">
        <v>17</v>
      </c>
      <c r="K70" s="78">
        <f t="shared" si="11"/>
        <v>289</v>
      </c>
      <c r="L70" s="78"/>
      <c r="M70" s="81"/>
      <c r="N70" s="81"/>
      <c r="O70" s="81"/>
      <c r="P70" s="81"/>
      <c r="Q70" s="102"/>
    </row>
    <row r="71" spans="1:17" ht="15">
      <c r="A71" s="98">
        <v>11439859.300000001</v>
      </c>
      <c r="B71" s="86">
        <v>18</v>
      </c>
      <c r="C71" s="87">
        <f t="shared" si="10"/>
        <v>5.5555555555555552E-2</v>
      </c>
      <c r="D71" s="78"/>
      <c r="E71" s="78"/>
      <c r="F71" s="78"/>
      <c r="G71" s="78"/>
      <c r="H71" s="78"/>
      <c r="I71" s="98">
        <v>11439859.300000001</v>
      </c>
      <c r="J71" s="86">
        <v>18</v>
      </c>
      <c r="K71" s="78">
        <f t="shared" si="11"/>
        <v>324</v>
      </c>
      <c r="L71" s="78"/>
      <c r="M71" s="81"/>
      <c r="N71" s="81"/>
      <c r="O71" s="81"/>
      <c r="P71" s="81"/>
      <c r="Q71" s="102"/>
    </row>
    <row r="72" spans="1:17" ht="15">
      <c r="A72" s="98">
        <v>12376568.1</v>
      </c>
      <c r="B72" s="86">
        <v>19</v>
      </c>
      <c r="C72" s="87">
        <f t="shared" si="10"/>
        <v>5.2631578947368418E-2</v>
      </c>
      <c r="D72" s="78"/>
      <c r="E72" s="78"/>
      <c r="F72" s="78"/>
      <c r="G72" s="78"/>
      <c r="H72" s="78"/>
      <c r="I72" s="98">
        <v>12376568.1</v>
      </c>
      <c r="J72" s="86">
        <v>19</v>
      </c>
      <c r="K72" s="78">
        <f t="shared" si="11"/>
        <v>361</v>
      </c>
      <c r="L72" s="78"/>
      <c r="M72" s="81"/>
      <c r="N72" s="81"/>
      <c r="O72" s="81"/>
      <c r="P72" s="81"/>
      <c r="Q72" s="102"/>
    </row>
    <row r="73" spans="1:17" ht="15">
      <c r="A73" s="98">
        <v>13925996.5</v>
      </c>
      <c r="B73" s="86">
        <v>20</v>
      </c>
      <c r="C73" s="87">
        <f t="shared" si="10"/>
        <v>0.05</v>
      </c>
      <c r="D73" s="78"/>
      <c r="E73" s="78"/>
      <c r="F73" s="78"/>
      <c r="G73" s="78"/>
      <c r="H73" s="78"/>
      <c r="I73" s="98">
        <v>13925996.5</v>
      </c>
      <c r="J73" s="86">
        <v>20</v>
      </c>
      <c r="K73" s="78">
        <f t="shared" si="11"/>
        <v>400</v>
      </c>
      <c r="L73" s="78"/>
      <c r="M73" s="81"/>
      <c r="N73" s="81"/>
      <c r="O73" s="81"/>
      <c r="P73" s="81"/>
      <c r="Q73" s="102"/>
    </row>
    <row r="74" spans="1:17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102"/>
    </row>
    <row r="75" spans="1:17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102"/>
    </row>
    <row r="76" spans="1:17" ht="12.75">
      <c r="A76" s="88" t="s">
        <v>198</v>
      </c>
      <c r="B76" s="81"/>
      <c r="C76" s="81"/>
      <c r="D76" s="81"/>
      <c r="E76" s="81"/>
      <c r="F76" s="81"/>
      <c r="G76" s="81"/>
      <c r="H76" s="81"/>
      <c r="I76" s="88" t="s">
        <v>199</v>
      </c>
      <c r="J76" s="81"/>
      <c r="K76" s="81"/>
      <c r="L76" s="81"/>
      <c r="M76" s="81"/>
      <c r="N76" s="81"/>
      <c r="O76" s="81"/>
      <c r="P76" s="81"/>
      <c r="Q76" s="102"/>
    </row>
    <row r="77" spans="1:17" ht="15">
      <c r="A77" s="80" t="s">
        <v>6</v>
      </c>
      <c r="B77" s="84" t="s">
        <v>187</v>
      </c>
      <c r="C77" s="88" t="s">
        <v>200</v>
      </c>
      <c r="D77" s="81"/>
      <c r="E77" s="85">
        <f t="array" ref="E77:F81">LINEST(C78:C97,B78:B97,1,1)</f>
        <v>3.8274196385001978E-2</v>
      </c>
      <c r="F77" s="85">
        <v>15.651847125674855</v>
      </c>
      <c r="G77" s="81"/>
      <c r="H77" s="81"/>
      <c r="I77" s="80" t="s">
        <v>6</v>
      </c>
      <c r="J77" s="84" t="s">
        <v>187</v>
      </c>
      <c r="K77" s="88" t="s">
        <v>201</v>
      </c>
      <c r="L77" s="88" t="s">
        <v>202</v>
      </c>
      <c r="M77" s="81"/>
      <c r="N77" s="85">
        <f t="array" ref="N77:O81">LINEST(L78:L97,K78:K97,1,1)</f>
        <v>0.31395132728086117</v>
      </c>
      <c r="O77" s="85">
        <v>15.389160038762025</v>
      </c>
      <c r="P77" s="81"/>
      <c r="Q77" s="102"/>
    </row>
    <row r="78" spans="1:17" ht="15">
      <c r="A78" s="98">
        <v>5141415.5999999996</v>
      </c>
      <c r="B78" s="86">
        <v>1</v>
      </c>
      <c r="C78" s="85">
        <f t="shared" ref="C78:C97" si="15">LN(A78)</f>
        <v>15.452839008073683</v>
      </c>
      <c r="D78" s="81"/>
      <c r="E78" s="85">
        <v>9.9952763991446921E-3</v>
      </c>
      <c r="F78" s="85">
        <v>0.11973490079076939</v>
      </c>
      <c r="G78" s="88" t="s">
        <v>189</v>
      </c>
      <c r="H78" s="81"/>
      <c r="I78" s="98">
        <v>5141415.5999999996</v>
      </c>
      <c r="J78" s="86">
        <v>1</v>
      </c>
      <c r="K78" s="85">
        <f t="shared" ref="K78:K97" si="16">LN(J78)</f>
        <v>0</v>
      </c>
      <c r="L78" s="85">
        <f t="shared" ref="L78:L97" si="17">LN(I78)</f>
        <v>15.452839008073683</v>
      </c>
      <c r="M78" s="81"/>
      <c r="N78" s="85">
        <v>6.4270379526593049E-2</v>
      </c>
      <c r="O78" s="85">
        <v>0.14526012854474377</v>
      </c>
      <c r="P78" s="88" t="s">
        <v>189</v>
      </c>
      <c r="Q78" s="102"/>
    </row>
    <row r="79" spans="1:17" ht="15">
      <c r="A79" s="98">
        <v>5337437.2</v>
      </c>
      <c r="B79" s="86">
        <v>2</v>
      </c>
      <c r="C79" s="85">
        <f t="shared" si="15"/>
        <v>15.490256170641837</v>
      </c>
      <c r="D79" s="81"/>
      <c r="E79" s="90">
        <v>0.44891757099847579</v>
      </c>
      <c r="F79" s="85">
        <v>0.25775412886387244</v>
      </c>
      <c r="G79" s="90">
        <f>F79/AVERAGE(C78:C97)</f>
        <v>1.6055719765612972E-2</v>
      </c>
      <c r="H79" s="81"/>
      <c r="I79" s="98">
        <v>5337437.2</v>
      </c>
      <c r="J79" s="86">
        <v>2</v>
      </c>
      <c r="K79" s="85">
        <f t="shared" si="16"/>
        <v>0.69314718055994529</v>
      </c>
      <c r="L79" s="85">
        <f t="shared" si="17"/>
        <v>15.490256170641837</v>
      </c>
      <c r="M79" s="81"/>
      <c r="N79" s="90">
        <v>0.57001355184942182</v>
      </c>
      <c r="O79" s="85">
        <v>0.22767992144809054</v>
      </c>
      <c r="P79" s="90">
        <f>O79/AVERAGE(L78:L97)</f>
        <v>1.4182372290757474E-2</v>
      </c>
      <c r="Q79" s="102"/>
    </row>
    <row r="80" spans="1:17" ht="15">
      <c r="A80" s="98">
        <v>5986499.9000000004</v>
      </c>
      <c r="B80" s="86">
        <v>3</v>
      </c>
      <c r="C80" s="85">
        <f t="shared" si="15"/>
        <v>15.605017475434783</v>
      </c>
      <c r="D80" s="81"/>
      <c r="E80" s="85">
        <v>14.66299024015918</v>
      </c>
      <c r="F80" s="85">
        <v>18</v>
      </c>
      <c r="G80" s="81"/>
      <c r="H80" s="81"/>
      <c r="I80" s="98">
        <v>5986499.9000000004</v>
      </c>
      <c r="J80" s="86">
        <v>3</v>
      </c>
      <c r="K80" s="85">
        <f t="shared" si="16"/>
        <v>1.0986122886681098</v>
      </c>
      <c r="L80" s="85">
        <f t="shared" si="17"/>
        <v>15.605017475434783</v>
      </c>
      <c r="M80" s="81"/>
      <c r="N80" s="85">
        <v>23.861784429300258</v>
      </c>
      <c r="O80" s="85">
        <v>18</v>
      </c>
      <c r="P80" s="81"/>
      <c r="Q80" s="102"/>
    </row>
    <row r="81" spans="1:17" ht="15">
      <c r="A81" s="98">
        <v>6877759.2000000002</v>
      </c>
      <c r="B81" s="86">
        <v>4</v>
      </c>
      <c r="C81" s="85">
        <f t="shared" si="15"/>
        <v>15.7438034591841</v>
      </c>
      <c r="D81" s="81"/>
      <c r="E81" s="85">
        <v>0.97416788243027019</v>
      </c>
      <c r="F81" s="85">
        <v>1.1958694370347276</v>
      </c>
      <c r="G81" s="88" t="s">
        <v>203</v>
      </c>
      <c r="H81" s="81"/>
      <c r="I81" s="98">
        <v>6877759.2000000002</v>
      </c>
      <c r="J81" s="86">
        <v>4</v>
      </c>
      <c r="K81" s="85">
        <f t="shared" si="16"/>
        <v>1.3862943611198906</v>
      </c>
      <c r="L81" s="85">
        <f t="shared" si="17"/>
        <v>15.7438034591841</v>
      </c>
      <c r="M81" s="81"/>
      <c r="N81" s="85">
        <v>1.2369506801140417</v>
      </c>
      <c r="O81" s="85">
        <v>0.93308663935095615</v>
      </c>
      <c r="P81" s="88" t="s">
        <v>204</v>
      </c>
      <c r="Q81" s="102"/>
    </row>
    <row r="82" spans="1:17" ht="15">
      <c r="A82" s="98">
        <v>7520684.2000000002</v>
      </c>
      <c r="B82" s="86">
        <v>5</v>
      </c>
      <c r="C82" s="85">
        <f t="shared" si="15"/>
        <v>15.833167675829779</v>
      </c>
      <c r="D82" s="81"/>
      <c r="E82" s="85">
        <f t="shared" ref="E82:F82" si="18">E77/E78</f>
        <v>3.8292284131609553</v>
      </c>
      <c r="F82" s="85">
        <f t="shared" si="18"/>
        <v>130.72084264742205</v>
      </c>
      <c r="G82" s="85">
        <f>EXP(F77)</f>
        <v>6273513.5199902784</v>
      </c>
      <c r="H82" s="81"/>
      <c r="I82" s="98">
        <v>7520684.2000000002</v>
      </c>
      <c r="J82" s="86">
        <v>5</v>
      </c>
      <c r="K82" s="85">
        <f t="shared" si="16"/>
        <v>1.6094379124341003</v>
      </c>
      <c r="L82" s="85">
        <f t="shared" si="17"/>
        <v>15.833167675829779</v>
      </c>
      <c r="M82" s="81"/>
      <c r="N82" s="85">
        <f t="shared" ref="N82:O82" si="19">N77/N78</f>
        <v>4.8848525493918711</v>
      </c>
      <c r="O82" s="85">
        <f t="shared" si="19"/>
        <v>105.94207917158614</v>
      </c>
      <c r="P82" s="85">
        <f>EXP(O77)</f>
        <v>4824222.0122113228</v>
      </c>
      <c r="Q82" s="102"/>
    </row>
    <row r="83" spans="1:17" ht="15">
      <c r="A83" s="98">
        <v>8528558</v>
      </c>
      <c r="B83" s="86">
        <v>6</v>
      </c>
      <c r="C83" s="85">
        <f t="shared" si="15"/>
        <v>15.958930854766914</v>
      </c>
      <c r="D83" s="81"/>
      <c r="E83" s="85">
        <f t="shared" ref="E83:F83" si="20">_xlfn.T.DIST.2T(E82,$F$31)</f>
        <v>1.228694298680546E-3</v>
      </c>
      <c r="F83" s="85">
        <f t="shared" si="20"/>
        <v>2.9350203815296294E-28</v>
      </c>
      <c r="G83" s="81"/>
      <c r="H83" s="81"/>
      <c r="I83" s="98">
        <v>8528558</v>
      </c>
      <c r="J83" s="86">
        <v>6</v>
      </c>
      <c r="K83" s="85">
        <f t="shared" si="16"/>
        <v>1.791759469228055</v>
      </c>
      <c r="L83" s="85">
        <f t="shared" si="17"/>
        <v>15.958930854766914</v>
      </c>
      <c r="M83" s="81"/>
      <c r="N83" s="85">
        <f t="shared" ref="N83:O83" si="21">_xlfn.T.DIST.2T(N82,$O$31)</f>
        <v>1.1919182425518978E-4</v>
      </c>
      <c r="O83" s="85">
        <f t="shared" si="21"/>
        <v>1.283939069697815E-26</v>
      </c>
      <c r="P83" s="81"/>
      <c r="Q83" s="102"/>
    </row>
    <row r="84" spans="1:17" ht="15">
      <c r="A84" s="98">
        <v>10671926.9</v>
      </c>
      <c r="B84" s="86">
        <v>7</v>
      </c>
      <c r="C84" s="85">
        <f t="shared" si="15"/>
        <v>16.183127197413931</v>
      </c>
      <c r="D84" s="81"/>
      <c r="E84" s="81"/>
      <c r="F84" s="81"/>
      <c r="G84" s="81"/>
      <c r="H84" s="81"/>
      <c r="I84" s="98">
        <v>10671926.9</v>
      </c>
      <c r="J84" s="86">
        <v>7</v>
      </c>
      <c r="K84" s="85">
        <f t="shared" si="16"/>
        <v>1.9459101490553132</v>
      </c>
      <c r="L84" s="85">
        <f t="shared" si="17"/>
        <v>16.183127197413931</v>
      </c>
      <c r="M84" s="81"/>
      <c r="N84" s="81"/>
      <c r="O84" s="81"/>
      <c r="P84" s="81"/>
      <c r="Q84" s="102"/>
    </row>
    <row r="85" spans="1:17" ht="15">
      <c r="A85" s="98">
        <v>10926206</v>
      </c>
      <c r="B85" s="86">
        <v>8</v>
      </c>
      <c r="C85" s="85">
        <f t="shared" si="15"/>
        <v>16.206674681869526</v>
      </c>
      <c r="D85" s="81"/>
      <c r="E85" s="95" t="s">
        <v>192</v>
      </c>
      <c r="F85" s="93" t="s">
        <v>214</v>
      </c>
      <c r="G85" s="81"/>
      <c r="H85" s="81"/>
      <c r="I85" s="98">
        <v>10926206</v>
      </c>
      <c r="J85" s="86">
        <v>8</v>
      </c>
      <c r="K85" s="85">
        <f t="shared" si="16"/>
        <v>2.0794415416798357</v>
      </c>
      <c r="L85" s="85">
        <f t="shared" si="17"/>
        <v>16.206674681869526</v>
      </c>
      <c r="M85" s="81"/>
      <c r="N85" s="95" t="s">
        <v>192</v>
      </c>
      <c r="O85" s="93" t="s">
        <v>215</v>
      </c>
      <c r="P85" s="81"/>
      <c r="Q85" s="102"/>
    </row>
    <row r="86" spans="1:17" ht="15">
      <c r="A86" s="98">
        <v>12158205.199999999</v>
      </c>
      <c r="B86" s="86">
        <v>9</v>
      </c>
      <c r="C86" s="85">
        <f t="shared" si="15"/>
        <v>16.313514824924326</v>
      </c>
      <c r="D86" s="81"/>
      <c r="E86" s="95" t="s">
        <v>195</v>
      </c>
      <c r="F86" s="96" t="s">
        <v>216</v>
      </c>
      <c r="G86" s="81"/>
      <c r="H86" s="81"/>
      <c r="I86" s="98">
        <v>12158205.199999999</v>
      </c>
      <c r="J86" s="86">
        <v>9</v>
      </c>
      <c r="K86" s="85">
        <f t="shared" si="16"/>
        <v>2.1972245773362196</v>
      </c>
      <c r="L86" s="85">
        <f t="shared" si="17"/>
        <v>16.313514824924326</v>
      </c>
      <c r="M86" s="81"/>
      <c r="N86" s="95" t="s">
        <v>195</v>
      </c>
      <c r="O86" s="97" t="s">
        <v>217</v>
      </c>
      <c r="P86" s="81"/>
      <c r="Q86" s="102"/>
    </row>
    <row r="87" spans="1:17" ht="15">
      <c r="A87" s="98">
        <v>10127805.800000001</v>
      </c>
      <c r="B87" s="86">
        <v>10</v>
      </c>
      <c r="C87" s="85">
        <f t="shared" si="15"/>
        <v>16.1307952486167</v>
      </c>
      <c r="D87" s="81"/>
      <c r="E87" s="81"/>
      <c r="F87" s="81"/>
      <c r="G87" s="81"/>
      <c r="H87" s="81"/>
      <c r="I87" s="98">
        <v>10127805.800000001</v>
      </c>
      <c r="J87" s="86">
        <v>10</v>
      </c>
      <c r="K87" s="85">
        <f t="shared" si="16"/>
        <v>2.3025850929940459</v>
      </c>
      <c r="L87" s="85">
        <f t="shared" si="17"/>
        <v>16.1307952486167</v>
      </c>
      <c r="M87" s="81"/>
      <c r="N87" s="81"/>
      <c r="O87" s="81"/>
      <c r="P87" s="81"/>
      <c r="Q87" s="102"/>
    </row>
    <row r="88" spans="1:17" ht="15">
      <c r="A88" s="98">
        <v>10851199.199999999</v>
      </c>
      <c r="B88" s="86">
        <v>11</v>
      </c>
      <c r="C88" s="85">
        <f t="shared" si="15"/>
        <v>16.199786157188889</v>
      </c>
      <c r="D88" s="81"/>
      <c r="E88" s="81"/>
      <c r="F88" s="81"/>
      <c r="G88" s="81"/>
      <c r="H88" s="81"/>
      <c r="I88" s="98">
        <v>10851199.199999999</v>
      </c>
      <c r="J88" s="86">
        <v>11</v>
      </c>
      <c r="K88" s="85">
        <f t="shared" si="16"/>
        <v>2.3978952727983707</v>
      </c>
      <c r="L88" s="85">
        <f t="shared" si="17"/>
        <v>16.199786157188889</v>
      </c>
      <c r="M88" s="81"/>
      <c r="N88" s="81"/>
      <c r="O88" s="81"/>
      <c r="P88" s="81"/>
      <c r="Q88" s="102"/>
    </row>
    <row r="89" spans="1:17" ht="15">
      <c r="A89" s="98">
        <v>14248455.4</v>
      </c>
      <c r="B89" s="86">
        <v>12</v>
      </c>
      <c r="C89" s="85">
        <f t="shared" si="15"/>
        <v>16.472159065821533</v>
      </c>
      <c r="D89" s="81"/>
      <c r="E89" s="81"/>
      <c r="F89" s="81"/>
      <c r="G89" s="81"/>
      <c r="H89" s="81"/>
      <c r="I89" s="98">
        <v>14248455.4</v>
      </c>
      <c r="J89" s="86">
        <v>12</v>
      </c>
      <c r="K89" s="85">
        <f t="shared" si="16"/>
        <v>2.4849066497880004</v>
      </c>
      <c r="L89" s="85">
        <f t="shared" si="17"/>
        <v>16.472159065821533</v>
      </c>
      <c r="M89" s="81"/>
      <c r="N89" s="81"/>
      <c r="O89" s="81"/>
      <c r="P89" s="81"/>
      <c r="Q89" s="102"/>
    </row>
    <row r="90" spans="1:17" ht="15">
      <c r="A90" s="98">
        <v>15160046.4</v>
      </c>
      <c r="B90" s="86">
        <v>13</v>
      </c>
      <c r="C90" s="85">
        <f t="shared" si="15"/>
        <v>16.534173998859831</v>
      </c>
      <c r="D90" s="81"/>
      <c r="E90" s="81"/>
      <c r="F90" s="81"/>
      <c r="G90" s="81"/>
      <c r="H90" s="81"/>
      <c r="I90" s="98">
        <v>15160046.4</v>
      </c>
      <c r="J90" s="86">
        <v>13</v>
      </c>
      <c r="K90" s="85">
        <f t="shared" si="16"/>
        <v>2.5649493574615367</v>
      </c>
      <c r="L90" s="85">
        <f t="shared" si="17"/>
        <v>16.534173998859831</v>
      </c>
      <c r="M90" s="81"/>
      <c r="N90" s="81"/>
      <c r="O90" s="81"/>
      <c r="P90" s="81"/>
      <c r="Q90" s="102"/>
    </row>
    <row r="91" spans="1:17" ht="15">
      <c r="A91" s="98">
        <v>6517035.4000000004</v>
      </c>
      <c r="B91" s="86">
        <v>14</v>
      </c>
      <c r="C91" s="85">
        <f t="shared" si="15"/>
        <v>15.689930137246979</v>
      </c>
      <c r="D91" s="81"/>
      <c r="E91" s="81"/>
      <c r="F91" s="81"/>
      <c r="G91" s="81"/>
      <c r="H91" s="81"/>
      <c r="I91" s="98">
        <v>6517035.4000000004</v>
      </c>
      <c r="J91" s="86">
        <v>14</v>
      </c>
      <c r="K91" s="85">
        <f t="shared" si="16"/>
        <v>2.6390573296152584</v>
      </c>
      <c r="L91" s="85">
        <f t="shared" si="17"/>
        <v>15.689930137246979</v>
      </c>
      <c r="M91" s="81"/>
      <c r="N91" s="81" t="s">
        <v>218</v>
      </c>
      <c r="O91" s="81"/>
      <c r="P91" s="81"/>
      <c r="Q91" s="102"/>
    </row>
    <row r="92" spans="1:17" ht="15">
      <c r="A92" s="98">
        <v>6825385</v>
      </c>
      <c r="B92" s="86">
        <v>15</v>
      </c>
      <c r="C92" s="85">
        <f t="shared" si="15"/>
        <v>15.736159307700708</v>
      </c>
      <c r="D92" s="81"/>
      <c r="E92" s="81"/>
      <c r="F92" s="81"/>
      <c r="G92" s="81"/>
      <c r="H92" s="81"/>
      <c r="I92" s="98">
        <v>6825385</v>
      </c>
      <c r="J92" s="86">
        <v>15</v>
      </c>
      <c r="K92" s="85">
        <f t="shared" si="16"/>
        <v>2.7080502011022101</v>
      </c>
      <c r="L92" s="85">
        <f t="shared" si="17"/>
        <v>15.736159307700708</v>
      </c>
      <c r="M92" s="81"/>
      <c r="N92" s="81">
        <f>4824222*21* 0.31</f>
        <v>31405685.219999999</v>
      </c>
      <c r="O92" s="81"/>
      <c r="P92" s="81"/>
      <c r="Q92" s="102"/>
    </row>
    <row r="93" spans="1:17" ht="15">
      <c r="A93" s="98">
        <v>10392119.5</v>
      </c>
      <c r="B93" s="86">
        <v>16</v>
      </c>
      <c r="C93" s="85">
        <f t="shared" si="15"/>
        <v>16.156558336496634</v>
      </c>
      <c r="D93" s="81"/>
      <c r="E93" s="81"/>
      <c r="F93" s="81"/>
      <c r="G93" s="81"/>
      <c r="H93" s="81"/>
      <c r="I93" s="98">
        <v>10392119.5</v>
      </c>
      <c r="J93" s="86">
        <v>16</v>
      </c>
      <c r="K93" s="85">
        <f t="shared" si="16"/>
        <v>2.7725887222397811</v>
      </c>
      <c r="L93" s="85">
        <f t="shared" si="17"/>
        <v>16.156558336496634</v>
      </c>
      <c r="M93" s="81"/>
      <c r="N93" s="81"/>
      <c r="O93" s="81"/>
      <c r="P93" s="81"/>
      <c r="Q93" s="102"/>
    </row>
    <row r="94" spans="1:17" ht="15">
      <c r="A94" s="98">
        <v>12415204.300000001</v>
      </c>
      <c r="B94" s="86">
        <v>17</v>
      </c>
      <c r="C94" s="85">
        <f t="shared" si="15"/>
        <v>16.334432432689127</v>
      </c>
      <c r="D94" s="81"/>
      <c r="E94" s="81"/>
      <c r="F94" s="81"/>
      <c r="G94" s="81"/>
      <c r="H94" s="81"/>
      <c r="I94" s="98">
        <v>12415204.300000001</v>
      </c>
      <c r="J94" s="86">
        <v>17</v>
      </c>
      <c r="K94" s="85">
        <f t="shared" si="16"/>
        <v>2.8332133440562162</v>
      </c>
      <c r="L94" s="85">
        <f t="shared" si="17"/>
        <v>16.334432432689127</v>
      </c>
      <c r="M94" s="81"/>
      <c r="N94" s="81"/>
      <c r="O94" s="81"/>
      <c r="P94" s="81"/>
      <c r="Q94" s="102"/>
    </row>
    <row r="95" spans="1:17" ht="15">
      <c r="A95" s="98">
        <v>11439859.300000001</v>
      </c>
      <c r="B95" s="86">
        <v>18</v>
      </c>
      <c r="C95" s="85">
        <f t="shared" si="15"/>
        <v>16.252614244889244</v>
      </c>
      <c r="D95" s="81"/>
      <c r="E95" s="81"/>
      <c r="F95" s="81"/>
      <c r="G95" s="81"/>
      <c r="H95" s="81"/>
      <c r="I95" s="98">
        <v>11439859.300000001</v>
      </c>
      <c r="J95" s="86">
        <v>18</v>
      </c>
      <c r="K95" s="85">
        <f t="shared" si="16"/>
        <v>2.8903717578961645</v>
      </c>
      <c r="L95" s="85">
        <f t="shared" si="17"/>
        <v>16.252614244889244</v>
      </c>
      <c r="M95" s="81"/>
      <c r="N95" s="81"/>
      <c r="O95" s="81"/>
      <c r="P95" s="81"/>
      <c r="Q95" s="102"/>
    </row>
    <row r="96" spans="1:17" ht="15">
      <c r="A96" s="98">
        <v>12376568.1</v>
      </c>
      <c r="B96" s="86">
        <v>19</v>
      </c>
      <c r="C96" s="85">
        <f t="shared" si="15"/>
        <v>16.331315573542856</v>
      </c>
      <c r="D96" s="81"/>
      <c r="E96" s="81"/>
      <c r="F96" s="81"/>
      <c r="G96" s="81"/>
      <c r="H96" s="81"/>
      <c r="I96" s="98">
        <v>12376568.1</v>
      </c>
      <c r="J96" s="86">
        <v>19</v>
      </c>
      <c r="K96" s="85">
        <f t="shared" si="16"/>
        <v>2.9444389791664403</v>
      </c>
      <c r="L96" s="85">
        <f t="shared" si="17"/>
        <v>16.331315573542856</v>
      </c>
      <c r="M96" s="81"/>
      <c r="N96" s="81"/>
      <c r="O96" s="81"/>
      <c r="P96" s="81"/>
      <c r="Q96" s="102"/>
    </row>
    <row r="97" spans="1:17" ht="15">
      <c r="A97" s="98">
        <v>13925996.5</v>
      </c>
      <c r="B97" s="86">
        <v>20</v>
      </c>
      <c r="C97" s="85">
        <f t="shared" si="15"/>
        <v>16.449267903156148</v>
      </c>
      <c r="D97" s="81"/>
      <c r="E97" s="81"/>
      <c r="F97" s="81"/>
      <c r="G97" s="81"/>
      <c r="H97" s="81"/>
      <c r="I97" s="98">
        <v>13925996.5</v>
      </c>
      <c r="J97" s="86">
        <v>20</v>
      </c>
      <c r="K97" s="85">
        <f t="shared" si="16"/>
        <v>2.9957322735539909</v>
      </c>
      <c r="L97" s="85">
        <f t="shared" si="17"/>
        <v>16.449267903156148</v>
      </c>
      <c r="M97" s="81"/>
      <c r="N97" s="81"/>
      <c r="O97" s="81"/>
      <c r="P97" s="81"/>
      <c r="Q97" s="102"/>
    </row>
    <row r="98" spans="1:17" ht="15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</row>
    <row r="99" spans="1:17" ht="15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</row>
    <row r="100" spans="1:17" ht="15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</row>
    <row r="101" spans="1:17" ht="15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</row>
    <row r="102" spans="1:17" ht="15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</row>
    <row r="103" spans="1:17" ht="15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</row>
    <row r="104" spans="1:17" ht="15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</row>
    <row r="105" spans="1:17" ht="15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</row>
    <row r="106" spans="1:17" ht="15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1:17" ht="15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</row>
    <row r="108" spans="1:17" ht="15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</row>
    <row r="109" spans="1:17" ht="15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</row>
    <row r="110" spans="1:17" ht="15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</row>
    <row r="111" spans="1:17" ht="15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</row>
    <row r="112" spans="1:17" ht="15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</row>
    <row r="113" spans="1:17" ht="15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Regresja krokowa</vt:lpstr>
      <vt:lpstr>Model</vt:lpstr>
      <vt:lpstr>Testy</vt:lpstr>
      <vt:lpstr>Trendy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Filipiak</cp:lastModifiedBy>
  <dcterms:modified xsi:type="dcterms:W3CDTF">2024-05-27T11:45:28Z</dcterms:modified>
</cp:coreProperties>
</file>