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ykir-my.sharepoint.com/personal/gia_towae_stud_gyki_de/Documents/Desktop/Q11/P-Seminar/Anschluss mit Verkehrsmitteln/_Final/"/>
    </mc:Choice>
  </mc:AlternateContent>
  <xr:revisionPtr revIDLastSave="2" documentId="11_F8DD2982B013E1FDDAADE67A016E0433785160C9" xr6:coauthVersionLast="47" xr6:coauthVersionMax="47" xr10:uidLastSave="{2836DD05-9A57-4ECB-B658-539D34F62702}"/>
  <bookViews>
    <workbookView xWindow="-98" yWindow="-98" windowWidth="21795" windowHeight="12975" xr2:uid="{00000000-000D-0000-FFFF-FFFF00000000}"/>
  </bookViews>
  <sheets>
    <sheet name="Tabe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09" i="1" l="1"/>
  <c r="E3609" i="1"/>
  <c r="D3609" i="1"/>
  <c r="C3609" i="1"/>
  <c r="F3608" i="1"/>
  <c r="E3608" i="1"/>
  <c r="D3608" i="1"/>
  <c r="C3608" i="1"/>
  <c r="F3607" i="1"/>
  <c r="E3607" i="1"/>
  <c r="D3607" i="1"/>
  <c r="F3606" i="1"/>
  <c r="E3606" i="1"/>
  <c r="D3606" i="1"/>
  <c r="F3605" i="1"/>
  <c r="E3605" i="1"/>
  <c r="D3605" i="1"/>
  <c r="F3604" i="1"/>
  <c r="E3604" i="1"/>
  <c r="D3604" i="1"/>
  <c r="C3604" i="1"/>
  <c r="F3603" i="1"/>
  <c r="E3603" i="1"/>
  <c r="D3603" i="1"/>
  <c r="F3602" i="1"/>
  <c r="E3602" i="1"/>
  <c r="D3602" i="1"/>
  <c r="C3602" i="1"/>
  <c r="F3601" i="1"/>
  <c r="E3601" i="1"/>
  <c r="D3601" i="1"/>
  <c r="C3601" i="1"/>
  <c r="F3600" i="1"/>
  <c r="E3600" i="1"/>
  <c r="D3600" i="1"/>
  <c r="C3600" i="1"/>
  <c r="F3599" i="1"/>
  <c r="E3599" i="1"/>
  <c r="D3599" i="1"/>
  <c r="F3598" i="1"/>
  <c r="E3598" i="1"/>
  <c r="D3598" i="1"/>
  <c r="C3598" i="1"/>
  <c r="F3597" i="1"/>
  <c r="E3597" i="1"/>
  <c r="D3597" i="1"/>
  <c r="F3596" i="1"/>
  <c r="E3596" i="1"/>
  <c r="D3596" i="1"/>
  <c r="F3595" i="1"/>
  <c r="E3595" i="1"/>
  <c r="D3595" i="1"/>
  <c r="F3594" i="1"/>
  <c r="E3594" i="1"/>
  <c r="D3594" i="1"/>
  <c r="F3593" i="1"/>
  <c r="E3593" i="1"/>
  <c r="D3593" i="1"/>
  <c r="F3592" i="1"/>
  <c r="E3592" i="1"/>
  <c r="D3592" i="1"/>
  <c r="F3591" i="1"/>
  <c r="E3591" i="1"/>
  <c r="D3591" i="1"/>
  <c r="F3590" i="1"/>
  <c r="E3590" i="1"/>
  <c r="D3590" i="1"/>
  <c r="F3589" i="1"/>
  <c r="E3589" i="1"/>
  <c r="D3589" i="1"/>
  <c r="F3588" i="1"/>
  <c r="E3588" i="1"/>
  <c r="D3588" i="1"/>
  <c r="F3587" i="1"/>
  <c r="E3587" i="1"/>
  <c r="D3587" i="1"/>
  <c r="F3586" i="1"/>
  <c r="E3586" i="1"/>
  <c r="D3586" i="1"/>
  <c r="F3585" i="1"/>
  <c r="E3585" i="1"/>
  <c r="D3585" i="1"/>
  <c r="F3584" i="1"/>
  <c r="E3584" i="1"/>
  <c r="D3584" i="1"/>
  <c r="F3583" i="1"/>
  <c r="E3583" i="1"/>
  <c r="D3583" i="1"/>
  <c r="F3582" i="1"/>
  <c r="E3582" i="1"/>
  <c r="D3582" i="1"/>
  <c r="F3581" i="1"/>
  <c r="E3581" i="1"/>
  <c r="D3581" i="1"/>
  <c r="C3581" i="1"/>
  <c r="F3580" i="1"/>
  <c r="E3580" i="1"/>
  <c r="D3580" i="1"/>
  <c r="C3580" i="1"/>
  <c r="F3579" i="1"/>
  <c r="E3579" i="1"/>
  <c r="D3579" i="1"/>
  <c r="F3578" i="1"/>
  <c r="E3578" i="1"/>
  <c r="D3578" i="1"/>
  <c r="C3578" i="1"/>
  <c r="F3577" i="1"/>
  <c r="E3577" i="1"/>
  <c r="D3577" i="1"/>
  <c r="F3576" i="1"/>
  <c r="E3576" i="1"/>
  <c r="D3576" i="1"/>
  <c r="C3576" i="1"/>
  <c r="F3575" i="1"/>
  <c r="E3575" i="1"/>
  <c r="D3575" i="1"/>
  <c r="F3574" i="1"/>
  <c r="E3574" i="1"/>
  <c r="D3574" i="1"/>
  <c r="C3574" i="1"/>
  <c r="F3573" i="1"/>
  <c r="E3573" i="1"/>
  <c r="D3573" i="1"/>
  <c r="F3572" i="1"/>
  <c r="E3572" i="1"/>
  <c r="D3572" i="1"/>
  <c r="F3571" i="1"/>
  <c r="E3571" i="1"/>
  <c r="D3571" i="1"/>
  <c r="F3570" i="1"/>
  <c r="E3570" i="1"/>
  <c r="D3570" i="1"/>
  <c r="F3569" i="1"/>
  <c r="E3569" i="1"/>
  <c r="D3569" i="1"/>
  <c r="F3568" i="1"/>
  <c r="E3568" i="1"/>
  <c r="D3568" i="1"/>
  <c r="F3567" i="1"/>
  <c r="E3567" i="1"/>
  <c r="D3567" i="1"/>
  <c r="F3566" i="1"/>
  <c r="E3566" i="1"/>
  <c r="D3566" i="1"/>
  <c r="F3565" i="1"/>
  <c r="E3565" i="1"/>
  <c r="D3565" i="1"/>
  <c r="F3564" i="1"/>
  <c r="E3564" i="1"/>
  <c r="D3564" i="1"/>
  <c r="C3564" i="1"/>
  <c r="F3563" i="1"/>
  <c r="E3563" i="1"/>
  <c r="D3563" i="1"/>
  <c r="C3563" i="1"/>
  <c r="F3562" i="1"/>
  <c r="E3562" i="1"/>
  <c r="D3562" i="1"/>
  <c r="C3562" i="1"/>
  <c r="F3561" i="1"/>
  <c r="E3561" i="1"/>
  <c r="D3561" i="1"/>
  <c r="F3560" i="1"/>
  <c r="E3560" i="1"/>
  <c r="D3560" i="1"/>
  <c r="F3559" i="1"/>
  <c r="E3559" i="1"/>
  <c r="D3559" i="1"/>
  <c r="C3559" i="1"/>
  <c r="F3558" i="1"/>
  <c r="E3558" i="1"/>
  <c r="D3558" i="1"/>
  <c r="C3558" i="1"/>
  <c r="F3557" i="1"/>
  <c r="E3557" i="1"/>
  <c r="D3557" i="1"/>
  <c r="F3556" i="1"/>
  <c r="E3556" i="1"/>
  <c r="D3556" i="1"/>
  <c r="F3555" i="1"/>
  <c r="E3555" i="1"/>
  <c r="D3555" i="1"/>
  <c r="F3554" i="1"/>
  <c r="E3554" i="1"/>
  <c r="D3554" i="1"/>
  <c r="F3553" i="1"/>
  <c r="E3553" i="1"/>
  <c r="D3553" i="1"/>
  <c r="F3552" i="1"/>
  <c r="E3552" i="1"/>
  <c r="D3552" i="1"/>
  <c r="C3552" i="1"/>
  <c r="F3551" i="1"/>
  <c r="E3551" i="1"/>
  <c r="D3551" i="1"/>
  <c r="F3550" i="1"/>
  <c r="E3550" i="1"/>
  <c r="D3550" i="1"/>
  <c r="C3550" i="1"/>
  <c r="F3549" i="1"/>
  <c r="E3549" i="1"/>
  <c r="D3549" i="1"/>
  <c r="F3548" i="1"/>
  <c r="E3548" i="1"/>
  <c r="D3548" i="1"/>
  <c r="C3548" i="1"/>
  <c r="F3547" i="1"/>
  <c r="E3547" i="1"/>
  <c r="D3547" i="1"/>
  <c r="C3547" i="1"/>
  <c r="F3546" i="1"/>
  <c r="E3546" i="1"/>
  <c r="D3546" i="1"/>
  <c r="C3546" i="1"/>
  <c r="F3545" i="1"/>
  <c r="E3545" i="1"/>
  <c r="D3545" i="1"/>
  <c r="F3544" i="1"/>
  <c r="E3544" i="1"/>
  <c r="D3544" i="1"/>
  <c r="C3544" i="1"/>
  <c r="F3543" i="1"/>
  <c r="E3543" i="1"/>
  <c r="D3543" i="1"/>
  <c r="F3542" i="1"/>
  <c r="E3542" i="1"/>
  <c r="D3542" i="1"/>
  <c r="C3542" i="1"/>
  <c r="F3541" i="1"/>
  <c r="E3541" i="1"/>
  <c r="D3541" i="1"/>
  <c r="C3541" i="1"/>
  <c r="F3540" i="1"/>
  <c r="E3540" i="1"/>
  <c r="D3540" i="1"/>
  <c r="C3540" i="1"/>
  <c r="F3539" i="1"/>
  <c r="E3539" i="1"/>
  <c r="D3539" i="1"/>
  <c r="F3538" i="1"/>
  <c r="E3538" i="1"/>
  <c r="D3538" i="1"/>
  <c r="F3537" i="1"/>
  <c r="E3537" i="1"/>
  <c r="D3537" i="1"/>
  <c r="F3536" i="1"/>
  <c r="E3536" i="1"/>
  <c r="D3536" i="1"/>
  <c r="F3535" i="1"/>
  <c r="E3535" i="1"/>
  <c r="D3535" i="1"/>
  <c r="F3534" i="1"/>
  <c r="E3534" i="1"/>
  <c r="D3534" i="1"/>
  <c r="F3533" i="1"/>
  <c r="E3533" i="1"/>
  <c r="D3533" i="1"/>
  <c r="F3532" i="1"/>
  <c r="E3532" i="1"/>
  <c r="D3532" i="1"/>
  <c r="C3532" i="1"/>
  <c r="F3531" i="1"/>
  <c r="E3531" i="1"/>
  <c r="D3531" i="1"/>
  <c r="C3531" i="1"/>
  <c r="F3530" i="1"/>
  <c r="E3530" i="1"/>
  <c r="D3530" i="1"/>
  <c r="C3530" i="1"/>
  <c r="F3529" i="1"/>
  <c r="E3529" i="1"/>
  <c r="D3529" i="1"/>
  <c r="C3529" i="1"/>
  <c r="F3528" i="1"/>
  <c r="E3528" i="1"/>
  <c r="D3528" i="1"/>
  <c r="C3528" i="1"/>
  <c r="F3527" i="1"/>
  <c r="E3527" i="1"/>
  <c r="D3527" i="1"/>
  <c r="C3527" i="1"/>
  <c r="F3526" i="1"/>
  <c r="E3526" i="1"/>
  <c r="D3526" i="1"/>
  <c r="C3526" i="1"/>
  <c r="F3525" i="1"/>
  <c r="E3525" i="1"/>
  <c r="D3525" i="1"/>
  <c r="F3524" i="1"/>
  <c r="E3524" i="1"/>
  <c r="D3524" i="1"/>
  <c r="F3523" i="1"/>
  <c r="E3523" i="1"/>
  <c r="D3523" i="1"/>
  <c r="C3523" i="1"/>
  <c r="F3522" i="1"/>
  <c r="E3522" i="1"/>
  <c r="D3522" i="1"/>
  <c r="C3522" i="1"/>
  <c r="F3521" i="1"/>
  <c r="E3521" i="1"/>
  <c r="D3521" i="1"/>
  <c r="F3520" i="1"/>
  <c r="E3520" i="1"/>
  <c r="D3520" i="1"/>
  <c r="C3520" i="1"/>
  <c r="F3519" i="1"/>
  <c r="E3519" i="1"/>
  <c r="D3519" i="1"/>
  <c r="F3518" i="1"/>
  <c r="E3518" i="1"/>
  <c r="D3518" i="1"/>
  <c r="F3517" i="1"/>
  <c r="E3517" i="1"/>
  <c r="D3517" i="1"/>
  <c r="F3516" i="1"/>
  <c r="E3516" i="1"/>
  <c r="D3516" i="1"/>
  <c r="C3516" i="1"/>
  <c r="F3515" i="1"/>
  <c r="E3515" i="1"/>
  <c r="D3515" i="1"/>
  <c r="F3514" i="1"/>
  <c r="E3514" i="1"/>
  <c r="D3514" i="1"/>
  <c r="F3513" i="1"/>
  <c r="E3513" i="1"/>
  <c r="D3513" i="1"/>
  <c r="F3512" i="1"/>
  <c r="E3512" i="1"/>
  <c r="D3512" i="1"/>
  <c r="C3512" i="1"/>
  <c r="F3511" i="1"/>
  <c r="E3511" i="1"/>
  <c r="D3511" i="1"/>
  <c r="F3510" i="1"/>
  <c r="E3510" i="1"/>
  <c r="D3510" i="1"/>
  <c r="C3510" i="1"/>
  <c r="F3509" i="1"/>
  <c r="E3509" i="1"/>
  <c r="D3509" i="1"/>
  <c r="F3508" i="1"/>
  <c r="E3508" i="1"/>
  <c r="D3508" i="1"/>
  <c r="F3507" i="1"/>
  <c r="E3507" i="1"/>
  <c r="D3507" i="1"/>
  <c r="F3506" i="1"/>
  <c r="E3506" i="1"/>
  <c r="D3506" i="1"/>
  <c r="F3505" i="1"/>
  <c r="E3505" i="1"/>
  <c r="D3505" i="1"/>
  <c r="F3504" i="1"/>
  <c r="E3504" i="1"/>
  <c r="D3504" i="1"/>
  <c r="C3504" i="1"/>
  <c r="F3503" i="1"/>
  <c r="E3503" i="1"/>
  <c r="D3503" i="1"/>
  <c r="C3503" i="1"/>
  <c r="F3502" i="1"/>
  <c r="E3502" i="1"/>
  <c r="D3502" i="1"/>
  <c r="C3502" i="1"/>
  <c r="F3501" i="1"/>
  <c r="E3501" i="1"/>
  <c r="D3501" i="1"/>
  <c r="C3501" i="1"/>
  <c r="F3500" i="1"/>
  <c r="E3500" i="1"/>
  <c r="D3500" i="1"/>
  <c r="C3500" i="1"/>
  <c r="F3499" i="1"/>
  <c r="E3499" i="1"/>
  <c r="D3499" i="1"/>
  <c r="F3498" i="1"/>
  <c r="E3498" i="1"/>
  <c r="D3498" i="1"/>
  <c r="F3497" i="1"/>
  <c r="E3497" i="1"/>
  <c r="D3497" i="1"/>
  <c r="F3496" i="1"/>
  <c r="E3496" i="1"/>
  <c r="D3496" i="1"/>
  <c r="F3495" i="1"/>
  <c r="E3495" i="1"/>
  <c r="D3495" i="1"/>
  <c r="F3494" i="1"/>
  <c r="E3494" i="1"/>
  <c r="D3494" i="1"/>
  <c r="F3493" i="1"/>
  <c r="E3493" i="1"/>
  <c r="D3493" i="1"/>
  <c r="F3492" i="1"/>
  <c r="E3492" i="1"/>
  <c r="D3492" i="1"/>
  <c r="C3492" i="1"/>
  <c r="F3491" i="1"/>
  <c r="E3491" i="1"/>
  <c r="D3491" i="1"/>
  <c r="C3491" i="1"/>
  <c r="F3490" i="1"/>
  <c r="E3490" i="1"/>
  <c r="D3490" i="1"/>
  <c r="C3490" i="1"/>
  <c r="F3489" i="1"/>
  <c r="E3489" i="1"/>
  <c r="D3489" i="1"/>
  <c r="C3489" i="1"/>
  <c r="F3488" i="1"/>
  <c r="E3488" i="1"/>
  <c r="D3488" i="1"/>
  <c r="C3488" i="1"/>
  <c r="F3487" i="1"/>
  <c r="E3487" i="1"/>
  <c r="D3487" i="1"/>
  <c r="C3487" i="1"/>
  <c r="F3486" i="1"/>
  <c r="E3486" i="1"/>
  <c r="D3486" i="1"/>
  <c r="C3486" i="1"/>
  <c r="F3485" i="1"/>
  <c r="E3485" i="1"/>
  <c r="D3485" i="1"/>
  <c r="F3484" i="1"/>
  <c r="E3484" i="1"/>
  <c r="D3484" i="1"/>
  <c r="F3483" i="1"/>
  <c r="E3483" i="1"/>
  <c r="D3483" i="1"/>
  <c r="F3482" i="1"/>
  <c r="E3482" i="1"/>
  <c r="D3482" i="1"/>
  <c r="F3481" i="1"/>
  <c r="E3481" i="1"/>
  <c r="D3481" i="1"/>
  <c r="F3480" i="1"/>
  <c r="E3480" i="1"/>
  <c r="D3480" i="1"/>
  <c r="F3479" i="1"/>
  <c r="E3479" i="1"/>
  <c r="D3479" i="1"/>
  <c r="F3478" i="1"/>
  <c r="E3478" i="1"/>
  <c r="D3478" i="1"/>
  <c r="F3477" i="1"/>
  <c r="E3477" i="1"/>
  <c r="D3477" i="1"/>
  <c r="F3476" i="1"/>
  <c r="E3476" i="1"/>
  <c r="D3476" i="1"/>
  <c r="C3476" i="1"/>
  <c r="F3475" i="1"/>
  <c r="E3475" i="1"/>
  <c r="D3475" i="1"/>
  <c r="C3475" i="1"/>
  <c r="F3474" i="1"/>
  <c r="E3474" i="1"/>
  <c r="D3474" i="1"/>
  <c r="C3474" i="1"/>
  <c r="F3473" i="1"/>
  <c r="E3473" i="1"/>
  <c r="D3473" i="1"/>
  <c r="F3472" i="1"/>
  <c r="E3472" i="1"/>
  <c r="D3472" i="1"/>
  <c r="F3471" i="1"/>
  <c r="E3471" i="1"/>
  <c r="D3471" i="1"/>
  <c r="C3471" i="1"/>
  <c r="F3470" i="1"/>
  <c r="E3470" i="1"/>
  <c r="D3470" i="1"/>
  <c r="C3470" i="1"/>
  <c r="F3469" i="1"/>
  <c r="E3469" i="1"/>
  <c r="D3469" i="1"/>
  <c r="F3468" i="1"/>
  <c r="E3468" i="1"/>
  <c r="D3468" i="1"/>
  <c r="C3468" i="1"/>
  <c r="F3467" i="1"/>
  <c r="E3467" i="1"/>
  <c r="D3467" i="1"/>
  <c r="F3466" i="1"/>
  <c r="E3466" i="1"/>
  <c r="D3466" i="1"/>
  <c r="F3465" i="1"/>
  <c r="E3465" i="1"/>
  <c r="D3465" i="1"/>
  <c r="F3464" i="1"/>
  <c r="E3464" i="1"/>
  <c r="D3464" i="1"/>
  <c r="F3463" i="1"/>
  <c r="E3463" i="1"/>
  <c r="D3463" i="1"/>
  <c r="F3462" i="1"/>
  <c r="E3462" i="1"/>
  <c r="D3462" i="1"/>
  <c r="C3462" i="1"/>
  <c r="F3461" i="1"/>
  <c r="E3461" i="1"/>
  <c r="D3461" i="1"/>
  <c r="F3460" i="1"/>
  <c r="E3460" i="1"/>
  <c r="D3460" i="1"/>
  <c r="F3459" i="1"/>
  <c r="E3459" i="1"/>
  <c r="D3459" i="1"/>
  <c r="C3459" i="1"/>
  <c r="F3458" i="1"/>
  <c r="E3458" i="1"/>
  <c r="D3458" i="1"/>
  <c r="C3458" i="1"/>
  <c r="F3457" i="1"/>
  <c r="E3457" i="1"/>
  <c r="D3457" i="1"/>
  <c r="F3456" i="1"/>
  <c r="E3456" i="1"/>
  <c r="D3456" i="1"/>
  <c r="F3455" i="1"/>
  <c r="E3455" i="1"/>
  <c r="D3455" i="1"/>
  <c r="F3454" i="1"/>
  <c r="E3454" i="1"/>
  <c r="D3454" i="1"/>
  <c r="C3454" i="1"/>
  <c r="F3453" i="1"/>
  <c r="E3453" i="1"/>
  <c r="D3453" i="1"/>
  <c r="C3453" i="1"/>
  <c r="F3452" i="1"/>
  <c r="E3452" i="1"/>
  <c r="D3452" i="1"/>
  <c r="C3452" i="1"/>
  <c r="F3451" i="1"/>
  <c r="E3451" i="1"/>
  <c r="D3451" i="1"/>
  <c r="F3450" i="1"/>
  <c r="E3450" i="1"/>
  <c r="D3450" i="1"/>
  <c r="F3449" i="1"/>
  <c r="E3449" i="1"/>
  <c r="D3449" i="1"/>
  <c r="F3448" i="1"/>
  <c r="E3448" i="1"/>
  <c r="D3448" i="1"/>
  <c r="F3447" i="1"/>
  <c r="E3447" i="1"/>
  <c r="D3447" i="1"/>
  <c r="F3446" i="1"/>
  <c r="E3446" i="1"/>
  <c r="D3446" i="1"/>
  <c r="C3446" i="1"/>
  <c r="F3445" i="1"/>
  <c r="E3445" i="1"/>
  <c r="D3445" i="1"/>
  <c r="C3445" i="1"/>
  <c r="F3444" i="1"/>
  <c r="E3444" i="1"/>
  <c r="D3444" i="1"/>
  <c r="C3444" i="1"/>
  <c r="F3443" i="1"/>
  <c r="E3443" i="1"/>
  <c r="D3443" i="1"/>
  <c r="C3443" i="1"/>
  <c r="F3442" i="1"/>
  <c r="E3442" i="1"/>
  <c r="D3442" i="1"/>
  <c r="C3442" i="1"/>
  <c r="F3441" i="1"/>
  <c r="E3441" i="1"/>
  <c r="D3441" i="1"/>
  <c r="C3441" i="1"/>
  <c r="F3440" i="1"/>
  <c r="E3440" i="1"/>
  <c r="D3440" i="1"/>
  <c r="C3440" i="1"/>
  <c r="F3439" i="1"/>
  <c r="E3439" i="1"/>
  <c r="D3439" i="1"/>
  <c r="C3439" i="1"/>
  <c r="F3438" i="1"/>
  <c r="E3438" i="1"/>
  <c r="D3438" i="1"/>
  <c r="C3438" i="1"/>
  <c r="F3437" i="1"/>
  <c r="E3437" i="1"/>
  <c r="D3437" i="1"/>
  <c r="F3436" i="1"/>
  <c r="E3436" i="1"/>
  <c r="D3436" i="1"/>
  <c r="C3436" i="1"/>
  <c r="F3435" i="1"/>
  <c r="E3435" i="1"/>
  <c r="D3435" i="1"/>
  <c r="F3434" i="1"/>
  <c r="E3434" i="1"/>
  <c r="D3434" i="1"/>
  <c r="C3434" i="1"/>
  <c r="F3433" i="1"/>
  <c r="E3433" i="1"/>
  <c r="D3433" i="1"/>
  <c r="F3432" i="1"/>
  <c r="E3432" i="1"/>
  <c r="D3432" i="1"/>
  <c r="F3431" i="1"/>
  <c r="E3431" i="1"/>
  <c r="D3431" i="1"/>
  <c r="F3430" i="1"/>
  <c r="E3430" i="1"/>
  <c r="D3430" i="1"/>
  <c r="F3429" i="1"/>
  <c r="E3429" i="1"/>
  <c r="D3429" i="1"/>
  <c r="F3428" i="1"/>
  <c r="E3428" i="1"/>
  <c r="D3428" i="1"/>
  <c r="C3428" i="1"/>
  <c r="F3427" i="1"/>
  <c r="E3427" i="1"/>
  <c r="D3427" i="1"/>
  <c r="F3426" i="1"/>
  <c r="E3426" i="1"/>
  <c r="D3426" i="1"/>
  <c r="C3426" i="1"/>
  <c r="F3425" i="1"/>
  <c r="E3425" i="1"/>
  <c r="D3425" i="1"/>
  <c r="F3424" i="1"/>
  <c r="E3424" i="1"/>
  <c r="D3424" i="1"/>
  <c r="C3424" i="1"/>
  <c r="F3423" i="1"/>
  <c r="E3423" i="1"/>
  <c r="D3423" i="1"/>
  <c r="F3422" i="1"/>
  <c r="E3422" i="1"/>
  <c r="D3422" i="1"/>
  <c r="C3422" i="1"/>
  <c r="F3421" i="1"/>
  <c r="E3421" i="1"/>
  <c r="D3421" i="1"/>
  <c r="F3420" i="1"/>
  <c r="E3420" i="1"/>
  <c r="D3420" i="1"/>
  <c r="F3419" i="1"/>
  <c r="E3419" i="1"/>
  <c r="D3419" i="1"/>
  <c r="C3419" i="1"/>
  <c r="F3418" i="1"/>
  <c r="E3418" i="1"/>
  <c r="D3418" i="1"/>
  <c r="C3418" i="1"/>
  <c r="F3417" i="1"/>
  <c r="E3417" i="1"/>
  <c r="D3417" i="1"/>
  <c r="C3417" i="1"/>
  <c r="F3416" i="1"/>
  <c r="E3416" i="1"/>
  <c r="D3416" i="1"/>
  <c r="C3416" i="1"/>
  <c r="F3415" i="1"/>
  <c r="E3415" i="1"/>
  <c r="D3415" i="1"/>
  <c r="C3415" i="1"/>
  <c r="F3414" i="1"/>
  <c r="E3414" i="1"/>
  <c r="D3414" i="1"/>
  <c r="C3414" i="1"/>
  <c r="F3413" i="1"/>
  <c r="E3413" i="1"/>
  <c r="D3413" i="1"/>
  <c r="C3413" i="1"/>
  <c r="F3412" i="1"/>
  <c r="E3412" i="1"/>
  <c r="D3412" i="1"/>
  <c r="C3412" i="1"/>
  <c r="F3411" i="1"/>
  <c r="E3411" i="1"/>
  <c r="D3411" i="1"/>
  <c r="C3411" i="1"/>
  <c r="F3410" i="1"/>
  <c r="E3410" i="1"/>
  <c r="D3410" i="1"/>
  <c r="C3410" i="1"/>
  <c r="F3409" i="1"/>
  <c r="E3409" i="1"/>
  <c r="D3409" i="1"/>
  <c r="F3408" i="1"/>
  <c r="E3408" i="1"/>
  <c r="D3408" i="1"/>
  <c r="F3407" i="1"/>
  <c r="E3407" i="1"/>
  <c r="D3407" i="1"/>
  <c r="F3406" i="1"/>
  <c r="E3406" i="1"/>
  <c r="D3406" i="1"/>
  <c r="F3405" i="1"/>
  <c r="E3405" i="1"/>
  <c r="D3405" i="1"/>
  <c r="F3404" i="1"/>
  <c r="E3404" i="1"/>
  <c r="D3404" i="1"/>
  <c r="F3403" i="1"/>
  <c r="E3403" i="1"/>
  <c r="D3403" i="1"/>
  <c r="C3403" i="1"/>
  <c r="F3402" i="1"/>
  <c r="E3402" i="1"/>
  <c r="D3402" i="1"/>
  <c r="C3402" i="1"/>
  <c r="F3401" i="1"/>
  <c r="E3401" i="1"/>
  <c r="D3401" i="1"/>
  <c r="F3400" i="1"/>
  <c r="E3400" i="1"/>
  <c r="D3400" i="1"/>
  <c r="C3400" i="1"/>
  <c r="F3399" i="1"/>
  <c r="E3399" i="1"/>
  <c r="D3399" i="1"/>
  <c r="C3399" i="1"/>
  <c r="F3398" i="1"/>
  <c r="E3398" i="1"/>
  <c r="D3398" i="1"/>
  <c r="C3398" i="1"/>
  <c r="F3397" i="1"/>
  <c r="E3397" i="1"/>
  <c r="D3397" i="1"/>
  <c r="F3396" i="1"/>
  <c r="E3396" i="1"/>
  <c r="D3396" i="1"/>
  <c r="C3396" i="1"/>
  <c r="F3395" i="1"/>
  <c r="E3395" i="1"/>
  <c r="D3395" i="1"/>
  <c r="F3394" i="1"/>
  <c r="E3394" i="1"/>
  <c r="D3394" i="1"/>
  <c r="F3393" i="1"/>
  <c r="E3393" i="1"/>
  <c r="D3393" i="1"/>
  <c r="F3392" i="1"/>
  <c r="E3392" i="1"/>
  <c r="D3392" i="1"/>
  <c r="F3391" i="1"/>
  <c r="E3391" i="1"/>
  <c r="D3391" i="1"/>
  <c r="F3390" i="1"/>
  <c r="E3390" i="1"/>
  <c r="D3390" i="1"/>
  <c r="F3389" i="1"/>
  <c r="E3389" i="1"/>
  <c r="D3389" i="1"/>
  <c r="F3388" i="1"/>
  <c r="E3388" i="1"/>
  <c r="D3388" i="1"/>
  <c r="F3387" i="1"/>
  <c r="E3387" i="1"/>
  <c r="D3387" i="1"/>
  <c r="F3386" i="1"/>
  <c r="E3386" i="1"/>
  <c r="D3386" i="1"/>
  <c r="C3386" i="1"/>
  <c r="F3385" i="1"/>
  <c r="E3385" i="1"/>
  <c r="D3385" i="1"/>
  <c r="F3384" i="1"/>
  <c r="E3384" i="1"/>
  <c r="D3384" i="1"/>
  <c r="F3383" i="1"/>
  <c r="E3383" i="1"/>
  <c r="D3383" i="1"/>
  <c r="C3383" i="1"/>
  <c r="F3382" i="1"/>
  <c r="E3382" i="1"/>
  <c r="D3382" i="1"/>
  <c r="C3382" i="1"/>
  <c r="F3381" i="1"/>
  <c r="E3381" i="1"/>
  <c r="D3381" i="1"/>
  <c r="F3380" i="1"/>
  <c r="E3380" i="1"/>
  <c r="D3380" i="1"/>
  <c r="C3380" i="1"/>
  <c r="F3379" i="1"/>
  <c r="E3379" i="1"/>
  <c r="D3379" i="1"/>
  <c r="F3378" i="1"/>
  <c r="E3378" i="1"/>
  <c r="D3378" i="1"/>
  <c r="F3377" i="1"/>
  <c r="E3377" i="1"/>
  <c r="D3377" i="1"/>
  <c r="F3376" i="1"/>
  <c r="E3376" i="1"/>
  <c r="D3376" i="1"/>
  <c r="F3375" i="1"/>
  <c r="E3375" i="1"/>
  <c r="D3375" i="1"/>
  <c r="F3374" i="1"/>
  <c r="E3374" i="1"/>
  <c r="D3374" i="1"/>
  <c r="F3373" i="1"/>
  <c r="E3373" i="1"/>
  <c r="D3373" i="1"/>
  <c r="F3372" i="1"/>
  <c r="E3372" i="1"/>
  <c r="D3372" i="1"/>
  <c r="F3371" i="1"/>
  <c r="E3371" i="1"/>
  <c r="D3371" i="1"/>
  <c r="F3370" i="1"/>
  <c r="E3370" i="1"/>
  <c r="D3370" i="1"/>
  <c r="C3370" i="1"/>
  <c r="F3369" i="1"/>
  <c r="E3369" i="1"/>
  <c r="D3369" i="1"/>
  <c r="F3368" i="1"/>
  <c r="E3368" i="1"/>
  <c r="D3368" i="1"/>
  <c r="C3368" i="1"/>
  <c r="F3367" i="1"/>
  <c r="E3367" i="1"/>
  <c r="D3367" i="1"/>
  <c r="F3366" i="1"/>
  <c r="E3366" i="1"/>
  <c r="D3366" i="1"/>
  <c r="C3366" i="1"/>
  <c r="F3365" i="1"/>
  <c r="E3365" i="1"/>
  <c r="D3365" i="1"/>
  <c r="F3364" i="1"/>
  <c r="E3364" i="1"/>
  <c r="D3364" i="1"/>
  <c r="C3364" i="1"/>
  <c r="F3363" i="1"/>
  <c r="E3363" i="1"/>
  <c r="D3363" i="1"/>
  <c r="F3362" i="1"/>
  <c r="E3362" i="1"/>
  <c r="D3362" i="1"/>
  <c r="C3362" i="1"/>
  <c r="F3361" i="1"/>
  <c r="E3361" i="1"/>
  <c r="D3361" i="1"/>
  <c r="F3360" i="1"/>
  <c r="E3360" i="1"/>
  <c r="D3360" i="1"/>
  <c r="C3360" i="1"/>
  <c r="F3359" i="1"/>
  <c r="E3359" i="1"/>
  <c r="D3359" i="1"/>
  <c r="C3359" i="1"/>
  <c r="F3358" i="1"/>
  <c r="E3358" i="1"/>
  <c r="D3358" i="1"/>
  <c r="C3358" i="1"/>
  <c r="F3357" i="1"/>
  <c r="E3357" i="1"/>
  <c r="D3357" i="1"/>
  <c r="C3357" i="1"/>
  <c r="F3356" i="1"/>
  <c r="E3356" i="1"/>
  <c r="D3356" i="1"/>
  <c r="C3356" i="1"/>
  <c r="F3355" i="1"/>
  <c r="E3355" i="1"/>
  <c r="D3355" i="1"/>
  <c r="C3355" i="1"/>
  <c r="F3354" i="1"/>
  <c r="E3354" i="1"/>
  <c r="D3354" i="1"/>
  <c r="C3354" i="1"/>
  <c r="F3353" i="1"/>
  <c r="E3353" i="1"/>
  <c r="D3353" i="1"/>
  <c r="F3352" i="1"/>
  <c r="E3352" i="1"/>
  <c r="D3352" i="1"/>
  <c r="C3352" i="1"/>
  <c r="F3351" i="1"/>
  <c r="E3351" i="1"/>
  <c r="D3351" i="1"/>
  <c r="F3350" i="1"/>
  <c r="E3350" i="1"/>
  <c r="D3350" i="1"/>
  <c r="C3350" i="1"/>
  <c r="F3349" i="1"/>
  <c r="E3349" i="1"/>
  <c r="D3349" i="1"/>
  <c r="F3348" i="1"/>
  <c r="E3348" i="1"/>
  <c r="D3348" i="1"/>
  <c r="C3348" i="1"/>
  <c r="F3347" i="1"/>
  <c r="E3347" i="1"/>
  <c r="D3347" i="1"/>
  <c r="F3346" i="1"/>
  <c r="E3346" i="1"/>
  <c r="D3346" i="1"/>
  <c r="F3345" i="1"/>
  <c r="E3345" i="1"/>
  <c r="D3345" i="1"/>
  <c r="F3344" i="1"/>
  <c r="E3344" i="1"/>
  <c r="D3344" i="1"/>
  <c r="F3343" i="1"/>
  <c r="E3343" i="1"/>
  <c r="D3343" i="1"/>
  <c r="F3342" i="1"/>
  <c r="E3342" i="1"/>
  <c r="D3342" i="1"/>
  <c r="F3341" i="1"/>
  <c r="E3341" i="1"/>
  <c r="D3341" i="1"/>
  <c r="F3340" i="1"/>
  <c r="E3340" i="1"/>
  <c r="D3340" i="1"/>
  <c r="C3340" i="1"/>
  <c r="F3339" i="1"/>
  <c r="E3339" i="1"/>
  <c r="D3339" i="1"/>
  <c r="F3338" i="1"/>
  <c r="E3338" i="1"/>
  <c r="D3338" i="1"/>
  <c r="F3337" i="1"/>
  <c r="E3337" i="1"/>
  <c r="D3337" i="1"/>
  <c r="F3336" i="1"/>
  <c r="E3336" i="1"/>
  <c r="D3336" i="1"/>
  <c r="F3335" i="1"/>
  <c r="E3335" i="1"/>
  <c r="D3335" i="1"/>
  <c r="F3334" i="1"/>
  <c r="E3334" i="1"/>
  <c r="D3334" i="1"/>
  <c r="C3334" i="1"/>
  <c r="F3333" i="1"/>
  <c r="E3333" i="1"/>
  <c r="D3333" i="1"/>
  <c r="F3332" i="1"/>
  <c r="E3332" i="1"/>
  <c r="D3332" i="1"/>
  <c r="C3332" i="1"/>
  <c r="F3331" i="1"/>
  <c r="E3331" i="1"/>
  <c r="D3331" i="1"/>
  <c r="F3330" i="1"/>
  <c r="E3330" i="1"/>
  <c r="D3330" i="1"/>
  <c r="C3330" i="1"/>
  <c r="F3329" i="1"/>
  <c r="E3329" i="1"/>
  <c r="D3329" i="1"/>
  <c r="F3328" i="1"/>
  <c r="E3328" i="1"/>
  <c r="D3328" i="1"/>
  <c r="C3328" i="1"/>
  <c r="F3327" i="1"/>
  <c r="E3327" i="1"/>
  <c r="D3327" i="1"/>
  <c r="C3327" i="1"/>
  <c r="F3326" i="1"/>
  <c r="E3326" i="1"/>
  <c r="D3326" i="1"/>
  <c r="C3326" i="1"/>
  <c r="F3325" i="1"/>
  <c r="E3325" i="1"/>
  <c r="D3325" i="1"/>
  <c r="F3324" i="1"/>
  <c r="E3324" i="1"/>
  <c r="D3324" i="1"/>
  <c r="C3324" i="1"/>
  <c r="F3323" i="1"/>
  <c r="E3323" i="1"/>
  <c r="D3323" i="1"/>
  <c r="F3322" i="1"/>
  <c r="E3322" i="1"/>
  <c r="D3322" i="1"/>
  <c r="C3322" i="1"/>
  <c r="F3321" i="1"/>
  <c r="E3321" i="1"/>
  <c r="D3321" i="1"/>
  <c r="F3320" i="1"/>
  <c r="E3320" i="1"/>
  <c r="D3320" i="1"/>
  <c r="F3319" i="1"/>
  <c r="E3319" i="1"/>
  <c r="D3319" i="1"/>
  <c r="F3318" i="1"/>
  <c r="E3318" i="1"/>
  <c r="D3318" i="1"/>
  <c r="F3317" i="1"/>
  <c r="E3317" i="1"/>
  <c r="D3317" i="1"/>
  <c r="F3316" i="1"/>
  <c r="E3316" i="1"/>
  <c r="D3316" i="1"/>
  <c r="F3315" i="1"/>
  <c r="E3315" i="1"/>
  <c r="D3315" i="1"/>
  <c r="C3315" i="1"/>
  <c r="F3314" i="1"/>
  <c r="E3314" i="1"/>
  <c r="D3314" i="1"/>
  <c r="C3314" i="1"/>
  <c r="F3313" i="1"/>
  <c r="E3313" i="1"/>
  <c r="D3313" i="1"/>
  <c r="F3312" i="1"/>
  <c r="E3312" i="1"/>
  <c r="D3312" i="1"/>
  <c r="F3311" i="1"/>
  <c r="E3311" i="1"/>
  <c r="D3311" i="1"/>
  <c r="F3310" i="1"/>
  <c r="E3310" i="1"/>
  <c r="D3310" i="1"/>
  <c r="C3310" i="1"/>
  <c r="F3309" i="1"/>
  <c r="E3309" i="1"/>
  <c r="D3309" i="1"/>
  <c r="F3308" i="1"/>
  <c r="E3308" i="1"/>
  <c r="D3308" i="1"/>
  <c r="F3307" i="1"/>
  <c r="E3307" i="1"/>
  <c r="D3307" i="1"/>
  <c r="F3306" i="1"/>
  <c r="E3306" i="1"/>
  <c r="D3306" i="1"/>
  <c r="C3306" i="1"/>
  <c r="F3305" i="1"/>
  <c r="E3305" i="1"/>
  <c r="D3305" i="1"/>
  <c r="F3304" i="1"/>
  <c r="E3304" i="1"/>
  <c r="D3304" i="1"/>
  <c r="F3303" i="1"/>
  <c r="E3303" i="1"/>
  <c r="D3303" i="1"/>
  <c r="F3302" i="1"/>
  <c r="E3302" i="1"/>
  <c r="D3302" i="1"/>
  <c r="F3301" i="1"/>
  <c r="E3301" i="1"/>
  <c r="D3301" i="1"/>
  <c r="F3300" i="1"/>
  <c r="E3300" i="1"/>
  <c r="D3300" i="1"/>
  <c r="F3299" i="1"/>
  <c r="E3299" i="1"/>
  <c r="D3299" i="1"/>
  <c r="F3298" i="1"/>
  <c r="E3298" i="1"/>
  <c r="D3298" i="1"/>
  <c r="F3297" i="1"/>
  <c r="E3297" i="1"/>
  <c r="D3297" i="1"/>
  <c r="C3297" i="1"/>
  <c r="F3296" i="1"/>
  <c r="E3296" i="1"/>
  <c r="D3296" i="1"/>
  <c r="C3296" i="1"/>
  <c r="F3295" i="1"/>
  <c r="E3295" i="1"/>
  <c r="D3295" i="1"/>
  <c r="F3294" i="1"/>
  <c r="E3294" i="1"/>
  <c r="D3294" i="1"/>
  <c r="C3294" i="1"/>
  <c r="F3293" i="1"/>
  <c r="E3293" i="1"/>
  <c r="D3293" i="1"/>
  <c r="F3292" i="1"/>
  <c r="E3292" i="1"/>
  <c r="D3292" i="1"/>
  <c r="C3292" i="1"/>
  <c r="F3291" i="1"/>
  <c r="E3291" i="1"/>
  <c r="D3291" i="1"/>
  <c r="F3290" i="1"/>
  <c r="E3290" i="1"/>
  <c r="D3290" i="1"/>
  <c r="F3289" i="1"/>
  <c r="E3289" i="1"/>
  <c r="D3289" i="1"/>
  <c r="F3288" i="1"/>
  <c r="E3288" i="1"/>
  <c r="D3288" i="1"/>
  <c r="C3288" i="1"/>
  <c r="F3287" i="1"/>
  <c r="E3287" i="1"/>
  <c r="D3287" i="1"/>
  <c r="F3286" i="1"/>
  <c r="E3286" i="1"/>
  <c r="D3286" i="1"/>
  <c r="F3285" i="1"/>
  <c r="E3285" i="1"/>
  <c r="D3285" i="1"/>
  <c r="F3284" i="1"/>
  <c r="E3284" i="1"/>
  <c r="D3284" i="1"/>
  <c r="F3283" i="1"/>
  <c r="E3283" i="1"/>
  <c r="D3283" i="1"/>
  <c r="C3283" i="1"/>
  <c r="F3282" i="1"/>
  <c r="E3282" i="1"/>
  <c r="D3282" i="1"/>
  <c r="C3282" i="1"/>
  <c r="F3281" i="1"/>
  <c r="E3281" i="1"/>
  <c r="D3281" i="1"/>
  <c r="F3280" i="1"/>
  <c r="E3280" i="1"/>
  <c r="D3280" i="1"/>
  <c r="C3280" i="1"/>
  <c r="F3279" i="1"/>
  <c r="E3279" i="1"/>
  <c r="D3279" i="1"/>
  <c r="F3278" i="1"/>
  <c r="E3278" i="1"/>
  <c r="D3278" i="1"/>
  <c r="F3277" i="1"/>
  <c r="E3277" i="1"/>
  <c r="D3277" i="1"/>
  <c r="F3276" i="1"/>
  <c r="E3276" i="1"/>
  <c r="D3276" i="1"/>
  <c r="F3275" i="1"/>
  <c r="E3275" i="1"/>
  <c r="D3275" i="1"/>
  <c r="F3274" i="1"/>
  <c r="E3274" i="1"/>
  <c r="D3274" i="1"/>
  <c r="C3274" i="1"/>
  <c r="F3273" i="1"/>
  <c r="E3273" i="1"/>
  <c r="D3273" i="1"/>
  <c r="C3273" i="1"/>
  <c r="F3272" i="1"/>
  <c r="E3272" i="1"/>
  <c r="D3272" i="1"/>
  <c r="C3272" i="1"/>
  <c r="F3271" i="1"/>
  <c r="E3271" i="1"/>
  <c r="D3271" i="1"/>
  <c r="C3271" i="1"/>
  <c r="F3270" i="1"/>
  <c r="E3270" i="1"/>
  <c r="D3270" i="1"/>
  <c r="C3270" i="1"/>
  <c r="F3269" i="1"/>
  <c r="E3269" i="1"/>
  <c r="D3269" i="1"/>
  <c r="C3269" i="1"/>
  <c r="F3268" i="1"/>
  <c r="E3268" i="1"/>
  <c r="D3268" i="1"/>
  <c r="C3268" i="1"/>
  <c r="F3267" i="1"/>
  <c r="E3267" i="1"/>
  <c r="D3267" i="1"/>
  <c r="C3267" i="1"/>
  <c r="F3266" i="1"/>
  <c r="E3266" i="1"/>
  <c r="D3266" i="1"/>
  <c r="C3266" i="1"/>
  <c r="F3265" i="1"/>
  <c r="E3265" i="1"/>
  <c r="D3265" i="1"/>
  <c r="C3265" i="1"/>
  <c r="F3264" i="1"/>
  <c r="E3264" i="1"/>
  <c r="D3264" i="1"/>
  <c r="C3264" i="1"/>
  <c r="F3263" i="1"/>
  <c r="E3263" i="1"/>
  <c r="D3263" i="1"/>
  <c r="F3262" i="1"/>
  <c r="E3262" i="1"/>
  <c r="D3262" i="1"/>
  <c r="C3262" i="1"/>
  <c r="F3261" i="1"/>
  <c r="E3261" i="1"/>
  <c r="D3261" i="1"/>
  <c r="F3260" i="1"/>
  <c r="E3260" i="1"/>
  <c r="D3260" i="1"/>
  <c r="C3260" i="1"/>
  <c r="F3259" i="1"/>
  <c r="E3259" i="1"/>
  <c r="D3259" i="1"/>
  <c r="F3258" i="1"/>
  <c r="E3258" i="1"/>
  <c r="D3258" i="1"/>
  <c r="F3257" i="1"/>
  <c r="E3257" i="1"/>
  <c r="D3257" i="1"/>
  <c r="F3256" i="1"/>
  <c r="E3256" i="1"/>
  <c r="D3256" i="1"/>
  <c r="C3256" i="1"/>
  <c r="F3255" i="1"/>
  <c r="E3255" i="1"/>
  <c r="D3255" i="1"/>
  <c r="F3254" i="1"/>
  <c r="E3254" i="1"/>
  <c r="D3254" i="1"/>
  <c r="F3253" i="1"/>
  <c r="E3253" i="1"/>
  <c r="D3253" i="1"/>
  <c r="F3252" i="1"/>
  <c r="E3252" i="1"/>
  <c r="D3252" i="1"/>
  <c r="F3251" i="1"/>
  <c r="E3251" i="1"/>
  <c r="D3251" i="1"/>
  <c r="F3250" i="1"/>
  <c r="E3250" i="1"/>
  <c r="D3250" i="1"/>
  <c r="F3249" i="1"/>
  <c r="E3249" i="1"/>
  <c r="D3249" i="1"/>
  <c r="F3248" i="1"/>
  <c r="E3248" i="1"/>
  <c r="D3248" i="1"/>
  <c r="F3247" i="1"/>
  <c r="E3247" i="1"/>
  <c r="D3247" i="1"/>
  <c r="F3246" i="1"/>
  <c r="E3246" i="1"/>
  <c r="D3246" i="1"/>
  <c r="C3246" i="1"/>
  <c r="F3245" i="1"/>
  <c r="E3245" i="1"/>
  <c r="D3245" i="1"/>
  <c r="F3244" i="1"/>
  <c r="E3244" i="1"/>
  <c r="D3244" i="1"/>
  <c r="F3243" i="1"/>
  <c r="E3243" i="1"/>
  <c r="D3243" i="1"/>
  <c r="F3242" i="1"/>
  <c r="E3242" i="1"/>
  <c r="D3242" i="1"/>
  <c r="C3242" i="1"/>
  <c r="F3241" i="1"/>
  <c r="E3241" i="1"/>
  <c r="D3241" i="1"/>
  <c r="F3240" i="1"/>
  <c r="E3240" i="1"/>
  <c r="D3240" i="1"/>
  <c r="C3240" i="1"/>
  <c r="F3239" i="1"/>
  <c r="E3239" i="1"/>
  <c r="D3239" i="1"/>
  <c r="C3239" i="1"/>
  <c r="F3238" i="1"/>
  <c r="E3238" i="1"/>
  <c r="D3238" i="1"/>
  <c r="C3238" i="1"/>
  <c r="F3237" i="1"/>
  <c r="E3237" i="1"/>
  <c r="D3237" i="1"/>
  <c r="C3237" i="1"/>
  <c r="F3236" i="1"/>
  <c r="E3236" i="1"/>
  <c r="D3236" i="1"/>
  <c r="C3236" i="1"/>
  <c r="F3235" i="1"/>
  <c r="E3235" i="1"/>
  <c r="D3235" i="1"/>
  <c r="F3234" i="1"/>
  <c r="E3234" i="1"/>
  <c r="D3234" i="1"/>
  <c r="C3234" i="1"/>
  <c r="F3233" i="1"/>
  <c r="E3233" i="1"/>
  <c r="D3233" i="1"/>
  <c r="F3232" i="1"/>
  <c r="E3232" i="1"/>
  <c r="D3232" i="1"/>
  <c r="C3232" i="1"/>
  <c r="F3231" i="1"/>
  <c r="E3231" i="1"/>
  <c r="D3231" i="1"/>
  <c r="F3230" i="1"/>
  <c r="E3230" i="1"/>
  <c r="D3230" i="1"/>
  <c r="F3229" i="1"/>
  <c r="E3229" i="1"/>
  <c r="D3229" i="1"/>
  <c r="F3228" i="1"/>
  <c r="E3228" i="1"/>
  <c r="D3228" i="1"/>
  <c r="F3227" i="1"/>
  <c r="E3227" i="1"/>
  <c r="D3227" i="1"/>
  <c r="F3226" i="1"/>
  <c r="E3226" i="1"/>
  <c r="D3226" i="1"/>
  <c r="C3226" i="1"/>
  <c r="F3225" i="1"/>
  <c r="E3225" i="1"/>
  <c r="D3225" i="1"/>
  <c r="F3224" i="1"/>
  <c r="E3224" i="1"/>
  <c r="D3224" i="1"/>
  <c r="F3223" i="1"/>
  <c r="E3223" i="1"/>
  <c r="D3223" i="1"/>
  <c r="F3222" i="1"/>
  <c r="E3222" i="1"/>
  <c r="D3222" i="1"/>
  <c r="F3221" i="1"/>
  <c r="E3221" i="1"/>
  <c r="D3221" i="1"/>
  <c r="F3220" i="1"/>
  <c r="E3220" i="1"/>
  <c r="D3220" i="1"/>
  <c r="C3220" i="1"/>
  <c r="F3219" i="1"/>
  <c r="E3219" i="1"/>
  <c r="D3219" i="1"/>
  <c r="C3219" i="1"/>
  <c r="F3218" i="1"/>
  <c r="E3218" i="1"/>
  <c r="D3218" i="1"/>
  <c r="C3218" i="1"/>
  <c r="F3217" i="1"/>
  <c r="E3217" i="1"/>
  <c r="D3217" i="1"/>
  <c r="C3217" i="1"/>
  <c r="F3216" i="1"/>
  <c r="E3216" i="1"/>
  <c r="D3216" i="1"/>
  <c r="C3216" i="1"/>
  <c r="F3215" i="1"/>
  <c r="E3215" i="1"/>
  <c r="D3215" i="1"/>
  <c r="F3214" i="1"/>
  <c r="E3214" i="1"/>
  <c r="D3214" i="1"/>
  <c r="F3213" i="1"/>
  <c r="E3213" i="1"/>
  <c r="D3213" i="1"/>
  <c r="F3212" i="1"/>
  <c r="E3212" i="1"/>
  <c r="D3212" i="1"/>
  <c r="C3212" i="1"/>
  <c r="F3211" i="1"/>
  <c r="E3211" i="1"/>
  <c r="D3211" i="1"/>
  <c r="C3211" i="1"/>
  <c r="F3210" i="1"/>
  <c r="E3210" i="1"/>
  <c r="D3210" i="1"/>
  <c r="C3210" i="1"/>
  <c r="F3209" i="1"/>
  <c r="E3209" i="1"/>
  <c r="D3209" i="1"/>
  <c r="C3209" i="1"/>
  <c r="F3208" i="1"/>
  <c r="E3208" i="1"/>
  <c r="D3208" i="1"/>
  <c r="C3208" i="1"/>
  <c r="F3207" i="1"/>
  <c r="E3207" i="1"/>
  <c r="D3207" i="1"/>
  <c r="F3206" i="1"/>
  <c r="E3206" i="1"/>
  <c r="D3206" i="1"/>
  <c r="F3205" i="1"/>
  <c r="E3205" i="1"/>
  <c r="D3205" i="1"/>
  <c r="F3204" i="1"/>
  <c r="E3204" i="1"/>
  <c r="D3204" i="1"/>
  <c r="F3203" i="1"/>
  <c r="E3203" i="1"/>
  <c r="D3203" i="1"/>
  <c r="F3202" i="1"/>
  <c r="E3202" i="1"/>
  <c r="D3202" i="1"/>
  <c r="F3201" i="1"/>
  <c r="E3201" i="1"/>
  <c r="D3201" i="1"/>
  <c r="C3201" i="1"/>
  <c r="F3200" i="1"/>
  <c r="E3200" i="1"/>
  <c r="D3200" i="1"/>
  <c r="C3200" i="1"/>
  <c r="F3199" i="1"/>
  <c r="E3199" i="1"/>
  <c r="D3199" i="1"/>
  <c r="F3198" i="1"/>
  <c r="E3198" i="1"/>
  <c r="D3198" i="1"/>
  <c r="F3197" i="1"/>
  <c r="E3197" i="1"/>
  <c r="D3197" i="1"/>
  <c r="F3196" i="1"/>
  <c r="E3196" i="1"/>
  <c r="D3196" i="1"/>
  <c r="F3195" i="1"/>
  <c r="E3195" i="1"/>
  <c r="D3195" i="1"/>
  <c r="C3195" i="1"/>
  <c r="F3194" i="1"/>
  <c r="E3194" i="1"/>
  <c r="D3194" i="1"/>
  <c r="C3194" i="1"/>
  <c r="F3193" i="1"/>
  <c r="E3193" i="1"/>
  <c r="D3193" i="1"/>
  <c r="F3192" i="1"/>
  <c r="E3192" i="1"/>
  <c r="D3192" i="1"/>
  <c r="C3192" i="1"/>
  <c r="F3191" i="1"/>
  <c r="E3191" i="1"/>
  <c r="D3191" i="1"/>
  <c r="F3190" i="1"/>
  <c r="E3190" i="1"/>
  <c r="D3190" i="1"/>
  <c r="F3189" i="1"/>
  <c r="E3189" i="1"/>
  <c r="D3189" i="1"/>
  <c r="F3188" i="1"/>
  <c r="E3188" i="1"/>
  <c r="D3188" i="1"/>
  <c r="F3187" i="1"/>
  <c r="E3187" i="1"/>
  <c r="D3187" i="1"/>
  <c r="F3186" i="1"/>
  <c r="E3186" i="1"/>
  <c r="D3186" i="1"/>
  <c r="F3185" i="1"/>
  <c r="E3185" i="1"/>
  <c r="D3185" i="1"/>
  <c r="C3185" i="1"/>
  <c r="F3184" i="1"/>
  <c r="E3184" i="1"/>
  <c r="D3184" i="1"/>
  <c r="C3184" i="1"/>
  <c r="F3183" i="1"/>
  <c r="E3183" i="1"/>
  <c r="D3183" i="1"/>
  <c r="F3182" i="1"/>
  <c r="E3182" i="1"/>
  <c r="D3182" i="1"/>
  <c r="F3181" i="1"/>
  <c r="E3181" i="1"/>
  <c r="D3181" i="1"/>
  <c r="F3180" i="1"/>
  <c r="E3180" i="1"/>
  <c r="D3180" i="1"/>
  <c r="C3180" i="1"/>
  <c r="F3179" i="1"/>
  <c r="E3179" i="1"/>
  <c r="D3179" i="1"/>
  <c r="C3179" i="1"/>
  <c r="F3178" i="1"/>
  <c r="E3178" i="1"/>
  <c r="D3178" i="1"/>
  <c r="C3178" i="1"/>
  <c r="F3177" i="1"/>
  <c r="E3177" i="1"/>
  <c r="D3177" i="1"/>
  <c r="F3176" i="1"/>
  <c r="E3176" i="1"/>
  <c r="D3176" i="1"/>
  <c r="F3175" i="1"/>
  <c r="E3175" i="1"/>
  <c r="D3175" i="1"/>
  <c r="C3175" i="1"/>
  <c r="F3174" i="1"/>
  <c r="E3174" i="1"/>
  <c r="D3174" i="1"/>
  <c r="C3174" i="1"/>
  <c r="F3173" i="1"/>
  <c r="E3173" i="1"/>
  <c r="D3173" i="1"/>
  <c r="F3172" i="1"/>
  <c r="E3172" i="1"/>
  <c r="D3172" i="1"/>
  <c r="F3171" i="1"/>
  <c r="E3171" i="1"/>
  <c r="D3171" i="1"/>
  <c r="F3170" i="1"/>
  <c r="E3170" i="1"/>
  <c r="D3170" i="1"/>
  <c r="F3169" i="1"/>
  <c r="E3169" i="1"/>
  <c r="D3169" i="1"/>
  <c r="C3169" i="1"/>
  <c r="F3168" i="1"/>
  <c r="E3168" i="1"/>
  <c r="D3168" i="1"/>
  <c r="C3168" i="1"/>
  <c r="F3167" i="1"/>
  <c r="E3167" i="1"/>
  <c r="D3167" i="1"/>
  <c r="F3166" i="1"/>
  <c r="E3166" i="1"/>
  <c r="D3166" i="1"/>
  <c r="C3166" i="1"/>
  <c r="F3165" i="1"/>
  <c r="E3165" i="1"/>
  <c r="D3165" i="1"/>
  <c r="F3164" i="1"/>
  <c r="E3164" i="1"/>
  <c r="D3164" i="1"/>
  <c r="F3163" i="1"/>
  <c r="E3163" i="1"/>
  <c r="D3163" i="1"/>
  <c r="F3162" i="1"/>
  <c r="E3162" i="1"/>
  <c r="D3162" i="1"/>
  <c r="F3161" i="1"/>
  <c r="E3161" i="1"/>
  <c r="D3161" i="1"/>
  <c r="F3160" i="1"/>
  <c r="E3160" i="1"/>
  <c r="D3160" i="1"/>
  <c r="C3160" i="1"/>
  <c r="F3159" i="1"/>
  <c r="E3159" i="1"/>
  <c r="D3159" i="1"/>
  <c r="C3159" i="1"/>
  <c r="F3158" i="1"/>
  <c r="E3158" i="1"/>
  <c r="D3158" i="1"/>
  <c r="C3158" i="1"/>
  <c r="F3157" i="1"/>
  <c r="E3157" i="1"/>
  <c r="D3157" i="1"/>
  <c r="F3156" i="1"/>
  <c r="E3156" i="1"/>
  <c r="D3156" i="1"/>
  <c r="C3156" i="1"/>
  <c r="F3155" i="1"/>
  <c r="E3155" i="1"/>
  <c r="D3155" i="1"/>
  <c r="F3154" i="1"/>
  <c r="E3154" i="1"/>
  <c r="D3154" i="1"/>
  <c r="F3153" i="1"/>
  <c r="E3153" i="1"/>
  <c r="D3153" i="1"/>
  <c r="F3152" i="1"/>
  <c r="E3152" i="1"/>
  <c r="D3152" i="1"/>
  <c r="C3152" i="1"/>
  <c r="F3151" i="1"/>
  <c r="E3151" i="1"/>
  <c r="D3151" i="1"/>
  <c r="C3151" i="1"/>
  <c r="F3150" i="1"/>
  <c r="E3150" i="1"/>
  <c r="D3150" i="1"/>
  <c r="C3150" i="1"/>
  <c r="F3149" i="1"/>
  <c r="E3149" i="1"/>
  <c r="D3149" i="1"/>
  <c r="F3148" i="1"/>
  <c r="E3148" i="1"/>
  <c r="D3148" i="1"/>
  <c r="F3147" i="1"/>
  <c r="E3147" i="1"/>
  <c r="D3147" i="1"/>
  <c r="F3146" i="1"/>
  <c r="E3146" i="1"/>
  <c r="D3146" i="1"/>
  <c r="F3145" i="1"/>
  <c r="E3145" i="1"/>
  <c r="D3145" i="1"/>
  <c r="C3145" i="1"/>
  <c r="F3144" i="1"/>
  <c r="E3144" i="1"/>
  <c r="D3144" i="1"/>
  <c r="C3144" i="1"/>
  <c r="F3143" i="1"/>
  <c r="E3143" i="1"/>
  <c r="D3143" i="1"/>
  <c r="C3143" i="1"/>
  <c r="F3142" i="1"/>
  <c r="E3142" i="1"/>
  <c r="D3142" i="1"/>
  <c r="C3142" i="1"/>
  <c r="F3141" i="1"/>
  <c r="E3141" i="1"/>
  <c r="D3141" i="1"/>
  <c r="C3141" i="1"/>
  <c r="F3140" i="1"/>
  <c r="E3140" i="1"/>
  <c r="D3140" i="1"/>
  <c r="C3140" i="1"/>
  <c r="F3139" i="1"/>
  <c r="E3139" i="1"/>
  <c r="D3139" i="1"/>
  <c r="F3138" i="1"/>
  <c r="E3138" i="1"/>
  <c r="D3138" i="1"/>
  <c r="C3138" i="1"/>
  <c r="F3137" i="1"/>
  <c r="E3137" i="1"/>
  <c r="D3137" i="1"/>
  <c r="F3136" i="1"/>
  <c r="E3136" i="1"/>
  <c r="D3136" i="1"/>
  <c r="F3135" i="1"/>
  <c r="E3135" i="1"/>
  <c r="D3135" i="1"/>
  <c r="F3134" i="1"/>
  <c r="E3134" i="1"/>
  <c r="D3134" i="1"/>
  <c r="F3133" i="1"/>
  <c r="E3133" i="1"/>
  <c r="D3133" i="1"/>
  <c r="C3133" i="1"/>
  <c r="F3132" i="1"/>
  <c r="E3132" i="1"/>
  <c r="D3132" i="1"/>
  <c r="C3132" i="1"/>
  <c r="F3131" i="1"/>
  <c r="E3131" i="1"/>
  <c r="D3131" i="1"/>
  <c r="F3130" i="1"/>
  <c r="E3130" i="1"/>
  <c r="D3130" i="1"/>
  <c r="C3130" i="1"/>
  <c r="F3129" i="1"/>
  <c r="E3129" i="1"/>
  <c r="D3129" i="1"/>
  <c r="C3129" i="1"/>
  <c r="F3128" i="1"/>
  <c r="E3128" i="1"/>
  <c r="D3128" i="1"/>
  <c r="C3128" i="1"/>
  <c r="F3127" i="1"/>
  <c r="E3127" i="1"/>
  <c r="D3127" i="1"/>
  <c r="F3126" i="1"/>
  <c r="E3126" i="1"/>
  <c r="D3126" i="1"/>
  <c r="F3125" i="1"/>
  <c r="E3125" i="1"/>
  <c r="D3125" i="1"/>
  <c r="F3124" i="1"/>
  <c r="E3124" i="1"/>
  <c r="D3124" i="1"/>
  <c r="C3124" i="1"/>
  <c r="F3123" i="1"/>
  <c r="E3123" i="1"/>
  <c r="D3123" i="1"/>
  <c r="C3123" i="1"/>
  <c r="F3122" i="1"/>
  <c r="E3122" i="1"/>
  <c r="D3122" i="1"/>
  <c r="C3122" i="1"/>
  <c r="F3121" i="1"/>
  <c r="E3121" i="1"/>
  <c r="D3121" i="1"/>
  <c r="F3120" i="1"/>
  <c r="E3120" i="1"/>
  <c r="D3120" i="1"/>
  <c r="F3119" i="1"/>
  <c r="E3119" i="1"/>
  <c r="D3119" i="1"/>
  <c r="F3118" i="1"/>
  <c r="E3118" i="1"/>
  <c r="D3118" i="1"/>
  <c r="F3117" i="1"/>
  <c r="E3117" i="1"/>
  <c r="D3117" i="1"/>
  <c r="F3116" i="1"/>
  <c r="E3116" i="1"/>
  <c r="D3116" i="1"/>
  <c r="F3115" i="1"/>
  <c r="E3115" i="1"/>
  <c r="D3115" i="1"/>
  <c r="F3114" i="1"/>
  <c r="E3114" i="1"/>
  <c r="D3114" i="1"/>
  <c r="C3114" i="1"/>
  <c r="F3113" i="1"/>
  <c r="E3113" i="1"/>
  <c r="D3113" i="1"/>
  <c r="C3113" i="1"/>
  <c r="F3112" i="1"/>
  <c r="E3112" i="1"/>
  <c r="D3112" i="1"/>
  <c r="C3112" i="1"/>
  <c r="F3111" i="1"/>
  <c r="E3111" i="1"/>
  <c r="D3111" i="1"/>
  <c r="F3110" i="1"/>
  <c r="E3110" i="1"/>
  <c r="D3110" i="1"/>
  <c r="C3110" i="1"/>
  <c r="F3109" i="1"/>
  <c r="E3109" i="1"/>
  <c r="D3109" i="1"/>
  <c r="F3108" i="1"/>
  <c r="E3108" i="1"/>
  <c r="D3108" i="1"/>
  <c r="F3107" i="1"/>
  <c r="E3107" i="1"/>
  <c r="D3107" i="1"/>
  <c r="F3106" i="1"/>
  <c r="E3106" i="1"/>
  <c r="D3106" i="1"/>
  <c r="C3106" i="1"/>
  <c r="F3105" i="1"/>
  <c r="E3105" i="1"/>
  <c r="D3105" i="1"/>
  <c r="F3104" i="1"/>
  <c r="E3104" i="1"/>
  <c r="D3104" i="1"/>
  <c r="C3104" i="1"/>
  <c r="F3103" i="1"/>
  <c r="E3103" i="1"/>
  <c r="D3103" i="1"/>
  <c r="F3102" i="1"/>
  <c r="E3102" i="1"/>
  <c r="D3102" i="1"/>
  <c r="C3102" i="1"/>
  <c r="F3101" i="1"/>
  <c r="E3101" i="1"/>
  <c r="D3101" i="1"/>
  <c r="F3100" i="1"/>
  <c r="E3100" i="1"/>
  <c r="D3100" i="1"/>
  <c r="F3099" i="1"/>
  <c r="E3099" i="1"/>
  <c r="D3099" i="1"/>
  <c r="F3098" i="1"/>
  <c r="E3098" i="1"/>
  <c r="D3098" i="1"/>
  <c r="F3097" i="1"/>
  <c r="E3097" i="1"/>
  <c r="D3097" i="1"/>
  <c r="F3096" i="1"/>
  <c r="E3096" i="1"/>
  <c r="D3096" i="1"/>
  <c r="C3096" i="1"/>
  <c r="F3095" i="1"/>
  <c r="E3095" i="1"/>
  <c r="D3095" i="1"/>
  <c r="C3095" i="1"/>
  <c r="F3094" i="1"/>
  <c r="E3094" i="1"/>
  <c r="D3094" i="1"/>
  <c r="C3094" i="1"/>
  <c r="F3093" i="1"/>
  <c r="E3093" i="1"/>
  <c r="D3093" i="1"/>
  <c r="C3093" i="1"/>
  <c r="F3092" i="1"/>
  <c r="E3092" i="1"/>
  <c r="D3092" i="1"/>
  <c r="C3092" i="1"/>
  <c r="F3091" i="1"/>
  <c r="E3091" i="1"/>
  <c r="D3091" i="1"/>
  <c r="C3091" i="1"/>
  <c r="F3090" i="1"/>
  <c r="E3090" i="1"/>
  <c r="D3090" i="1"/>
  <c r="C3090" i="1"/>
  <c r="F3089" i="1"/>
  <c r="E3089" i="1"/>
  <c r="D3089" i="1"/>
  <c r="F3088" i="1"/>
  <c r="E3088" i="1"/>
  <c r="D3088" i="1"/>
  <c r="C3088" i="1"/>
  <c r="F3087" i="1"/>
  <c r="E3087" i="1"/>
  <c r="D3087" i="1"/>
  <c r="C3087" i="1"/>
  <c r="F3086" i="1"/>
  <c r="E3086" i="1"/>
  <c r="D3086" i="1"/>
  <c r="C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C3082" i="1"/>
  <c r="F3081" i="1"/>
  <c r="E3081" i="1"/>
  <c r="D3081" i="1"/>
  <c r="C3081" i="1"/>
  <c r="F3080" i="1"/>
  <c r="E3080" i="1"/>
  <c r="D3080" i="1"/>
  <c r="C3080" i="1"/>
  <c r="F3079" i="1"/>
  <c r="E3079" i="1"/>
  <c r="D3079" i="1"/>
  <c r="F3078" i="1"/>
  <c r="E3078" i="1"/>
  <c r="D3078" i="1"/>
  <c r="C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C3074" i="1"/>
  <c r="F3073" i="1"/>
  <c r="E3073" i="1"/>
  <c r="D3073" i="1"/>
  <c r="F3072" i="1"/>
  <c r="E3072" i="1"/>
  <c r="D3072" i="1"/>
  <c r="F3071" i="1"/>
  <c r="E3071" i="1"/>
  <c r="D3071" i="1"/>
  <c r="C3071" i="1"/>
  <c r="F3070" i="1"/>
  <c r="E3070" i="1"/>
  <c r="D3070" i="1"/>
  <c r="C3070" i="1"/>
  <c r="F3069" i="1"/>
  <c r="E3069" i="1"/>
  <c r="D3069" i="1"/>
  <c r="C3069" i="1"/>
  <c r="F3068" i="1"/>
  <c r="E3068" i="1"/>
  <c r="D3068" i="1"/>
  <c r="C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C3064" i="1"/>
  <c r="F3063" i="1"/>
  <c r="E3063" i="1"/>
  <c r="D3063" i="1"/>
  <c r="C3063" i="1"/>
  <c r="F3062" i="1"/>
  <c r="E3062" i="1"/>
  <c r="D3062" i="1"/>
  <c r="C3062" i="1"/>
  <c r="F3061" i="1"/>
  <c r="E3061" i="1"/>
  <c r="D3061" i="1"/>
  <c r="C3061" i="1"/>
  <c r="F3060" i="1"/>
  <c r="E3060" i="1"/>
  <c r="D3060" i="1"/>
  <c r="C3060" i="1"/>
  <c r="F3059" i="1"/>
  <c r="E3059" i="1"/>
  <c r="D3059" i="1"/>
  <c r="F3058" i="1"/>
  <c r="E3058" i="1"/>
  <c r="D3058" i="1"/>
  <c r="C3058" i="1"/>
  <c r="F3057" i="1"/>
  <c r="E3057" i="1"/>
  <c r="D3057" i="1"/>
  <c r="F3056" i="1"/>
  <c r="E3056" i="1"/>
  <c r="D3056" i="1"/>
  <c r="C3056" i="1"/>
  <c r="F3055" i="1"/>
  <c r="E3055" i="1"/>
  <c r="D3055" i="1"/>
  <c r="C3055" i="1"/>
  <c r="F3054" i="1"/>
  <c r="E3054" i="1"/>
  <c r="D3054" i="1"/>
  <c r="C3054" i="1"/>
  <c r="F3053" i="1"/>
  <c r="E3053" i="1"/>
  <c r="D3053" i="1"/>
  <c r="C3053" i="1"/>
  <c r="F3052" i="1"/>
  <c r="E3052" i="1"/>
  <c r="D3052" i="1"/>
  <c r="C3052" i="1"/>
  <c r="F3051" i="1"/>
  <c r="E3051" i="1"/>
  <c r="D3051" i="1"/>
  <c r="F3050" i="1"/>
  <c r="E3050" i="1"/>
  <c r="D3050" i="1"/>
  <c r="C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C3044" i="1"/>
  <c r="F3043" i="1"/>
  <c r="E3043" i="1"/>
  <c r="D3043" i="1"/>
  <c r="F3042" i="1"/>
  <c r="E3042" i="1"/>
  <c r="D3042" i="1"/>
  <c r="C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C3037" i="1"/>
  <c r="F3036" i="1"/>
  <c r="E3036" i="1"/>
  <c r="D3036" i="1"/>
  <c r="C3036" i="1"/>
  <c r="F3035" i="1"/>
  <c r="E3035" i="1"/>
  <c r="D3035" i="1"/>
  <c r="C3035" i="1"/>
  <c r="F3034" i="1"/>
  <c r="E3034" i="1"/>
  <c r="D3034" i="1"/>
  <c r="C3034" i="1"/>
  <c r="F3033" i="1"/>
  <c r="E3033" i="1"/>
  <c r="D3033" i="1"/>
  <c r="F3032" i="1"/>
  <c r="E3032" i="1"/>
  <c r="D3032" i="1"/>
  <c r="C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C3027" i="1"/>
  <c r="F3026" i="1"/>
  <c r="E3026" i="1"/>
  <c r="D3026" i="1"/>
  <c r="C3026" i="1"/>
  <c r="F3025" i="1"/>
  <c r="E3025" i="1"/>
  <c r="D3025" i="1"/>
  <c r="C3025" i="1"/>
  <c r="F3024" i="1"/>
  <c r="E3024" i="1"/>
  <c r="D3024" i="1"/>
  <c r="C3024" i="1"/>
  <c r="F3023" i="1"/>
  <c r="E3023" i="1"/>
  <c r="D3023" i="1"/>
  <c r="F3022" i="1"/>
  <c r="E3022" i="1"/>
  <c r="D3022" i="1"/>
  <c r="C3022" i="1"/>
  <c r="F3021" i="1"/>
  <c r="E3021" i="1"/>
  <c r="D3021" i="1"/>
  <c r="F3020" i="1"/>
  <c r="E3020" i="1"/>
  <c r="D3020" i="1"/>
  <c r="F3019" i="1"/>
  <c r="E3019" i="1"/>
  <c r="D3019" i="1"/>
  <c r="C3019" i="1"/>
  <c r="F3018" i="1"/>
  <c r="E3018" i="1"/>
  <c r="D3018" i="1"/>
  <c r="C3018" i="1"/>
  <c r="F3017" i="1"/>
  <c r="E3017" i="1"/>
  <c r="D3017" i="1"/>
  <c r="F3016" i="1"/>
  <c r="E3016" i="1"/>
  <c r="D3016" i="1"/>
  <c r="C3016" i="1"/>
  <c r="F3015" i="1"/>
  <c r="E3015" i="1"/>
  <c r="D3015" i="1"/>
  <c r="F3014" i="1"/>
  <c r="E3014" i="1"/>
  <c r="D3014" i="1"/>
  <c r="F3013" i="1"/>
  <c r="E3013" i="1"/>
  <c r="D3013" i="1"/>
  <c r="F3012" i="1"/>
  <c r="E3012" i="1"/>
  <c r="D3012" i="1"/>
  <c r="F3011" i="1"/>
  <c r="E3011" i="1"/>
  <c r="D3011" i="1"/>
  <c r="F3010" i="1"/>
  <c r="E3010" i="1"/>
  <c r="D3010" i="1"/>
  <c r="F3009" i="1"/>
  <c r="E3009" i="1"/>
  <c r="D3009" i="1"/>
  <c r="F3008" i="1"/>
  <c r="E3008" i="1"/>
  <c r="D3008" i="1"/>
  <c r="F3007" i="1"/>
  <c r="E3007" i="1"/>
  <c r="D3007" i="1"/>
  <c r="F3006" i="1"/>
  <c r="E3006" i="1"/>
  <c r="D3006" i="1"/>
  <c r="F3005" i="1"/>
  <c r="E3005" i="1"/>
  <c r="D3005" i="1"/>
  <c r="F3004" i="1"/>
  <c r="E3004" i="1"/>
  <c r="D3004" i="1"/>
  <c r="C3004" i="1"/>
  <c r="F3003" i="1"/>
  <c r="E3003" i="1"/>
  <c r="D3003" i="1"/>
  <c r="F3002" i="1"/>
  <c r="E3002" i="1"/>
  <c r="D3002" i="1"/>
  <c r="C3002" i="1"/>
  <c r="F3001" i="1"/>
  <c r="E3001" i="1"/>
  <c r="D3001" i="1"/>
  <c r="F3000" i="1"/>
  <c r="E3000" i="1"/>
  <c r="D3000" i="1"/>
  <c r="C3000" i="1"/>
  <c r="F2999" i="1"/>
  <c r="E2999" i="1"/>
  <c r="D2999" i="1"/>
  <c r="F2998" i="1"/>
  <c r="E2998" i="1"/>
  <c r="D2998" i="1"/>
  <c r="F2997" i="1"/>
  <c r="E2997" i="1"/>
  <c r="D2997" i="1"/>
  <c r="F2996" i="1"/>
  <c r="E2996" i="1"/>
  <c r="D2996" i="1"/>
  <c r="C2996" i="1"/>
  <c r="F2995" i="1"/>
  <c r="E2995" i="1"/>
  <c r="D2995" i="1"/>
  <c r="C2995" i="1"/>
  <c r="F2994" i="1"/>
  <c r="E2994" i="1"/>
  <c r="D2994" i="1"/>
  <c r="C2994" i="1"/>
  <c r="F2993" i="1"/>
  <c r="E2993" i="1"/>
  <c r="D2993" i="1"/>
  <c r="C2993" i="1"/>
  <c r="F2992" i="1"/>
  <c r="E2992" i="1"/>
  <c r="D2992" i="1"/>
  <c r="C2992" i="1"/>
  <c r="F2991" i="1"/>
  <c r="E2991" i="1"/>
  <c r="D2991" i="1"/>
  <c r="C2991" i="1"/>
  <c r="F2990" i="1"/>
  <c r="E2990" i="1"/>
  <c r="D2990" i="1"/>
  <c r="C2990" i="1"/>
  <c r="F2989" i="1"/>
  <c r="E2989" i="1"/>
  <c r="D2989" i="1"/>
  <c r="F2988" i="1"/>
  <c r="E2988" i="1"/>
  <c r="D2988" i="1"/>
  <c r="C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C2983" i="1"/>
  <c r="F2982" i="1"/>
  <c r="E2982" i="1"/>
  <c r="D2982" i="1"/>
  <c r="C2982" i="1"/>
  <c r="F2981" i="1"/>
  <c r="E2981" i="1"/>
  <c r="D2981" i="1"/>
  <c r="C2981" i="1"/>
  <c r="F2980" i="1"/>
  <c r="E2980" i="1"/>
  <c r="D2980" i="1"/>
  <c r="C2980" i="1"/>
  <c r="F2979" i="1"/>
  <c r="E2979" i="1"/>
  <c r="D2979" i="1"/>
  <c r="F2978" i="1"/>
  <c r="E2978" i="1"/>
  <c r="D2978" i="1"/>
  <c r="F2977" i="1"/>
  <c r="E2977" i="1"/>
  <c r="D2977" i="1"/>
  <c r="C2977" i="1"/>
  <c r="F2976" i="1"/>
  <c r="E2976" i="1"/>
  <c r="D2976" i="1"/>
  <c r="C2976" i="1"/>
  <c r="F2975" i="1"/>
  <c r="E2975" i="1"/>
  <c r="D2975" i="1"/>
  <c r="C2975" i="1"/>
  <c r="F2974" i="1"/>
  <c r="E2974" i="1"/>
  <c r="D2974" i="1"/>
  <c r="C2974" i="1"/>
  <c r="F2973" i="1"/>
  <c r="E2973" i="1"/>
  <c r="D2973" i="1"/>
  <c r="F2972" i="1"/>
  <c r="E2972" i="1"/>
  <c r="D2972" i="1"/>
  <c r="C2972" i="1"/>
  <c r="F2971" i="1"/>
  <c r="E2971" i="1"/>
  <c r="D2971" i="1"/>
  <c r="F2970" i="1"/>
  <c r="E2970" i="1"/>
  <c r="D2970" i="1"/>
  <c r="C2970" i="1"/>
  <c r="F2969" i="1"/>
  <c r="E2969" i="1"/>
  <c r="D2969" i="1"/>
  <c r="F2968" i="1"/>
  <c r="E2968" i="1"/>
  <c r="D2968" i="1"/>
  <c r="C2968" i="1"/>
  <c r="F2967" i="1"/>
  <c r="E2967" i="1"/>
  <c r="D2967" i="1"/>
  <c r="F2966" i="1"/>
  <c r="E2966" i="1"/>
  <c r="D2966" i="1"/>
  <c r="C2966" i="1"/>
  <c r="F2965" i="1"/>
  <c r="E2965" i="1"/>
  <c r="D2965" i="1"/>
  <c r="C2965" i="1"/>
  <c r="F2964" i="1"/>
  <c r="E2964" i="1"/>
  <c r="D2964" i="1"/>
  <c r="C2964" i="1"/>
  <c r="F2963" i="1"/>
  <c r="E2963" i="1"/>
  <c r="D2963" i="1"/>
  <c r="C2963" i="1"/>
  <c r="F2962" i="1"/>
  <c r="E2962" i="1"/>
  <c r="D2962" i="1"/>
  <c r="C2962" i="1"/>
  <c r="F2961" i="1"/>
  <c r="E2961" i="1"/>
  <c r="D2961" i="1"/>
  <c r="F2960" i="1"/>
  <c r="E2960" i="1"/>
  <c r="D2960" i="1"/>
  <c r="C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C2956" i="1"/>
  <c r="F2955" i="1"/>
  <c r="E2955" i="1"/>
  <c r="D2955" i="1"/>
  <c r="F2954" i="1"/>
  <c r="E2954" i="1"/>
  <c r="D2954" i="1"/>
  <c r="C2954" i="1"/>
  <c r="F2953" i="1"/>
  <c r="E2953" i="1"/>
  <c r="D2953" i="1"/>
  <c r="F2952" i="1"/>
  <c r="E2952" i="1"/>
  <c r="D2952" i="1"/>
  <c r="C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C2946" i="1"/>
  <c r="F2945" i="1"/>
  <c r="E2945" i="1"/>
  <c r="D2945" i="1"/>
  <c r="C2945" i="1"/>
  <c r="F2944" i="1"/>
  <c r="E2944" i="1"/>
  <c r="D2944" i="1"/>
  <c r="C2944" i="1"/>
  <c r="F2943" i="1"/>
  <c r="E2943" i="1"/>
  <c r="D2943" i="1"/>
  <c r="F2942" i="1"/>
  <c r="E2942" i="1"/>
  <c r="D2942" i="1"/>
  <c r="C2942" i="1"/>
  <c r="F2941" i="1"/>
  <c r="E2941" i="1"/>
  <c r="D2941" i="1"/>
  <c r="F2940" i="1"/>
  <c r="E2940" i="1"/>
  <c r="D2940" i="1"/>
  <c r="F2939" i="1"/>
  <c r="E2939" i="1"/>
  <c r="D2939" i="1"/>
  <c r="C2939" i="1"/>
  <c r="F2938" i="1"/>
  <c r="E2938" i="1"/>
  <c r="D2938" i="1"/>
  <c r="C2938" i="1"/>
  <c r="F2937" i="1"/>
  <c r="E2937" i="1"/>
  <c r="D2937" i="1"/>
  <c r="C2937" i="1"/>
  <c r="F2936" i="1"/>
  <c r="E2936" i="1"/>
  <c r="D2936" i="1"/>
  <c r="C2936" i="1"/>
  <c r="F2935" i="1"/>
  <c r="E2935" i="1"/>
  <c r="D2935" i="1"/>
  <c r="F2934" i="1"/>
  <c r="E2934" i="1"/>
  <c r="D2934" i="1"/>
  <c r="C2934" i="1"/>
  <c r="F2933" i="1"/>
  <c r="E2933" i="1"/>
  <c r="D2933" i="1"/>
  <c r="C2933" i="1"/>
  <c r="F2932" i="1"/>
  <c r="E2932" i="1"/>
  <c r="D2932" i="1"/>
  <c r="C2932" i="1"/>
  <c r="F2931" i="1"/>
  <c r="E2931" i="1"/>
  <c r="D2931" i="1"/>
  <c r="C2931" i="1"/>
  <c r="F2930" i="1"/>
  <c r="E2930" i="1"/>
  <c r="D2930" i="1"/>
  <c r="C2930" i="1"/>
  <c r="F2929" i="1"/>
  <c r="E2929" i="1"/>
  <c r="D2929" i="1"/>
  <c r="F2928" i="1"/>
  <c r="E2928" i="1"/>
  <c r="D2928" i="1"/>
  <c r="C2928" i="1"/>
  <c r="F2927" i="1"/>
  <c r="E2927" i="1"/>
  <c r="D2927" i="1"/>
  <c r="F2926" i="1"/>
  <c r="E2926" i="1"/>
  <c r="D2926" i="1"/>
  <c r="F2925" i="1"/>
  <c r="E2925" i="1"/>
  <c r="D2925" i="1"/>
  <c r="F2924" i="1"/>
  <c r="E2924" i="1"/>
  <c r="D2924" i="1"/>
  <c r="F2923" i="1"/>
  <c r="E2923" i="1"/>
  <c r="D2923" i="1"/>
  <c r="F2922" i="1"/>
  <c r="E2922" i="1"/>
  <c r="D2922" i="1"/>
  <c r="F2921" i="1"/>
  <c r="E2921" i="1"/>
  <c r="D2921" i="1"/>
  <c r="F2920" i="1"/>
  <c r="E2920" i="1"/>
  <c r="D2920" i="1"/>
  <c r="F2919" i="1"/>
  <c r="E2919" i="1"/>
  <c r="D2919" i="1"/>
  <c r="F2918" i="1"/>
  <c r="E2918" i="1"/>
  <c r="D2918" i="1"/>
  <c r="C2918" i="1"/>
  <c r="F2917" i="1"/>
  <c r="E2917" i="1"/>
  <c r="D2917" i="1"/>
  <c r="F2916" i="1"/>
  <c r="E2916" i="1"/>
  <c r="D2916" i="1"/>
  <c r="C2916" i="1"/>
  <c r="F2915" i="1"/>
  <c r="E2915" i="1"/>
  <c r="D2915" i="1"/>
  <c r="F2914" i="1"/>
  <c r="E2914" i="1"/>
  <c r="D2914" i="1"/>
  <c r="C2914" i="1"/>
  <c r="F2913" i="1"/>
  <c r="E2913" i="1"/>
  <c r="D2913" i="1"/>
  <c r="F2912" i="1"/>
  <c r="E2912" i="1"/>
  <c r="D2912" i="1"/>
  <c r="C2912" i="1"/>
  <c r="F2911" i="1"/>
  <c r="E2911" i="1"/>
  <c r="D2911" i="1"/>
  <c r="F2910" i="1"/>
  <c r="E2910" i="1"/>
  <c r="D2910" i="1"/>
  <c r="F2909" i="1"/>
  <c r="E2909" i="1"/>
  <c r="D2909" i="1"/>
  <c r="F2908" i="1"/>
  <c r="E2908" i="1"/>
  <c r="D2908" i="1"/>
  <c r="C2908" i="1"/>
  <c r="F2907" i="1"/>
  <c r="E2907" i="1"/>
  <c r="D2907" i="1"/>
  <c r="F2906" i="1"/>
  <c r="E2906" i="1"/>
  <c r="D2906" i="1"/>
  <c r="C2906" i="1"/>
  <c r="F2905" i="1"/>
  <c r="E2905" i="1"/>
  <c r="D2905" i="1"/>
  <c r="F2904" i="1"/>
  <c r="E2904" i="1"/>
  <c r="D2904" i="1"/>
  <c r="C2904" i="1"/>
  <c r="F2903" i="1"/>
  <c r="E2903" i="1"/>
  <c r="D2903" i="1"/>
  <c r="F2902" i="1"/>
  <c r="E2902" i="1"/>
  <c r="D2902" i="1"/>
  <c r="C2902" i="1"/>
  <c r="F2901" i="1"/>
  <c r="E2901" i="1"/>
  <c r="D2901" i="1"/>
  <c r="F2900" i="1"/>
  <c r="E2900" i="1"/>
  <c r="D2900" i="1"/>
  <c r="C2900" i="1"/>
  <c r="F2899" i="1"/>
  <c r="E2899" i="1"/>
  <c r="D2899" i="1"/>
  <c r="F2898" i="1"/>
  <c r="E2898" i="1"/>
  <c r="D2898" i="1"/>
  <c r="C2898" i="1"/>
  <c r="F2897" i="1"/>
  <c r="E2897" i="1"/>
  <c r="D2897" i="1"/>
  <c r="F2896" i="1"/>
  <c r="E2896" i="1"/>
  <c r="D2896" i="1"/>
  <c r="F2895" i="1"/>
  <c r="E2895" i="1"/>
  <c r="D2895" i="1"/>
  <c r="C2895" i="1"/>
  <c r="F2894" i="1"/>
  <c r="E2894" i="1"/>
  <c r="D2894" i="1"/>
  <c r="C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C2889" i="1"/>
  <c r="F2888" i="1"/>
  <c r="E2888" i="1"/>
  <c r="D2888" i="1"/>
  <c r="C2888" i="1"/>
  <c r="F2887" i="1"/>
  <c r="E2887" i="1"/>
  <c r="D2887" i="1"/>
  <c r="C2887" i="1"/>
  <c r="F2886" i="1"/>
  <c r="E2886" i="1"/>
  <c r="D2886" i="1"/>
  <c r="C2886" i="1"/>
  <c r="F2885" i="1"/>
  <c r="E2885" i="1"/>
  <c r="D2885" i="1"/>
  <c r="F2884" i="1"/>
  <c r="E2884" i="1"/>
  <c r="D2884" i="1"/>
  <c r="C2884" i="1"/>
  <c r="F2883" i="1"/>
  <c r="E2883" i="1"/>
  <c r="D2883" i="1"/>
  <c r="C2883" i="1"/>
  <c r="F2882" i="1"/>
  <c r="E2882" i="1"/>
  <c r="D2882" i="1"/>
  <c r="C2882" i="1"/>
  <c r="F2881" i="1"/>
  <c r="E2881" i="1"/>
  <c r="D2881" i="1"/>
  <c r="C2881" i="1"/>
  <c r="F2880" i="1"/>
  <c r="E2880" i="1"/>
  <c r="D2880" i="1"/>
  <c r="C2880" i="1"/>
  <c r="F2879" i="1"/>
  <c r="E2879" i="1"/>
  <c r="D2879" i="1"/>
  <c r="C2879" i="1"/>
  <c r="F2878" i="1"/>
  <c r="E2878" i="1"/>
  <c r="D2878" i="1"/>
  <c r="C2878" i="1"/>
  <c r="F2877" i="1"/>
  <c r="E2877" i="1"/>
  <c r="D2877" i="1"/>
  <c r="C2877" i="1"/>
  <c r="F2876" i="1"/>
  <c r="E2876" i="1"/>
  <c r="D2876" i="1"/>
  <c r="C2876" i="1"/>
  <c r="F2875" i="1"/>
  <c r="E2875" i="1"/>
  <c r="D2875" i="1"/>
  <c r="C2875" i="1"/>
  <c r="F2874" i="1"/>
  <c r="E2874" i="1"/>
  <c r="D2874" i="1"/>
  <c r="C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C2869" i="1"/>
  <c r="F2868" i="1"/>
  <c r="E2868" i="1"/>
  <c r="D2868" i="1"/>
  <c r="C2868" i="1"/>
  <c r="F2867" i="1"/>
  <c r="E2867" i="1"/>
  <c r="D2867" i="1"/>
  <c r="F2866" i="1"/>
  <c r="E2866" i="1"/>
  <c r="D2866" i="1"/>
  <c r="C2866" i="1"/>
  <c r="F2865" i="1"/>
  <c r="E2865" i="1"/>
  <c r="D2865" i="1"/>
  <c r="F2864" i="1"/>
  <c r="E2864" i="1"/>
  <c r="D2864" i="1"/>
  <c r="C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C2858" i="1"/>
  <c r="F2857" i="1"/>
  <c r="E2857" i="1"/>
  <c r="D2857" i="1"/>
  <c r="C2857" i="1"/>
  <c r="F2856" i="1"/>
  <c r="E2856" i="1"/>
  <c r="D2856" i="1"/>
  <c r="C2856" i="1"/>
  <c r="F2855" i="1"/>
  <c r="E2855" i="1"/>
  <c r="D2855" i="1"/>
  <c r="C2855" i="1"/>
  <c r="F2854" i="1"/>
  <c r="E2854" i="1"/>
  <c r="D2854" i="1"/>
  <c r="C2854" i="1"/>
  <c r="F2853" i="1"/>
  <c r="E2853" i="1"/>
  <c r="D2853" i="1"/>
  <c r="C2853" i="1"/>
  <c r="F2852" i="1"/>
  <c r="E2852" i="1"/>
  <c r="D2852" i="1"/>
  <c r="C2852" i="1"/>
  <c r="F2851" i="1"/>
  <c r="E2851" i="1"/>
  <c r="D2851" i="1"/>
  <c r="C2851" i="1"/>
  <c r="F2850" i="1"/>
  <c r="E2850" i="1"/>
  <c r="D2850" i="1"/>
  <c r="C2850" i="1"/>
  <c r="F2849" i="1"/>
  <c r="E2849" i="1"/>
  <c r="D2849" i="1"/>
  <c r="F2848" i="1"/>
  <c r="E2848" i="1"/>
  <c r="D2848" i="1"/>
  <c r="C2848" i="1"/>
  <c r="F2847" i="1"/>
  <c r="E2847" i="1"/>
  <c r="D2847" i="1"/>
  <c r="F2846" i="1"/>
  <c r="E2846" i="1"/>
  <c r="D2846" i="1"/>
  <c r="C2846" i="1"/>
  <c r="F2845" i="1"/>
  <c r="E2845" i="1"/>
  <c r="D2845" i="1"/>
  <c r="C2845" i="1"/>
  <c r="F2844" i="1"/>
  <c r="E2844" i="1"/>
  <c r="D2844" i="1"/>
  <c r="C2844" i="1"/>
  <c r="F2843" i="1"/>
  <c r="E2843" i="1"/>
  <c r="D2843" i="1"/>
  <c r="C2843" i="1"/>
  <c r="F2842" i="1"/>
  <c r="E2842" i="1"/>
  <c r="D2842" i="1"/>
  <c r="C2842" i="1"/>
  <c r="F2841" i="1"/>
  <c r="E2841" i="1"/>
  <c r="D2841" i="1"/>
  <c r="F2840" i="1"/>
  <c r="E2840" i="1"/>
  <c r="D2840" i="1"/>
  <c r="C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F2830" i="1"/>
  <c r="E2830" i="1"/>
  <c r="D2830" i="1"/>
  <c r="F2829" i="1"/>
  <c r="E2829" i="1"/>
  <c r="D2829" i="1"/>
  <c r="F2828" i="1"/>
  <c r="E2828" i="1"/>
  <c r="D2828" i="1"/>
  <c r="F2827" i="1"/>
  <c r="E2827" i="1"/>
  <c r="D2827" i="1"/>
  <c r="C2827" i="1"/>
  <c r="F2826" i="1"/>
  <c r="E2826" i="1"/>
  <c r="D2826" i="1"/>
  <c r="C2826" i="1"/>
  <c r="F2825" i="1"/>
  <c r="E2825" i="1"/>
  <c r="D2825" i="1"/>
  <c r="F2824" i="1"/>
  <c r="E2824" i="1"/>
  <c r="D2824" i="1"/>
  <c r="C2824" i="1"/>
  <c r="F2823" i="1"/>
  <c r="E2823" i="1"/>
  <c r="D2823" i="1"/>
  <c r="F2822" i="1"/>
  <c r="E2822" i="1"/>
  <c r="D2822" i="1"/>
  <c r="F2821" i="1"/>
  <c r="E2821" i="1"/>
  <c r="D2821" i="1"/>
  <c r="F2820" i="1"/>
  <c r="E2820" i="1"/>
  <c r="D2820" i="1"/>
  <c r="F2819" i="1"/>
  <c r="E2819" i="1"/>
  <c r="D2819" i="1"/>
  <c r="F2818" i="1"/>
  <c r="E2818" i="1"/>
  <c r="D2818" i="1"/>
  <c r="C2818" i="1"/>
  <c r="F2817" i="1"/>
  <c r="E2817" i="1"/>
  <c r="D2817" i="1"/>
  <c r="C2817" i="1"/>
  <c r="F2816" i="1"/>
  <c r="E2816" i="1"/>
  <c r="D2816" i="1"/>
  <c r="C2816" i="1"/>
  <c r="F2815" i="1"/>
  <c r="E2815" i="1"/>
  <c r="D2815" i="1"/>
  <c r="F2814" i="1"/>
  <c r="E2814" i="1"/>
  <c r="D2814" i="1"/>
  <c r="C2814" i="1"/>
  <c r="F2813" i="1"/>
  <c r="E2813" i="1"/>
  <c r="D2813" i="1"/>
  <c r="F2812" i="1"/>
  <c r="E2812" i="1"/>
  <c r="D2812" i="1"/>
  <c r="C2812" i="1"/>
  <c r="F2811" i="1"/>
  <c r="E2811" i="1"/>
  <c r="D2811" i="1"/>
  <c r="F2810" i="1"/>
  <c r="E2810" i="1"/>
  <c r="D2810" i="1"/>
  <c r="F2809" i="1"/>
  <c r="E2809" i="1"/>
  <c r="D2809" i="1"/>
  <c r="F2808" i="1"/>
  <c r="E2808" i="1"/>
  <c r="D2808" i="1"/>
  <c r="F2807" i="1"/>
  <c r="E2807" i="1"/>
  <c r="D2807" i="1"/>
  <c r="F2806" i="1"/>
  <c r="E2806" i="1"/>
  <c r="D2806" i="1"/>
  <c r="C2806" i="1"/>
  <c r="F2805" i="1"/>
  <c r="E2805" i="1"/>
  <c r="D2805" i="1"/>
  <c r="F2804" i="1"/>
  <c r="E2804" i="1"/>
  <c r="D2804" i="1"/>
  <c r="C2804" i="1"/>
  <c r="F2803" i="1"/>
  <c r="E2803" i="1"/>
  <c r="D2803" i="1"/>
  <c r="F2802" i="1"/>
  <c r="E2802" i="1"/>
  <c r="D2802" i="1"/>
  <c r="F2801" i="1"/>
  <c r="E2801" i="1"/>
  <c r="D2801" i="1"/>
  <c r="C2801" i="1"/>
  <c r="F2800" i="1"/>
  <c r="E2800" i="1"/>
  <c r="D2800" i="1"/>
  <c r="C2800" i="1"/>
  <c r="F2799" i="1"/>
  <c r="E2799" i="1"/>
  <c r="D2799" i="1"/>
  <c r="F2798" i="1"/>
  <c r="E2798" i="1"/>
  <c r="D2798" i="1"/>
  <c r="C2798" i="1"/>
  <c r="F2797" i="1"/>
  <c r="E2797" i="1"/>
  <c r="D2797" i="1"/>
  <c r="F2796" i="1"/>
  <c r="E2796" i="1"/>
  <c r="D2796" i="1"/>
  <c r="C2796" i="1"/>
  <c r="F2795" i="1"/>
  <c r="E2795" i="1"/>
  <c r="D2795" i="1"/>
  <c r="F2794" i="1"/>
  <c r="E2794" i="1"/>
  <c r="D2794" i="1"/>
  <c r="C2794" i="1"/>
  <c r="F2793" i="1"/>
  <c r="E2793" i="1"/>
  <c r="D2793" i="1"/>
  <c r="C2793" i="1"/>
  <c r="F2792" i="1"/>
  <c r="E2792" i="1"/>
  <c r="D2792" i="1"/>
  <c r="C2792" i="1"/>
  <c r="F2791" i="1"/>
  <c r="E2791" i="1"/>
  <c r="D2791" i="1"/>
  <c r="C2791" i="1"/>
  <c r="F2790" i="1"/>
  <c r="E2790" i="1"/>
  <c r="D2790" i="1"/>
  <c r="C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C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C2771" i="1"/>
  <c r="F2770" i="1"/>
  <c r="E2770" i="1"/>
  <c r="D2770" i="1"/>
  <c r="C2770" i="1"/>
  <c r="F2769" i="1"/>
  <c r="E2769" i="1"/>
  <c r="D2769" i="1"/>
  <c r="F2768" i="1"/>
  <c r="E2768" i="1"/>
  <c r="D2768" i="1"/>
  <c r="C2768" i="1"/>
  <c r="F2767" i="1"/>
  <c r="E2767" i="1"/>
  <c r="D2767" i="1"/>
  <c r="C2767" i="1"/>
  <c r="F2766" i="1"/>
  <c r="E2766" i="1"/>
  <c r="D2766" i="1"/>
  <c r="C2766" i="1"/>
  <c r="F2765" i="1"/>
  <c r="E2765" i="1"/>
  <c r="D2765" i="1"/>
  <c r="C2765" i="1"/>
  <c r="F2764" i="1"/>
  <c r="E2764" i="1"/>
  <c r="D2764" i="1"/>
  <c r="C2764" i="1"/>
  <c r="F2763" i="1"/>
  <c r="E2763" i="1"/>
  <c r="D2763" i="1"/>
  <c r="C2763" i="1"/>
  <c r="F2762" i="1"/>
  <c r="E2762" i="1"/>
  <c r="D2762" i="1"/>
  <c r="C2762" i="1"/>
  <c r="F2761" i="1"/>
  <c r="E2761" i="1"/>
  <c r="D2761" i="1"/>
  <c r="F2760" i="1"/>
  <c r="E2760" i="1"/>
  <c r="D2760" i="1"/>
  <c r="C2760" i="1"/>
  <c r="F2759" i="1"/>
  <c r="E2759" i="1"/>
  <c r="D2759" i="1"/>
  <c r="F2758" i="1"/>
  <c r="E2758" i="1"/>
  <c r="D2758" i="1"/>
  <c r="F2757" i="1"/>
  <c r="E2757" i="1"/>
  <c r="D2757" i="1"/>
  <c r="C2757" i="1"/>
  <c r="F2756" i="1"/>
  <c r="E2756" i="1"/>
  <c r="D2756" i="1"/>
  <c r="C2756" i="1"/>
  <c r="F2755" i="1"/>
  <c r="E2755" i="1"/>
  <c r="D2755" i="1"/>
  <c r="C2755" i="1"/>
  <c r="F2754" i="1"/>
  <c r="E2754" i="1"/>
  <c r="D2754" i="1"/>
  <c r="C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C2745" i="1"/>
  <c r="F2744" i="1"/>
  <c r="E2744" i="1"/>
  <c r="D2744" i="1"/>
  <c r="C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C2737" i="1"/>
  <c r="F2736" i="1"/>
  <c r="E2736" i="1"/>
  <c r="D2736" i="1"/>
  <c r="C2736" i="1"/>
  <c r="F2735" i="1"/>
  <c r="E2735" i="1"/>
  <c r="D2735" i="1"/>
  <c r="F2734" i="1"/>
  <c r="E2734" i="1"/>
  <c r="D2734" i="1"/>
  <c r="F2733" i="1"/>
  <c r="E2733" i="1"/>
  <c r="D2733" i="1"/>
  <c r="C2733" i="1"/>
  <c r="F2732" i="1"/>
  <c r="E2732" i="1"/>
  <c r="D2732" i="1"/>
  <c r="C2732" i="1"/>
  <c r="F2731" i="1"/>
  <c r="E2731" i="1"/>
  <c r="D2731" i="1"/>
  <c r="F2730" i="1"/>
  <c r="E2730" i="1"/>
  <c r="D2730" i="1"/>
  <c r="F2729" i="1"/>
  <c r="E2729" i="1"/>
  <c r="D2729" i="1"/>
  <c r="C2729" i="1"/>
  <c r="F2728" i="1"/>
  <c r="E2728" i="1"/>
  <c r="D2728" i="1"/>
  <c r="C2728" i="1"/>
  <c r="F2727" i="1"/>
  <c r="E2727" i="1"/>
  <c r="D2727" i="1"/>
  <c r="C2727" i="1"/>
  <c r="F2726" i="1"/>
  <c r="E2726" i="1"/>
  <c r="D2726" i="1"/>
  <c r="C2726" i="1"/>
  <c r="F2725" i="1"/>
  <c r="E2725" i="1"/>
  <c r="D2725" i="1"/>
  <c r="C2725" i="1"/>
  <c r="F2724" i="1"/>
  <c r="E2724" i="1"/>
  <c r="D2724" i="1"/>
  <c r="C2724" i="1"/>
  <c r="F2723" i="1"/>
  <c r="E2723" i="1"/>
  <c r="D2723" i="1"/>
  <c r="C2723" i="1"/>
  <c r="F2722" i="1"/>
  <c r="E2722" i="1"/>
  <c r="D2722" i="1"/>
  <c r="C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C2718" i="1"/>
  <c r="F2717" i="1"/>
  <c r="E2717" i="1"/>
  <c r="D2717" i="1"/>
  <c r="F2716" i="1"/>
  <c r="E2716" i="1"/>
  <c r="D2716" i="1"/>
  <c r="C2716" i="1"/>
  <c r="F2715" i="1"/>
  <c r="E2715" i="1"/>
  <c r="D2715" i="1"/>
  <c r="F2714" i="1"/>
  <c r="E2714" i="1"/>
  <c r="D2714" i="1"/>
  <c r="F2713" i="1"/>
  <c r="E2713" i="1"/>
  <c r="D2713" i="1"/>
  <c r="C2713" i="1"/>
  <c r="F2712" i="1"/>
  <c r="E2712" i="1"/>
  <c r="D2712" i="1"/>
  <c r="C2712" i="1"/>
  <c r="F2711" i="1"/>
  <c r="E2711" i="1"/>
  <c r="D2711" i="1"/>
  <c r="F2710" i="1"/>
  <c r="E2710" i="1"/>
  <c r="D2710" i="1"/>
  <c r="C2710" i="1"/>
  <c r="F2709" i="1"/>
  <c r="E2709" i="1"/>
  <c r="D2709" i="1"/>
  <c r="F2708" i="1"/>
  <c r="E2708" i="1"/>
  <c r="D2708" i="1"/>
  <c r="C2708" i="1"/>
  <c r="F2707" i="1"/>
  <c r="E2707" i="1"/>
  <c r="D2707" i="1"/>
  <c r="F2706" i="1"/>
  <c r="E2706" i="1"/>
  <c r="D2706" i="1"/>
  <c r="F2705" i="1"/>
  <c r="E2705" i="1"/>
  <c r="D2705" i="1"/>
  <c r="C2705" i="1"/>
  <c r="F2704" i="1"/>
  <c r="E2704" i="1"/>
  <c r="D2704" i="1"/>
  <c r="C2704" i="1"/>
  <c r="F2703" i="1"/>
  <c r="E2703" i="1"/>
  <c r="D2703" i="1"/>
  <c r="F2702" i="1"/>
  <c r="E2702" i="1"/>
  <c r="D2702" i="1"/>
  <c r="C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C2696" i="1"/>
  <c r="F2695" i="1"/>
  <c r="E2695" i="1"/>
  <c r="D2695" i="1"/>
  <c r="F2694" i="1"/>
  <c r="E2694" i="1"/>
  <c r="D2694" i="1"/>
  <c r="C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C2689" i="1"/>
  <c r="F2688" i="1"/>
  <c r="E2688" i="1"/>
  <c r="D2688" i="1"/>
  <c r="C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C2683" i="1"/>
  <c r="F2682" i="1"/>
  <c r="E2682" i="1"/>
  <c r="D2682" i="1"/>
  <c r="C2682" i="1"/>
  <c r="F2681" i="1"/>
  <c r="E2681" i="1"/>
  <c r="D2681" i="1"/>
  <c r="C2681" i="1"/>
  <c r="F2680" i="1"/>
  <c r="E2680" i="1"/>
  <c r="D2680" i="1"/>
  <c r="C2680" i="1"/>
  <c r="F2679" i="1"/>
  <c r="E2679" i="1"/>
  <c r="D2679" i="1"/>
  <c r="C2679" i="1"/>
  <c r="F2678" i="1"/>
  <c r="E2678" i="1"/>
  <c r="D2678" i="1"/>
  <c r="C2678" i="1"/>
  <c r="F2677" i="1"/>
  <c r="E2677" i="1"/>
  <c r="D2677" i="1"/>
  <c r="C2677" i="1"/>
  <c r="F2676" i="1"/>
  <c r="E2676" i="1"/>
  <c r="D2676" i="1"/>
  <c r="C2676" i="1"/>
  <c r="F2675" i="1"/>
  <c r="E2675" i="1"/>
  <c r="D2675" i="1"/>
  <c r="C2675" i="1"/>
  <c r="F2674" i="1"/>
  <c r="E2674" i="1"/>
  <c r="D2674" i="1"/>
  <c r="C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C2669" i="1"/>
  <c r="F2668" i="1"/>
  <c r="E2668" i="1"/>
  <c r="D2668" i="1"/>
  <c r="C2668" i="1"/>
  <c r="F2667" i="1"/>
  <c r="E2667" i="1"/>
  <c r="D2667" i="1"/>
  <c r="C2667" i="1"/>
  <c r="F2666" i="1"/>
  <c r="E2666" i="1"/>
  <c r="D2666" i="1"/>
  <c r="C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C2657" i="1"/>
  <c r="F2656" i="1"/>
  <c r="E2656" i="1"/>
  <c r="D2656" i="1"/>
  <c r="C2656" i="1"/>
  <c r="F2655" i="1"/>
  <c r="E2655" i="1"/>
  <c r="D2655" i="1"/>
  <c r="C2655" i="1"/>
  <c r="F2654" i="1"/>
  <c r="E2654" i="1"/>
  <c r="D2654" i="1"/>
  <c r="C2654" i="1"/>
  <c r="F2653" i="1"/>
  <c r="E2653" i="1"/>
  <c r="D2653" i="1"/>
  <c r="F2652" i="1"/>
  <c r="E2652" i="1"/>
  <c r="D2652" i="1"/>
  <c r="C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C2648" i="1"/>
  <c r="F2647" i="1"/>
  <c r="E2647" i="1"/>
  <c r="D2647" i="1"/>
  <c r="F2646" i="1"/>
  <c r="E2646" i="1"/>
  <c r="D2646" i="1"/>
  <c r="C2646" i="1"/>
  <c r="F2645" i="1"/>
  <c r="E2645" i="1"/>
  <c r="D2645" i="1"/>
  <c r="C2645" i="1"/>
  <c r="F2644" i="1"/>
  <c r="E2644" i="1"/>
  <c r="D2644" i="1"/>
  <c r="C2644" i="1"/>
  <c r="F2643" i="1"/>
  <c r="E2643" i="1"/>
  <c r="D2643" i="1"/>
  <c r="C2643" i="1"/>
  <c r="F2642" i="1"/>
  <c r="E2642" i="1"/>
  <c r="D2642" i="1"/>
  <c r="C2642" i="1"/>
  <c r="F2641" i="1"/>
  <c r="E2641" i="1"/>
  <c r="D2641" i="1"/>
  <c r="C2641" i="1"/>
  <c r="F2640" i="1"/>
  <c r="E2640" i="1"/>
  <c r="D2640" i="1"/>
  <c r="C2640" i="1"/>
  <c r="F2639" i="1"/>
  <c r="E2639" i="1"/>
  <c r="D2639" i="1"/>
  <c r="C2639" i="1"/>
  <c r="F2638" i="1"/>
  <c r="E2638" i="1"/>
  <c r="D2638" i="1"/>
  <c r="C2638" i="1"/>
  <c r="F2637" i="1"/>
  <c r="E2637" i="1"/>
  <c r="D2637" i="1"/>
  <c r="C2637" i="1"/>
  <c r="F2636" i="1"/>
  <c r="E2636" i="1"/>
  <c r="D2636" i="1"/>
  <c r="C2636" i="1"/>
  <c r="F2635" i="1"/>
  <c r="E2635" i="1"/>
  <c r="D2635" i="1"/>
  <c r="C2635" i="1"/>
  <c r="F2634" i="1"/>
  <c r="E2634" i="1"/>
  <c r="D2634" i="1"/>
  <c r="C2634" i="1"/>
  <c r="F2633" i="1"/>
  <c r="E2633" i="1"/>
  <c r="D2633" i="1"/>
  <c r="F2632" i="1"/>
  <c r="E2632" i="1"/>
  <c r="D2632" i="1"/>
  <c r="C2632" i="1"/>
  <c r="F2631" i="1"/>
  <c r="E2631" i="1"/>
  <c r="D2631" i="1"/>
  <c r="C2631" i="1"/>
  <c r="F2630" i="1"/>
  <c r="E2630" i="1"/>
  <c r="D2630" i="1"/>
  <c r="C2630" i="1"/>
  <c r="F2629" i="1"/>
  <c r="E2629" i="1"/>
  <c r="D2629" i="1"/>
  <c r="F2628" i="1"/>
  <c r="E2628" i="1"/>
  <c r="D2628" i="1"/>
  <c r="C2628" i="1"/>
  <c r="F2627" i="1"/>
  <c r="E2627" i="1"/>
  <c r="D2627" i="1"/>
  <c r="F2626" i="1"/>
  <c r="E2626" i="1"/>
  <c r="D2626" i="1"/>
  <c r="F2625" i="1"/>
  <c r="E2625" i="1"/>
  <c r="D2625" i="1"/>
  <c r="C2625" i="1"/>
  <c r="F2624" i="1"/>
  <c r="E2624" i="1"/>
  <c r="D2624" i="1"/>
  <c r="C2624" i="1"/>
  <c r="F2623" i="1"/>
  <c r="E2623" i="1"/>
  <c r="D2623" i="1"/>
  <c r="F2622" i="1"/>
  <c r="E2622" i="1"/>
  <c r="D2622" i="1"/>
  <c r="C2622" i="1"/>
  <c r="F2621" i="1"/>
  <c r="E2621" i="1"/>
  <c r="D2621" i="1"/>
  <c r="F2620" i="1"/>
  <c r="E2620" i="1"/>
  <c r="D2620" i="1"/>
  <c r="C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C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C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C2606" i="1"/>
  <c r="F2605" i="1"/>
  <c r="E2605" i="1"/>
  <c r="D2605" i="1"/>
  <c r="F2604" i="1"/>
  <c r="E2604" i="1"/>
  <c r="D2604" i="1"/>
  <c r="C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C2595" i="1"/>
  <c r="F2594" i="1"/>
  <c r="E2594" i="1"/>
  <c r="D2594" i="1"/>
  <c r="C2594" i="1"/>
  <c r="F2593" i="1"/>
  <c r="E2593" i="1"/>
  <c r="D2593" i="1"/>
  <c r="C2593" i="1"/>
  <c r="F2592" i="1"/>
  <c r="E2592" i="1"/>
  <c r="D2592" i="1"/>
  <c r="C2592" i="1"/>
  <c r="F2591" i="1"/>
  <c r="E2591" i="1"/>
  <c r="D2591" i="1"/>
  <c r="C2591" i="1"/>
  <c r="F2590" i="1"/>
  <c r="E2590" i="1"/>
  <c r="D2590" i="1"/>
  <c r="C2590" i="1"/>
  <c r="F2589" i="1"/>
  <c r="E2589" i="1"/>
  <c r="D2589" i="1"/>
  <c r="C2589" i="1"/>
  <c r="F2588" i="1"/>
  <c r="E2588" i="1"/>
  <c r="D2588" i="1"/>
  <c r="C2588" i="1"/>
  <c r="F2587" i="1"/>
  <c r="E2587" i="1"/>
  <c r="D2587" i="1"/>
  <c r="C2587" i="1"/>
  <c r="F2586" i="1"/>
  <c r="E2586" i="1"/>
  <c r="D2586" i="1"/>
  <c r="C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C2581" i="1"/>
  <c r="F2580" i="1"/>
  <c r="E2580" i="1"/>
  <c r="D2580" i="1"/>
  <c r="C2580" i="1"/>
  <c r="F2579" i="1"/>
  <c r="E2579" i="1"/>
  <c r="D2579" i="1"/>
  <c r="C2579" i="1"/>
  <c r="F2578" i="1"/>
  <c r="E2578" i="1"/>
  <c r="D2578" i="1"/>
  <c r="C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C2569" i="1"/>
  <c r="F2568" i="1"/>
  <c r="E2568" i="1"/>
  <c r="D2568" i="1"/>
  <c r="C2568" i="1"/>
  <c r="F2567" i="1"/>
  <c r="E2567" i="1"/>
  <c r="D2567" i="1"/>
  <c r="C2567" i="1"/>
  <c r="F2566" i="1"/>
  <c r="E2566" i="1"/>
  <c r="D2566" i="1"/>
  <c r="C2566" i="1"/>
  <c r="F2565" i="1"/>
  <c r="E2565" i="1"/>
  <c r="D2565" i="1"/>
  <c r="C2565" i="1"/>
  <c r="F2564" i="1"/>
  <c r="E2564" i="1"/>
  <c r="D2564" i="1"/>
  <c r="C2564" i="1"/>
  <c r="F2563" i="1"/>
  <c r="E2563" i="1"/>
  <c r="D2563" i="1"/>
  <c r="F2562" i="1"/>
  <c r="E2562" i="1"/>
  <c r="D2562" i="1"/>
  <c r="C2562" i="1"/>
  <c r="F2561" i="1"/>
  <c r="E2561" i="1"/>
  <c r="D2561" i="1"/>
  <c r="F2560" i="1"/>
  <c r="E2560" i="1"/>
  <c r="D2560" i="1"/>
  <c r="C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C2556" i="1"/>
  <c r="F2555" i="1"/>
  <c r="E2555" i="1"/>
  <c r="D2555" i="1"/>
  <c r="F2554" i="1"/>
  <c r="E2554" i="1"/>
  <c r="D2554" i="1"/>
  <c r="C2554" i="1"/>
  <c r="F2553" i="1"/>
  <c r="E2553" i="1"/>
  <c r="D2553" i="1"/>
  <c r="F2552" i="1"/>
  <c r="E2552" i="1"/>
  <c r="D2552" i="1"/>
  <c r="C2552" i="1"/>
  <c r="F2551" i="1"/>
  <c r="E2551" i="1"/>
  <c r="D2551" i="1"/>
  <c r="C2551" i="1"/>
  <c r="F2550" i="1"/>
  <c r="E2550" i="1"/>
  <c r="D2550" i="1"/>
  <c r="C2550" i="1"/>
  <c r="F2549" i="1"/>
  <c r="E2549" i="1"/>
  <c r="D2549" i="1"/>
  <c r="F2548" i="1"/>
  <c r="E2548" i="1"/>
  <c r="D2548" i="1"/>
  <c r="C2548" i="1"/>
  <c r="F2547" i="1"/>
  <c r="E2547" i="1"/>
  <c r="D2547" i="1"/>
  <c r="C2547" i="1"/>
  <c r="F2546" i="1"/>
  <c r="E2546" i="1"/>
  <c r="D2546" i="1"/>
  <c r="C2546" i="1"/>
  <c r="F2545" i="1"/>
  <c r="E2545" i="1"/>
  <c r="D2545" i="1"/>
  <c r="F2544" i="1"/>
  <c r="E2544" i="1"/>
  <c r="D2544" i="1"/>
  <c r="C2544" i="1"/>
  <c r="F2543" i="1"/>
  <c r="E2543" i="1"/>
  <c r="D2543" i="1"/>
  <c r="F2542" i="1"/>
  <c r="E2542" i="1"/>
  <c r="D2542" i="1"/>
  <c r="C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C2536" i="1"/>
  <c r="F2535" i="1"/>
  <c r="E2535" i="1"/>
  <c r="D2535" i="1"/>
  <c r="F2534" i="1"/>
  <c r="E2534" i="1"/>
  <c r="D2534" i="1"/>
  <c r="C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C2530" i="1"/>
  <c r="F2529" i="1"/>
  <c r="E2529" i="1"/>
  <c r="D2529" i="1"/>
  <c r="C2529" i="1"/>
  <c r="F2528" i="1"/>
  <c r="E2528" i="1"/>
  <c r="D2528" i="1"/>
  <c r="C2528" i="1"/>
  <c r="F2527" i="1"/>
  <c r="E2527" i="1"/>
  <c r="D2527" i="1"/>
  <c r="F2526" i="1"/>
  <c r="E2526" i="1"/>
  <c r="D2526" i="1"/>
  <c r="C2526" i="1"/>
  <c r="F2525" i="1"/>
  <c r="E2525" i="1"/>
  <c r="D2525" i="1"/>
  <c r="C2525" i="1"/>
  <c r="F2524" i="1"/>
  <c r="E2524" i="1"/>
  <c r="D2524" i="1"/>
  <c r="C2524" i="1"/>
  <c r="F2523" i="1"/>
  <c r="E2523" i="1"/>
  <c r="D2523" i="1"/>
  <c r="C2523" i="1"/>
  <c r="F2522" i="1"/>
  <c r="E2522" i="1"/>
  <c r="D2522" i="1"/>
  <c r="C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C2516" i="1"/>
  <c r="F2515" i="1"/>
  <c r="E2515" i="1"/>
  <c r="D2515" i="1"/>
  <c r="F2514" i="1"/>
  <c r="E2514" i="1"/>
  <c r="D2514" i="1"/>
  <c r="F2513" i="1"/>
  <c r="E2513" i="1"/>
  <c r="D2513" i="1"/>
  <c r="C2513" i="1"/>
  <c r="F2512" i="1"/>
  <c r="E2512" i="1"/>
  <c r="D2512" i="1"/>
  <c r="C2512" i="1"/>
  <c r="F2511" i="1"/>
  <c r="E2511" i="1"/>
  <c r="D2511" i="1"/>
  <c r="F2510" i="1"/>
  <c r="E2510" i="1"/>
  <c r="D2510" i="1"/>
  <c r="C2510" i="1"/>
  <c r="F2509" i="1"/>
  <c r="E2509" i="1"/>
  <c r="D2509" i="1"/>
  <c r="F2508" i="1"/>
  <c r="E2508" i="1"/>
  <c r="D2508" i="1"/>
  <c r="C2508" i="1"/>
  <c r="F2507" i="1"/>
  <c r="E2507" i="1"/>
  <c r="D2507" i="1"/>
  <c r="C2507" i="1"/>
  <c r="F2506" i="1"/>
  <c r="E2506" i="1"/>
  <c r="D2506" i="1"/>
  <c r="C2506" i="1"/>
  <c r="F2505" i="1"/>
  <c r="E2505" i="1"/>
  <c r="D2505" i="1"/>
  <c r="C2505" i="1"/>
  <c r="F2504" i="1"/>
  <c r="E2504" i="1"/>
  <c r="D2504" i="1"/>
  <c r="C2504" i="1"/>
  <c r="F2503" i="1"/>
  <c r="E2503" i="1"/>
  <c r="D2503" i="1"/>
  <c r="C2503" i="1"/>
  <c r="F2502" i="1"/>
  <c r="E2502" i="1"/>
  <c r="D2502" i="1"/>
  <c r="C2502" i="1"/>
  <c r="F2501" i="1"/>
  <c r="E2501" i="1"/>
  <c r="D2501" i="1"/>
  <c r="F2500" i="1"/>
  <c r="E2500" i="1"/>
  <c r="D2500" i="1"/>
  <c r="C2500" i="1"/>
  <c r="F2499" i="1"/>
  <c r="E2499" i="1"/>
  <c r="D2499" i="1"/>
  <c r="C2499" i="1"/>
  <c r="F2498" i="1"/>
  <c r="E2498" i="1"/>
  <c r="D2498" i="1"/>
  <c r="C2498" i="1"/>
  <c r="F2497" i="1"/>
  <c r="E2497" i="1"/>
  <c r="D2497" i="1"/>
  <c r="F2496" i="1"/>
  <c r="E2496" i="1"/>
  <c r="D2496" i="1"/>
  <c r="C2496" i="1"/>
  <c r="F2495" i="1"/>
  <c r="E2495" i="1"/>
  <c r="D2495" i="1"/>
  <c r="F2494" i="1"/>
  <c r="E2494" i="1"/>
  <c r="D2494" i="1"/>
  <c r="C2494" i="1"/>
  <c r="F2493" i="1"/>
  <c r="E2493" i="1"/>
  <c r="D2493" i="1"/>
  <c r="C2493" i="1"/>
  <c r="F2492" i="1"/>
  <c r="E2492" i="1"/>
  <c r="D2492" i="1"/>
  <c r="C2492" i="1"/>
  <c r="F2491" i="1"/>
  <c r="E2491" i="1"/>
  <c r="D2491" i="1"/>
  <c r="C2491" i="1"/>
  <c r="F2490" i="1"/>
  <c r="E2490" i="1"/>
  <c r="D2490" i="1"/>
  <c r="C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C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C2482" i="1"/>
  <c r="F2481" i="1"/>
  <c r="E2481" i="1"/>
  <c r="D2481" i="1"/>
  <c r="C2481" i="1"/>
  <c r="F2480" i="1"/>
  <c r="E2480" i="1"/>
  <c r="D2480" i="1"/>
  <c r="C2480" i="1"/>
  <c r="F2479" i="1"/>
  <c r="E2479" i="1"/>
  <c r="D2479" i="1"/>
  <c r="C2479" i="1"/>
  <c r="F2478" i="1"/>
  <c r="E2478" i="1"/>
  <c r="D2478" i="1"/>
  <c r="C2478" i="1"/>
  <c r="F2477" i="1"/>
  <c r="E2477" i="1"/>
  <c r="D2477" i="1"/>
  <c r="C2477" i="1"/>
  <c r="F2476" i="1"/>
  <c r="E2476" i="1"/>
  <c r="D2476" i="1"/>
  <c r="C2476" i="1"/>
  <c r="F2475" i="1"/>
  <c r="E2475" i="1"/>
  <c r="D2475" i="1"/>
  <c r="C2475" i="1"/>
  <c r="F2474" i="1"/>
  <c r="E2474" i="1"/>
  <c r="D2474" i="1"/>
  <c r="C2474" i="1"/>
  <c r="F2473" i="1"/>
  <c r="E2473" i="1"/>
  <c r="D2473" i="1"/>
  <c r="F2472" i="1"/>
  <c r="E2472" i="1"/>
  <c r="D2472" i="1"/>
  <c r="C2472" i="1"/>
  <c r="F2471" i="1"/>
  <c r="E2471" i="1"/>
  <c r="D2471" i="1"/>
  <c r="F2470" i="1"/>
  <c r="E2470" i="1"/>
  <c r="D2470" i="1"/>
  <c r="F2469" i="1"/>
  <c r="E2469" i="1"/>
  <c r="D2469" i="1"/>
  <c r="C2469" i="1"/>
  <c r="F2468" i="1"/>
  <c r="E2468" i="1"/>
  <c r="D2468" i="1"/>
  <c r="C2468" i="1"/>
  <c r="F2467" i="1"/>
  <c r="E2467" i="1"/>
  <c r="D2467" i="1"/>
  <c r="F2466" i="1"/>
  <c r="E2466" i="1"/>
  <c r="D2466" i="1"/>
  <c r="C2466" i="1"/>
  <c r="F2465" i="1"/>
  <c r="E2465" i="1"/>
  <c r="D2465" i="1"/>
  <c r="F2464" i="1"/>
  <c r="E2464" i="1"/>
  <c r="D2464" i="1"/>
  <c r="C2464" i="1"/>
  <c r="F2463" i="1"/>
  <c r="E2463" i="1"/>
  <c r="D2463" i="1"/>
  <c r="F2462" i="1"/>
  <c r="E2462" i="1"/>
  <c r="D2462" i="1"/>
  <c r="C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C2458" i="1"/>
  <c r="F2457" i="1"/>
  <c r="E2457" i="1"/>
  <c r="D2457" i="1"/>
  <c r="C2457" i="1"/>
  <c r="F2456" i="1"/>
  <c r="E2456" i="1"/>
  <c r="D2456" i="1"/>
  <c r="C2456" i="1"/>
  <c r="F2455" i="1"/>
  <c r="E2455" i="1"/>
  <c r="D2455" i="1"/>
  <c r="C2455" i="1"/>
  <c r="F2454" i="1"/>
  <c r="E2454" i="1"/>
  <c r="D2454" i="1"/>
  <c r="C2454" i="1"/>
  <c r="F2453" i="1"/>
  <c r="E2453" i="1"/>
  <c r="D2453" i="1"/>
  <c r="F2452" i="1"/>
  <c r="E2452" i="1"/>
  <c r="D2452" i="1"/>
  <c r="C2452" i="1"/>
  <c r="F2451" i="1"/>
  <c r="E2451" i="1"/>
  <c r="D2451" i="1"/>
  <c r="F2450" i="1"/>
  <c r="E2450" i="1"/>
  <c r="D2450" i="1"/>
  <c r="C2450" i="1"/>
  <c r="F2449" i="1"/>
  <c r="E2449" i="1"/>
  <c r="D2449" i="1"/>
  <c r="F2448" i="1"/>
  <c r="E2448" i="1"/>
  <c r="D2448" i="1"/>
  <c r="F2447" i="1"/>
  <c r="E2447" i="1"/>
  <c r="D2447" i="1"/>
  <c r="C2447" i="1"/>
  <c r="F2446" i="1"/>
  <c r="E2446" i="1"/>
  <c r="D2446" i="1"/>
  <c r="C2446" i="1"/>
  <c r="F2445" i="1"/>
  <c r="E2445" i="1"/>
  <c r="D2445" i="1"/>
  <c r="C2445" i="1"/>
  <c r="F2444" i="1"/>
  <c r="E2444" i="1"/>
  <c r="D2444" i="1"/>
  <c r="C2444" i="1"/>
  <c r="F2443" i="1"/>
  <c r="E2443" i="1"/>
  <c r="D2443" i="1"/>
  <c r="C2443" i="1"/>
  <c r="F2442" i="1"/>
  <c r="E2442" i="1"/>
  <c r="D2442" i="1"/>
  <c r="C2442" i="1"/>
  <c r="F2441" i="1"/>
  <c r="E2441" i="1"/>
  <c r="D2441" i="1"/>
  <c r="C2441" i="1"/>
  <c r="F2440" i="1"/>
  <c r="E2440" i="1"/>
  <c r="D2440" i="1"/>
  <c r="C2440" i="1"/>
  <c r="F2439" i="1"/>
  <c r="E2439" i="1"/>
  <c r="D2439" i="1"/>
  <c r="F2438" i="1"/>
  <c r="E2438" i="1"/>
  <c r="D2438" i="1"/>
  <c r="C2438" i="1"/>
  <c r="F2437" i="1"/>
  <c r="E2437" i="1"/>
  <c r="D2437" i="1"/>
  <c r="F2436" i="1"/>
  <c r="E2436" i="1"/>
  <c r="D2436" i="1"/>
  <c r="F2435" i="1"/>
  <c r="E2435" i="1"/>
  <c r="D2435" i="1"/>
  <c r="C2435" i="1"/>
  <c r="F2434" i="1"/>
  <c r="E2434" i="1"/>
  <c r="D2434" i="1"/>
  <c r="C2434" i="1"/>
  <c r="F2433" i="1"/>
  <c r="E2433" i="1"/>
  <c r="D2433" i="1"/>
  <c r="C2433" i="1"/>
  <c r="F2432" i="1"/>
  <c r="E2432" i="1"/>
  <c r="D2432" i="1"/>
  <c r="C2432" i="1"/>
  <c r="F2431" i="1"/>
  <c r="E2431" i="1"/>
  <c r="D2431" i="1"/>
  <c r="C2431" i="1"/>
  <c r="F2430" i="1"/>
  <c r="E2430" i="1"/>
  <c r="D2430" i="1"/>
  <c r="C2430" i="1"/>
  <c r="F2429" i="1"/>
  <c r="E2429" i="1"/>
  <c r="D2429" i="1"/>
  <c r="F2428" i="1"/>
  <c r="E2428" i="1"/>
  <c r="D2428" i="1"/>
  <c r="C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C2424" i="1"/>
  <c r="F2423" i="1"/>
  <c r="E2423" i="1"/>
  <c r="D2423" i="1"/>
  <c r="C2423" i="1"/>
  <c r="F2422" i="1"/>
  <c r="E2422" i="1"/>
  <c r="D2422" i="1"/>
  <c r="C2422" i="1"/>
  <c r="F2421" i="1"/>
  <c r="E2421" i="1"/>
  <c r="D2421" i="1"/>
  <c r="C2421" i="1"/>
  <c r="F2420" i="1"/>
  <c r="E2420" i="1"/>
  <c r="D2420" i="1"/>
  <c r="C2420" i="1"/>
  <c r="F2419" i="1"/>
  <c r="E2419" i="1"/>
  <c r="D2419" i="1"/>
  <c r="C2419" i="1"/>
  <c r="F2418" i="1"/>
  <c r="E2418" i="1"/>
  <c r="D2418" i="1"/>
  <c r="C2418" i="1"/>
  <c r="F2417" i="1"/>
  <c r="E2417" i="1"/>
  <c r="D2417" i="1"/>
  <c r="C2417" i="1"/>
  <c r="F2416" i="1"/>
  <c r="E2416" i="1"/>
  <c r="D2416" i="1"/>
  <c r="C2416" i="1"/>
  <c r="F2415" i="1"/>
  <c r="E2415" i="1"/>
  <c r="D2415" i="1"/>
  <c r="C2415" i="1"/>
  <c r="F2414" i="1"/>
  <c r="E2414" i="1"/>
  <c r="D2414" i="1"/>
  <c r="C2414" i="1"/>
  <c r="F2413" i="1"/>
  <c r="E2413" i="1"/>
  <c r="D2413" i="1"/>
  <c r="C2413" i="1"/>
  <c r="F2412" i="1"/>
  <c r="E2412" i="1"/>
  <c r="D2412" i="1"/>
  <c r="C2412" i="1"/>
  <c r="F2411" i="1"/>
  <c r="E2411" i="1"/>
  <c r="D2411" i="1"/>
  <c r="C2411" i="1"/>
  <c r="F2410" i="1"/>
  <c r="E2410" i="1"/>
  <c r="D2410" i="1"/>
  <c r="C2410" i="1"/>
  <c r="F2409" i="1"/>
  <c r="E2409" i="1"/>
  <c r="D2409" i="1"/>
  <c r="F2408" i="1"/>
  <c r="E2408" i="1"/>
  <c r="D2408" i="1"/>
  <c r="C2408" i="1"/>
  <c r="F2407" i="1"/>
  <c r="E2407" i="1"/>
  <c r="D2407" i="1"/>
  <c r="F2406" i="1"/>
  <c r="E2406" i="1"/>
  <c r="D2406" i="1"/>
  <c r="C2406" i="1"/>
  <c r="F2405" i="1"/>
  <c r="E2405" i="1"/>
  <c r="D2405" i="1"/>
  <c r="C2405" i="1"/>
  <c r="F2404" i="1"/>
  <c r="E2404" i="1"/>
  <c r="D2404" i="1"/>
  <c r="C2404" i="1"/>
  <c r="F2403" i="1"/>
  <c r="E2403" i="1"/>
  <c r="D2403" i="1"/>
  <c r="C2403" i="1"/>
  <c r="F2402" i="1"/>
  <c r="E2402" i="1"/>
  <c r="D2402" i="1"/>
  <c r="C2402" i="1"/>
  <c r="F2401" i="1"/>
  <c r="E2401" i="1"/>
  <c r="D2401" i="1"/>
  <c r="C2401" i="1"/>
  <c r="F2400" i="1"/>
  <c r="E2400" i="1"/>
  <c r="D2400" i="1"/>
  <c r="C2400" i="1"/>
  <c r="F2399" i="1"/>
  <c r="E2399" i="1"/>
  <c r="D2399" i="1"/>
  <c r="F2398" i="1"/>
  <c r="E2398" i="1"/>
  <c r="D2398" i="1"/>
  <c r="C2398" i="1"/>
  <c r="F2397" i="1"/>
  <c r="E2397" i="1"/>
  <c r="D2397" i="1"/>
  <c r="F2396" i="1"/>
  <c r="E2396" i="1"/>
  <c r="D2396" i="1"/>
  <c r="C2396" i="1"/>
  <c r="F2395" i="1"/>
  <c r="E2395" i="1"/>
  <c r="D2395" i="1"/>
  <c r="F2394" i="1"/>
  <c r="E2394" i="1"/>
  <c r="D2394" i="1"/>
  <c r="C2394" i="1"/>
  <c r="F2393" i="1"/>
  <c r="E2393" i="1"/>
  <c r="D2393" i="1"/>
  <c r="C2393" i="1"/>
  <c r="F2392" i="1"/>
  <c r="E2392" i="1"/>
  <c r="D2392" i="1"/>
  <c r="C2392" i="1"/>
  <c r="F2391" i="1"/>
  <c r="E2391" i="1"/>
  <c r="D2391" i="1"/>
  <c r="C2391" i="1"/>
  <c r="F2390" i="1"/>
  <c r="E2390" i="1"/>
  <c r="D2390" i="1"/>
  <c r="C2390" i="1"/>
  <c r="F2389" i="1"/>
  <c r="E2389" i="1"/>
  <c r="D2389" i="1"/>
  <c r="F2388" i="1"/>
  <c r="E2388" i="1"/>
  <c r="D2388" i="1"/>
  <c r="C2388" i="1"/>
  <c r="F2387" i="1"/>
  <c r="E2387" i="1"/>
  <c r="D2387" i="1"/>
  <c r="F2386" i="1"/>
  <c r="E2386" i="1"/>
  <c r="D2386" i="1"/>
  <c r="C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C2381" i="1"/>
  <c r="F2380" i="1"/>
  <c r="E2380" i="1"/>
  <c r="D2380" i="1"/>
  <c r="C2380" i="1"/>
  <c r="F2379" i="1"/>
  <c r="E2379" i="1"/>
  <c r="D2379" i="1"/>
  <c r="F2378" i="1"/>
  <c r="E2378" i="1"/>
  <c r="D2378" i="1"/>
  <c r="C2378" i="1"/>
  <c r="F2377" i="1"/>
  <c r="E2377" i="1"/>
  <c r="D2377" i="1"/>
  <c r="F2376" i="1"/>
  <c r="E2376" i="1"/>
  <c r="D2376" i="1"/>
  <c r="F2375" i="1"/>
  <c r="E2375" i="1"/>
  <c r="D2375" i="1"/>
  <c r="C2375" i="1"/>
  <c r="F2374" i="1"/>
  <c r="E2374" i="1"/>
  <c r="D2374" i="1"/>
  <c r="C2374" i="1"/>
  <c r="F2373" i="1"/>
  <c r="E2373" i="1"/>
  <c r="D2373" i="1"/>
  <c r="F2372" i="1"/>
  <c r="E2372" i="1"/>
  <c r="D2372" i="1"/>
  <c r="C2372" i="1"/>
  <c r="F2371" i="1"/>
  <c r="E2371" i="1"/>
  <c r="D2371" i="1"/>
  <c r="C2371" i="1"/>
  <c r="F2370" i="1"/>
  <c r="E2370" i="1"/>
  <c r="D2370" i="1"/>
  <c r="C2370" i="1"/>
  <c r="F2369" i="1"/>
  <c r="E2369" i="1"/>
  <c r="D2369" i="1"/>
  <c r="F2368" i="1"/>
  <c r="E2368" i="1"/>
  <c r="D2368" i="1"/>
  <c r="F2367" i="1"/>
  <c r="E2367" i="1"/>
  <c r="D2367" i="1"/>
  <c r="C2367" i="1"/>
  <c r="F2366" i="1"/>
  <c r="E2366" i="1"/>
  <c r="D2366" i="1"/>
  <c r="C2366" i="1"/>
  <c r="F2365" i="1"/>
  <c r="E2365" i="1"/>
  <c r="D2365" i="1"/>
  <c r="C2365" i="1"/>
  <c r="F2364" i="1"/>
  <c r="E2364" i="1"/>
  <c r="D2364" i="1"/>
  <c r="C2364" i="1"/>
  <c r="F2363" i="1"/>
  <c r="E2363" i="1"/>
  <c r="D2363" i="1"/>
  <c r="C2363" i="1"/>
  <c r="F2362" i="1"/>
  <c r="E2362" i="1"/>
  <c r="D2362" i="1"/>
  <c r="C2362" i="1"/>
  <c r="F2361" i="1"/>
  <c r="E2361" i="1"/>
  <c r="D2361" i="1"/>
  <c r="C2361" i="1"/>
  <c r="F2360" i="1"/>
  <c r="E2360" i="1"/>
  <c r="D2360" i="1"/>
  <c r="C2360" i="1"/>
  <c r="F2359" i="1"/>
  <c r="E2359" i="1"/>
  <c r="D2359" i="1"/>
  <c r="C2359" i="1"/>
  <c r="F2358" i="1"/>
  <c r="E2358" i="1"/>
  <c r="D2358" i="1"/>
  <c r="C2358" i="1"/>
  <c r="F2357" i="1"/>
  <c r="E2357" i="1"/>
  <c r="D2357" i="1"/>
  <c r="C2357" i="1"/>
  <c r="F2356" i="1"/>
  <c r="E2356" i="1"/>
  <c r="D2356" i="1"/>
  <c r="C2356" i="1"/>
  <c r="F2355" i="1"/>
  <c r="E2355" i="1"/>
  <c r="D2355" i="1"/>
  <c r="C2355" i="1"/>
  <c r="F2354" i="1"/>
  <c r="E2354" i="1"/>
  <c r="D2354" i="1"/>
  <c r="C2354" i="1"/>
  <c r="F2353" i="1"/>
  <c r="E2353" i="1"/>
  <c r="D2353" i="1"/>
  <c r="F2352" i="1"/>
  <c r="E2352" i="1"/>
  <c r="D2352" i="1"/>
  <c r="C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C2346" i="1"/>
  <c r="F2345" i="1"/>
  <c r="E2345" i="1"/>
  <c r="D2345" i="1"/>
  <c r="C2345" i="1"/>
  <c r="F2344" i="1"/>
  <c r="E2344" i="1"/>
  <c r="D2344" i="1"/>
  <c r="C2344" i="1"/>
  <c r="F2343" i="1"/>
  <c r="E2343" i="1"/>
  <c r="D2343" i="1"/>
  <c r="C2343" i="1"/>
  <c r="F2342" i="1"/>
  <c r="E2342" i="1"/>
  <c r="D2342" i="1"/>
  <c r="C2342" i="1"/>
  <c r="F2341" i="1"/>
  <c r="E2341" i="1"/>
  <c r="D2341" i="1"/>
  <c r="C2341" i="1"/>
  <c r="F2340" i="1"/>
  <c r="E2340" i="1"/>
  <c r="D2340" i="1"/>
  <c r="C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C2336" i="1"/>
  <c r="F2335" i="1"/>
  <c r="E2335" i="1"/>
  <c r="D2335" i="1"/>
  <c r="C2335" i="1"/>
  <c r="F2334" i="1"/>
  <c r="E2334" i="1"/>
  <c r="D2334" i="1"/>
  <c r="C2334" i="1"/>
  <c r="F2333" i="1"/>
  <c r="E2333" i="1"/>
  <c r="D2333" i="1"/>
  <c r="F2332" i="1"/>
  <c r="E2332" i="1"/>
  <c r="D2332" i="1"/>
  <c r="C2332" i="1"/>
  <c r="F2331" i="1"/>
  <c r="E2331" i="1"/>
  <c r="D2331" i="1"/>
  <c r="C2331" i="1"/>
  <c r="F2330" i="1"/>
  <c r="E2330" i="1"/>
  <c r="D2330" i="1"/>
  <c r="C2330" i="1"/>
  <c r="F2329" i="1"/>
  <c r="E2329" i="1"/>
  <c r="D2329" i="1"/>
  <c r="C2329" i="1"/>
  <c r="F2328" i="1"/>
  <c r="E2328" i="1"/>
  <c r="D2328" i="1"/>
  <c r="C2328" i="1"/>
  <c r="F2327" i="1"/>
  <c r="E2327" i="1"/>
  <c r="D2327" i="1"/>
  <c r="C2327" i="1"/>
  <c r="F2326" i="1"/>
  <c r="E2326" i="1"/>
  <c r="D2326" i="1"/>
  <c r="C2326" i="1"/>
  <c r="F2325" i="1"/>
  <c r="E2325" i="1"/>
  <c r="D2325" i="1"/>
  <c r="C2325" i="1"/>
  <c r="F2324" i="1"/>
  <c r="E2324" i="1"/>
  <c r="D2324" i="1"/>
  <c r="C2324" i="1"/>
  <c r="F2323" i="1"/>
  <c r="E2323" i="1"/>
  <c r="D2323" i="1"/>
  <c r="C2323" i="1"/>
  <c r="F2322" i="1"/>
  <c r="E2322" i="1"/>
  <c r="D2322" i="1"/>
  <c r="C2322" i="1"/>
  <c r="F2321" i="1"/>
  <c r="E2321" i="1"/>
  <c r="D2321" i="1"/>
  <c r="F2320" i="1"/>
  <c r="E2320" i="1"/>
  <c r="D2320" i="1"/>
  <c r="C2320" i="1"/>
  <c r="F2319" i="1"/>
  <c r="E2319" i="1"/>
  <c r="D2319" i="1"/>
  <c r="C2319" i="1"/>
  <c r="F2318" i="1"/>
  <c r="E2318" i="1"/>
  <c r="D2318" i="1"/>
  <c r="C2318" i="1"/>
  <c r="F2317" i="1"/>
  <c r="E2317" i="1"/>
  <c r="D2317" i="1"/>
  <c r="C2317" i="1"/>
  <c r="F2316" i="1"/>
  <c r="E2316" i="1"/>
  <c r="D2316" i="1"/>
  <c r="C2316" i="1"/>
  <c r="F2315" i="1"/>
  <c r="E2315" i="1"/>
  <c r="D2315" i="1"/>
  <c r="C2315" i="1"/>
  <c r="F2314" i="1"/>
  <c r="E2314" i="1"/>
  <c r="D2314" i="1"/>
  <c r="C2314" i="1"/>
  <c r="F2313" i="1"/>
  <c r="E2313" i="1"/>
  <c r="D2313" i="1"/>
  <c r="C2313" i="1"/>
  <c r="F2312" i="1"/>
  <c r="E2312" i="1"/>
  <c r="D2312" i="1"/>
  <c r="C2312" i="1"/>
  <c r="F2311" i="1"/>
  <c r="E2311" i="1"/>
  <c r="D2311" i="1"/>
  <c r="C2311" i="1"/>
  <c r="F2310" i="1"/>
  <c r="E2310" i="1"/>
  <c r="D2310" i="1"/>
  <c r="C2310" i="1"/>
  <c r="F2309" i="1"/>
  <c r="E2309" i="1"/>
  <c r="D2309" i="1"/>
  <c r="C2309" i="1"/>
  <c r="F2308" i="1"/>
  <c r="E2308" i="1"/>
  <c r="D2308" i="1"/>
  <c r="C2308" i="1"/>
  <c r="F2307" i="1"/>
  <c r="E2307" i="1"/>
  <c r="D2307" i="1"/>
  <c r="F2306" i="1"/>
  <c r="E2306" i="1"/>
  <c r="D2306" i="1"/>
  <c r="C2306" i="1"/>
  <c r="F2305" i="1"/>
  <c r="E2305" i="1"/>
  <c r="D2305" i="1"/>
  <c r="C2305" i="1"/>
  <c r="F2304" i="1"/>
  <c r="E2304" i="1"/>
  <c r="D2304" i="1"/>
  <c r="C2304" i="1"/>
  <c r="F2303" i="1"/>
  <c r="E2303" i="1"/>
  <c r="D2303" i="1"/>
  <c r="F2302" i="1"/>
  <c r="E2302" i="1"/>
  <c r="D2302" i="1"/>
  <c r="C2302" i="1"/>
  <c r="F2301" i="1"/>
  <c r="E2301" i="1"/>
  <c r="D2301" i="1"/>
  <c r="F2300" i="1"/>
  <c r="E2300" i="1"/>
  <c r="D2300" i="1"/>
  <c r="C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C2296" i="1"/>
  <c r="F2295" i="1"/>
  <c r="E2295" i="1"/>
  <c r="D2295" i="1"/>
  <c r="C2295" i="1"/>
  <c r="F2294" i="1"/>
  <c r="E2294" i="1"/>
  <c r="D2294" i="1"/>
  <c r="C2294" i="1"/>
  <c r="F2293" i="1"/>
  <c r="E2293" i="1"/>
  <c r="D2293" i="1"/>
  <c r="F2292" i="1"/>
  <c r="E2292" i="1"/>
  <c r="D2292" i="1"/>
  <c r="C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C2287" i="1"/>
  <c r="F2286" i="1"/>
  <c r="E2286" i="1"/>
  <c r="D2286" i="1"/>
  <c r="C2286" i="1"/>
  <c r="F2285" i="1"/>
  <c r="E2285" i="1"/>
  <c r="D2285" i="1"/>
  <c r="F2284" i="1"/>
  <c r="E2284" i="1"/>
  <c r="D2284" i="1"/>
  <c r="C2284" i="1"/>
  <c r="F2283" i="1"/>
  <c r="E2283" i="1"/>
  <c r="D2283" i="1"/>
  <c r="F2282" i="1"/>
  <c r="E2282" i="1"/>
  <c r="D2282" i="1"/>
  <c r="C2282" i="1"/>
  <c r="F2281" i="1"/>
  <c r="E2281" i="1"/>
  <c r="D2281" i="1"/>
  <c r="C2281" i="1"/>
  <c r="F2280" i="1"/>
  <c r="E2280" i="1"/>
  <c r="D2280" i="1"/>
  <c r="C2280" i="1"/>
  <c r="F2279" i="1"/>
  <c r="E2279" i="1"/>
  <c r="D2279" i="1"/>
  <c r="F2278" i="1"/>
  <c r="E2278" i="1"/>
  <c r="D2278" i="1"/>
  <c r="F2277" i="1"/>
  <c r="E2277" i="1"/>
  <c r="D2277" i="1"/>
  <c r="C2277" i="1"/>
  <c r="F2276" i="1"/>
  <c r="E2276" i="1"/>
  <c r="D2276" i="1"/>
  <c r="C2276" i="1"/>
  <c r="F2275" i="1"/>
  <c r="E2275" i="1"/>
  <c r="D2275" i="1"/>
  <c r="F2274" i="1"/>
  <c r="E2274" i="1"/>
  <c r="D2274" i="1"/>
  <c r="C2274" i="1"/>
  <c r="F2273" i="1"/>
  <c r="E2273" i="1"/>
  <c r="D2273" i="1"/>
  <c r="F2272" i="1"/>
  <c r="E2272" i="1"/>
  <c r="D2272" i="1"/>
  <c r="C2272" i="1"/>
  <c r="F2271" i="1"/>
  <c r="E2271" i="1"/>
  <c r="D2271" i="1"/>
  <c r="C2271" i="1"/>
  <c r="F2270" i="1"/>
  <c r="E2270" i="1"/>
  <c r="D2270" i="1"/>
  <c r="C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C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C2254" i="1"/>
  <c r="F2253" i="1"/>
  <c r="E2253" i="1"/>
  <c r="D2253" i="1"/>
  <c r="C2253" i="1"/>
  <c r="F2252" i="1"/>
  <c r="E2252" i="1"/>
  <c r="D2252" i="1"/>
  <c r="C2252" i="1"/>
  <c r="F2251" i="1"/>
  <c r="E2251" i="1"/>
  <c r="D2251" i="1"/>
  <c r="C2251" i="1"/>
  <c r="F2250" i="1"/>
  <c r="E2250" i="1"/>
  <c r="D2250" i="1"/>
  <c r="C2250" i="1"/>
  <c r="F2249" i="1"/>
  <c r="E2249" i="1"/>
  <c r="D2249" i="1"/>
  <c r="C2249" i="1"/>
  <c r="F2248" i="1"/>
  <c r="E2248" i="1"/>
  <c r="D2248" i="1"/>
  <c r="C2248" i="1"/>
  <c r="F2247" i="1"/>
  <c r="E2247" i="1"/>
  <c r="D2247" i="1"/>
  <c r="C2247" i="1"/>
  <c r="F2246" i="1"/>
  <c r="E2246" i="1"/>
  <c r="D2246" i="1"/>
  <c r="C2246" i="1"/>
  <c r="F2245" i="1"/>
  <c r="E2245" i="1"/>
  <c r="D2245" i="1"/>
  <c r="F2244" i="1"/>
  <c r="E2244" i="1"/>
  <c r="D2244" i="1"/>
  <c r="C2244" i="1"/>
  <c r="F2243" i="1"/>
  <c r="E2243" i="1"/>
  <c r="D2243" i="1"/>
  <c r="C2243" i="1"/>
  <c r="F2242" i="1"/>
  <c r="E2242" i="1"/>
  <c r="D2242" i="1"/>
  <c r="C2242" i="1"/>
  <c r="F2241" i="1"/>
  <c r="E2241" i="1"/>
  <c r="D2241" i="1"/>
  <c r="C2241" i="1"/>
  <c r="F2240" i="1"/>
  <c r="E2240" i="1"/>
  <c r="D2240" i="1"/>
  <c r="C2240" i="1"/>
  <c r="F2239" i="1"/>
  <c r="E2239" i="1"/>
  <c r="D2239" i="1"/>
  <c r="C2239" i="1"/>
  <c r="F2238" i="1"/>
  <c r="E2238" i="1"/>
  <c r="D2238" i="1"/>
  <c r="C2238" i="1"/>
  <c r="F2237" i="1"/>
  <c r="E2237" i="1"/>
  <c r="D2237" i="1"/>
  <c r="C2237" i="1"/>
  <c r="F2236" i="1"/>
  <c r="E2236" i="1"/>
  <c r="D2236" i="1"/>
  <c r="C2236" i="1"/>
  <c r="F2235" i="1"/>
  <c r="E2235" i="1"/>
  <c r="D2235" i="1"/>
  <c r="F2234" i="1"/>
  <c r="E2234" i="1"/>
  <c r="D2234" i="1"/>
  <c r="C2234" i="1"/>
  <c r="F2233" i="1"/>
  <c r="E2233" i="1"/>
  <c r="D2233" i="1"/>
  <c r="C2233" i="1"/>
  <c r="F2232" i="1"/>
  <c r="E2232" i="1"/>
  <c r="D2232" i="1"/>
  <c r="C2232" i="1"/>
  <c r="F2231" i="1"/>
  <c r="E2231" i="1"/>
  <c r="D2231" i="1"/>
  <c r="C2231" i="1"/>
  <c r="F2230" i="1"/>
  <c r="E2230" i="1"/>
  <c r="D2230" i="1"/>
  <c r="C2230" i="1"/>
  <c r="F2229" i="1"/>
  <c r="E2229" i="1"/>
  <c r="D2229" i="1"/>
  <c r="C2229" i="1"/>
  <c r="F2228" i="1"/>
  <c r="E2228" i="1"/>
  <c r="D2228" i="1"/>
  <c r="C2228" i="1"/>
  <c r="F2227" i="1"/>
  <c r="E2227" i="1"/>
  <c r="D2227" i="1"/>
  <c r="C2227" i="1"/>
  <c r="F2226" i="1"/>
  <c r="E2226" i="1"/>
  <c r="D2226" i="1"/>
  <c r="C2226" i="1"/>
  <c r="F2225" i="1"/>
  <c r="E2225" i="1"/>
  <c r="D2225" i="1"/>
  <c r="C2225" i="1"/>
  <c r="F2224" i="1"/>
  <c r="E2224" i="1"/>
  <c r="D2224" i="1"/>
  <c r="C2224" i="1"/>
  <c r="F2223" i="1"/>
  <c r="E2223" i="1"/>
  <c r="D2223" i="1"/>
  <c r="C2223" i="1"/>
  <c r="F2222" i="1"/>
  <c r="E2222" i="1"/>
  <c r="D2222" i="1"/>
  <c r="C2222" i="1"/>
  <c r="F2221" i="1"/>
  <c r="E2221" i="1"/>
  <c r="D2221" i="1"/>
  <c r="F2220" i="1"/>
  <c r="E2220" i="1"/>
  <c r="D2220" i="1"/>
  <c r="C2220" i="1"/>
  <c r="F2219" i="1"/>
  <c r="E2219" i="1"/>
  <c r="D2219" i="1"/>
  <c r="C2219" i="1"/>
  <c r="F2218" i="1"/>
  <c r="E2218" i="1"/>
  <c r="D2218" i="1"/>
  <c r="C2218" i="1"/>
  <c r="F2217" i="1"/>
  <c r="E2217" i="1"/>
  <c r="D2217" i="1"/>
  <c r="C2217" i="1"/>
  <c r="F2216" i="1"/>
  <c r="E2216" i="1"/>
  <c r="D2216" i="1"/>
  <c r="C2216" i="1"/>
  <c r="F2215" i="1"/>
  <c r="E2215" i="1"/>
  <c r="D2215" i="1"/>
  <c r="C2215" i="1"/>
  <c r="F2214" i="1"/>
  <c r="E2214" i="1"/>
  <c r="D2214" i="1"/>
  <c r="C2214" i="1"/>
  <c r="F2213" i="1"/>
  <c r="E2213" i="1"/>
  <c r="D2213" i="1"/>
  <c r="C2213" i="1"/>
  <c r="F2212" i="1"/>
  <c r="E2212" i="1"/>
  <c r="D2212" i="1"/>
  <c r="C2212" i="1"/>
  <c r="F2211" i="1"/>
  <c r="E2211" i="1"/>
  <c r="D2211" i="1"/>
  <c r="F2210" i="1"/>
  <c r="E2210" i="1"/>
  <c r="D2210" i="1"/>
  <c r="F2209" i="1"/>
  <c r="E2209" i="1"/>
  <c r="D2209" i="1"/>
  <c r="C2209" i="1"/>
  <c r="F2208" i="1"/>
  <c r="E2208" i="1"/>
  <c r="D2208" i="1"/>
  <c r="C2208" i="1"/>
  <c r="F2207" i="1"/>
  <c r="E2207" i="1"/>
  <c r="D2207" i="1"/>
  <c r="C2207" i="1"/>
  <c r="F2206" i="1"/>
  <c r="E2206" i="1"/>
  <c r="D2206" i="1"/>
  <c r="C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C2200" i="1"/>
  <c r="F2199" i="1"/>
  <c r="E2199" i="1"/>
  <c r="D2199" i="1"/>
  <c r="C2199" i="1"/>
  <c r="F2198" i="1"/>
  <c r="E2198" i="1"/>
  <c r="D2198" i="1"/>
  <c r="C2198" i="1"/>
  <c r="F2197" i="1"/>
  <c r="E2197" i="1"/>
  <c r="D2197" i="1"/>
  <c r="C2197" i="1"/>
  <c r="F2196" i="1"/>
  <c r="E2196" i="1"/>
  <c r="D2196" i="1"/>
  <c r="C2196" i="1"/>
  <c r="F2195" i="1"/>
  <c r="E2195" i="1"/>
  <c r="D2195" i="1"/>
  <c r="C2195" i="1"/>
  <c r="F2194" i="1"/>
  <c r="E2194" i="1"/>
  <c r="D2194" i="1"/>
  <c r="C2194" i="1"/>
  <c r="F2193" i="1"/>
  <c r="E2193" i="1"/>
  <c r="D2193" i="1"/>
  <c r="F2192" i="1"/>
  <c r="E2192" i="1"/>
  <c r="D2192" i="1"/>
  <c r="C2192" i="1"/>
  <c r="F2191" i="1"/>
  <c r="E2191" i="1"/>
  <c r="D2191" i="1"/>
  <c r="F2190" i="1"/>
  <c r="E2190" i="1"/>
  <c r="D2190" i="1"/>
  <c r="C2190" i="1"/>
  <c r="F2189" i="1"/>
  <c r="E2189" i="1"/>
  <c r="D2189" i="1"/>
  <c r="C2189" i="1"/>
  <c r="F2188" i="1"/>
  <c r="E2188" i="1"/>
  <c r="D2188" i="1"/>
  <c r="C2188" i="1"/>
  <c r="F2187" i="1"/>
  <c r="E2187" i="1"/>
  <c r="D2187" i="1"/>
  <c r="F2186" i="1"/>
  <c r="E2186" i="1"/>
  <c r="D2186" i="1"/>
  <c r="C2186" i="1"/>
  <c r="F2185" i="1"/>
  <c r="E2185" i="1"/>
  <c r="D2185" i="1"/>
  <c r="C2185" i="1"/>
  <c r="F2184" i="1"/>
  <c r="E2184" i="1"/>
  <c r="D2184" i="1"/>
  <c r="C2184" i="1"/>
  <c r="F2183" i="1"/>
  <c r="E2183" i="1"/>
  <c r="D2183" i="1"/>
  <c r="C2183" i="1"/>
  <c r="F2182" i="1"/>
  <c r="E2182" i="1"/>
  <c r="D2182" i="1"/>
  <c r="C2182" i="1"/>
  <c r="F2181" i="1"/>
  <c r="E2181" i="1"/>
  <c r="D2181" i="1"/>
  <c r="F2180" i="1"/>
  <c r="E2180" i="1"/>
  <c r="D2180" i="1"/>
  <c r="C2180" i="1"/>
  <c r="F2179" i="1"/>
  <c r="E2179" i="1"/>
  <c r="D2179" i="1"/>
  <c r="F2178" i="1"/>
  <c r="E2178" i="1"/>
  <c r="D2178" i="1"/>
  <c r="C2178" i="1"/>
  <c r="F2177" i="1"/>
  <c r="E2177" i="1"/>
  <c r="D2177" i="1"/>
  <c r="C2177" i="1"/>
  <c r="F2176" i="1"/>
  <c r="E2176" i="1"/>
  <c r="D2176" i="1"/>
  <c r="C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C2166" i="1"/>
  <c r="F2165" i="1"/>
  <c r="E2165" i="1"/>
  <c r="D2165" i="1"/>
  <c r="F2164" i="1"/>
  <c r="E2164" i="1"/>
  <c r="D2164" i="1"/>
  <c r="C2164" i="1"/>
  <c r="F2163" i="1"/>
  <c r="E2163" i="1"/>
  <c r="D2163" i="1"/>
  <c r="C2163" i="1"/>
  <c r="F2162" i="1"/>
  <c r="E2162" i="1"/>
  <c r="D2162" i="1"/>
  <c r="C2162" i="1"/>
  <c r="F2161" i="1"/>
  <c r="E2161" i="1"/>
  <c r="D2161" i="1"/>
  <c r="C2161" i="1"/>
  <c r="F2160" i="1"/>
  <c r="E2160" i="1"/>
  <c r="D2160" i="1"/>
  <c r="C2160" i="1"/>
  <c r="F2159" i="1"/>
  <c r="E2159" i="1"/>
  <c r="D2159" i="1"/>
  <c r="C2159" i="1"/>
  <c r="F2158" i="1"/>
  <c r="E2158" i="1"/>
  <c r="D2158" i="1"/>
  <c r="C2158" i="1"/>
  <c r="F2157" i="1"/>
  <c r="E2157" i="1"/>
  <c r="D2157" i="1"/>
  <c r="C2157" i="1"/>
  <c r="F2156" i="1"/>
  <c r="E2156" i="1"/>
  <c r="D2156" i="1"/>
  <c r="C2156" i="1"/>
  <c r="F2155" i="1"/>
  <c r="E2155" i="1"/>
  <c r="D2155" i="1"/>
  <c r="C2155" i="1"/>
  <c r="F2154" i="1"/>
  <c r="E2154" i="1"/>
  <c r="D2154" i="1"/>
  <c r="C2154" i="1"/>
  <c r="F2153" i="1"/>
  <c r="E2153" i="1"/>
  <c r="D2153" i="1"/>
  <c r="C2153" i="1"/>
  <c r="F2152" i="1"/>
  <c r="E2152" i="1"/>
  <c r="D2152" i="1"/>
  <c r="C2152" i="1"/>
  <c r="F2151" i="1"/>
  <c r="E2151" i="1"/>
  <c r="D2151" i="1"/>
  <c r="C2151" i="1"/>
  <c r="F2150" i="1"/>
  <c r="E2150" i="1"/>
  <c r="D2150" i="1"/>
  <c r="C2150" i="1"/>
  <c r="F2149" i="1"/>
  <c r="E2149" i="1"/>
  <c r="D2149" i="1"/>
  <c r="C2149" i="1"/>
  <c r="F2148" i="1"/>
  <c r="E2148" i="1"/>
  <c r="D2148" i="1"/>
  <c r="C2148" i="1"/>
  <c r="F2147" i="1"/>
  <c r="E2147" i="1"/>
  <c r="D2147" i="1"/>
  <c r="C2147" i="1"/>
  <c r="F2146" i="1"/>
  <c r="E2146" i="1"/>
  <c r="D2146" i="1"/>
  <c r="C2146" i="1"/>
  <c r="F2145" i="1"/>
  <c r="E2145" i="1"/>
  <c r="D2145" i="1"/>
  <c r="C2145" i="1"/>
  <c r="F2144" i="1"/>
  <c r="E2144" i="1"/>
  <c r="D2144" i="1"/>
  <c r="C2144" i="1"/>
  <c r="F2143" i="1"/>
  <c r="E2143" i="1"/>
  <c r="D2143" i="1"/>
  <c r="C2143" i="1"/>
  <c r="F2142" i="1"/>
  <c r="E2142" i="1"/>
  <c r="D2142" i="1"/>
  <c r="C2142" i="1"/>
  <c r="F2141" i="1"/>
  <c r="E2141" i="1"/>
  <c r="D2141" i="1"/>
  <c r="C2141" i="1"/>
  <c r="F2140" i="1"/>
  <c r="E2140" i="1"/>
  <c r="D2140" i="1"/>
  <c r="C2140" i="1"/>
  <c r="F2139" i="1"/>
  <c r="E2139" i="1"/>
  <c r="D2139" i="1"/>
  <c r="C2139" i="1"/>
  <c r="F2138" i="1"/>
  <c r="E2138" i="1"/>
  <c r="D2138" i="1"/>
  <c r="C2138" i="1"/>
  <c r="F2137" i="1"/>
  <c r="E2137" i="1"/>
  <c r="D2137" i="1"/>
  <c r="C2137" i="1"/>
  <c r="F2136" i="1"/>
  <c r="E2136" i="1"/>
  <c r="D2136" i="1"/>
  <c r="C2136" i="1"/>
  <c r="F2135" i="1"/>
  <c r="E2135" i="1"/>
  <c r="D2135" i="1"/>
  <c r="C2135" i="1"/>
  <c r="F2134" i="1"/>
  <c r="E2134" i="1"/>
  <c r="D2134" i="1"/>
  <c r="C2134" i="1"/>
  <c r="F2133" i="1"/>
  <c r="E2133" i="1"/>
  <c r="D2133" i="1"/>
  <c r="C2133" i="1"/>
  <c r="F2132" i="1"/>
  <c r="E2132" i="1"/>
  <c r="D2132" i="1"/>
  <c r="C2132" i="1"/>
  <c r="F2131" i="1"/>
  <c r="E2131" i="1"/>
  <c r="D2131" i="1"/>
  <c r="C2131" i="1"/>
  <c r="F2130" i="1"/>
  <c r="E2130" i="1"/>
  <c r="D2130" i="1"/>
  <c r="C2130" i="1"/>
  <c r="F2129" i="1"/>
  <c r="E2129" i="1"/>
  <c r="D2129" i="1"/>
  <c r="C2129" i="1"/>
  <c r="F2128" i="1"/>
  <c r="E2128" i="1"/>
  <c r="D2128" i="1"/>
  <c r="C2128" i="1"/>
  <c r="F2127" i="1"/>
  <c r="E2127" i="1"/>
  <c r="D2127" i="1"/>
  <c r="C2127" i="1"/>
  <c r="F2126" i="1"/>
  <c r="E2126" i="1"/>
  <c r="D2126" i="1"/>
  <c r="C2126" i="1"/>
  <c r="F2125" i="1"/>
  <c r="E2125" i="1"/>
  <c r="D2125" i="1"/>
  <c r="F2124" i="1"/>
  <c r="E2124" i="1"/>
  <c r="D2124" i="1"/>
  <c r="F2123" i="1"/>
  <c r="E2123" i="1"/>
  <c r="D2123" i="1"/>
  <c r="F2122" i="1"/>
  <c r="E2122" i="1"/>
  <c r="D2122" i="1"/>
  <c r="C2122" i="1"/>
  <c r="F2121" i="1"/>
  <c r="E2121" i="1"/>
  <c r="D2121" i="1"/>
  <c r="C2121" i="1"/>
  <c r="F2120" i="1"/>
  <c r="E2120" i="1"/>
  <c r="D2120" i="1"/>
  <c r="C2120" i="1"/>
  <c r="F2119" i="1"/>
  <c r="E2119" i="1"/>
  <c r="D2119" i="1"/>
  <c r="C2119" i="1"/>
  <c r="F2118" i="1"/>
  <c r="E2118" i="1"/>
  <c r="D2118" i="1"/>
  <c r="C2118" i="1"/>
  <c r="F2117" i="1"/>
  <c r="E2117" i="1"/>
  <c r="D2117" i="1"/>
  <c r="F2116" i="1"/>
  <c r="E2116" i="1"/>
  <c r="D2116" i="1"/>
  <c r="F2115" i="1"/>
  <c r="E2115" i="1"/>
  <c r="D2115" i="1"/>
  <c r="F2114" i="1"/>
  <c r="E2114" i="1"/>
  <c r="D2114" i="1"/>
  <c r="F2113" i="1"/>
  <c r="E2113" i="1"/>
  <c r="D2113" i="1"/>
  <c r="F2112" i="1"/>
  <c r="E2112" i="1"/>
  <c r="D2112" i="1"/>
  <c r="F2111" i="1"/>
  <c r="E2111" i="1"/>
  <c r="D2111" i="1"/>
  <c r="C2111" i="1"/>
  <c r="F2110" i="1"/>
  <c r="E2110" i="1"/>
  <c r="D2110" i="1"/>
  <c r="C2110" i="1"/>
  <c r="F2109" i="1"/>
  <c r="E2109" i="1"/>
  <c r="D2109" i="1"/>
  <c r="C2109" i="1"/>
  <c r="F2108" i="1"/>
  <c r="E2108" i="1"/>
  <c r="D2108" i="1"/>
  <c r="C2108" i="1"/>
  <c r="F2107" i="1"/>
  <c r="E2107" i="1"/>
  <c r="D2107" i="1"/>
  <c r="C2107" i="1"/>
  <c r="F2106" i="1"/>
  <c r="E2106" i="1"/>
  <c r="D2106" i="1"/>
  <c r="C2106" i="1"/>
  <c r="F2105" i="1"/>
  <c r="E2105" i="1"/>
  <c r="D2105" i="1"/>
  <c r="F2104" i="1"/>
  <c r="E2104" i="1"/>
  <c r="D2104" i="1"/>
  <c r="C2104" i="1"/>
  <c r="F2103" i="1"/>
  <c r="E2103" i="1"/>
  <c r="D2103" i="1"/>
  <c r="C2103" i="1"/>
  <c r="F2102" i="1"/>
  <c r="E2102" i="1"/>
  <c r="D2102" i="1"/>
  <c r="C2102" i="1"/>
  <c r="F2101" i="1"/>
  <c r="E2101" i="1"/>
  <c r="D2101" i="1"/>
  <c r="F2100" i="1"/>
  <c r="E2100" i="1"/>
  <c r="D2100" i="1"/>
  <c r="C2100" i="1"/>
  <c r="F2099" i="1"/>
  <c r="E2099" i="1"/>
  <c r="D2099" i="1"/>
  <c r="F2098" i="1"/>
  <c r="E2098" i="1"/>
  <c r="D2098" i="1"/>
  <c r="C2098" i="1"/>
  <c r="F2097" i="1"/>
  <c r="E2097" i="1"/>
  <c r="D2097" i="1"/>
  <c r="C2097" i="1"/>
  <c r="F2096" i="1"/>
  <c r="E2096" i="1"/>
  <c r="D2096" i="1"/>
  <c r="C2096" i="1"/>
  <c r="F2095" i="1"/>
  <c r="E2095" i="1"/>
  <c r="D2095" i="1"/>
  <c r="C2095" i="1"/>
  <c r="F2094" i="1"/>
  <c r="E2094" i="1"/>
  <c r="D2094" i="1"/>
  <c r="C2094" i="1"/>
  <c r="F2093" i="1"/>
  <c r="E2093" i="1"/>
  <c r="D2093" i="1"/>
  <c r="C2093" i="1"/>
  <c r="F2092" i="1"/>
  <c r="E2092" i="1"/>
  <c r="D2092" i="1"/>
  <c r="C2092" i="1"/>
  <c r="F2091" i="1"/>
  <c r="E2091" i="1"/>
  <c r="D2091" i="1"/>
  <c r="C2091" i="1"/>
  <c r="F2090" i="1"/>
  <c r="E2090" i="1"/>
  <c r="D2090" i="1"/>
  <c r="C2090" i="1"/>
  <c r="F2089" i="1"/>
  <c r="E2089" i="1"/>
  <c r="D2089" i="1"/>
  <c r="F2088" i="1"/>
  <c r="E2088" i="1"/>
  <c r="D2088" i="1"/>
  <c r="F2087" i="1"/>
  <c r="E2087" i="1"/>
  <c r="D2087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F2081" i="1"/>
  <c r="E2081" i="1"/>
  <c r="F2080" i="1"/>
  <c r="E2080" i="1"/>
  <c r="D2080" i="1"/>
  <c r="F2079" i="1"/>
  <c r="E2079" i="1"/>
  <c r="D2079" i="1"/>
  <c r="F2078" i="1"/>
  <c r="E2078" i="1"/>
  <c r="D2078" i="1"/>
  <c r="C2078" i="1"/>
  <c r="F2077" i="1"/>
  <c r="E2077" i="1"/>
  <c r="D2077" i="1"/>
  <c r="F2076" i="1"/>
  <c r="E2076" i="1"/>
  <c r="D2076" i="1"/>
  <c r="C2076" i="1"/>
  <c r="F2075" i="1"/>
  <c r="E2075" i="1"/>
  <c r="D2075" i="1"/>
  <c r="F2074" i="1"/>
  <c r="E2074" i="1"/>
  <c r="D2074" i="1"/>
  <c r="C2074" i="1"/>
  <c r="F2073" i="1"/>
  <c r="E2073" i="1"/>
  <c r="D2073" i="1"/>
  <c r="C2073" i="1"/>
  <c r="F2072" i="1"/>
  <c r="E2072" i="1"/>
  <c r="D2072" i="1"/>
  <c r="C2072" i="1"/>
  <c r="F2071" i="1"/>
  <c r="E2071" i="1"/>
  <c r="D2071" i="1"/>
  <c r="C2071" i="1"/>
  <c r="F2070" i="1"/>
  <c r="E2070" i="1"/>
  <c r="D2070" i="1"/>
  <c r="C2070" i="1"/>
  <c r="F2069" i="1"/>
  <c r="E2069" i="1"/>
  <c r="D2069" i="1"/>
  <c r="C2069" i="1"/>
  <c r="F2068" i="1"/>
  <c r="E2068" i="1"/>
  <c r="D2068" i="1"/>
  <c r="C2068" i="1"/>
  <c r="F2067" i="1"/>
  <c r="E2067" i="1"/>
  <c r="D2067" i="1"/>
  <c r="C2067" i="1"/>
  <c r="F2066" i="1"/>
  <c r="E2066" i="1"/>
  <c r="D2066" i="1"/>
  <c r="C2066" i="1"/>
  <c r="F2065" i="1"/>
  <c r="E2065" i="1"/>
  <c r="D2065" i="1"/>
  <c r="C2065" i="1"/>
  <c r="F2064" i="1"/>
  <c r="E2064" i="1"/>
  <c r="D2064" i="1"/>
  <c r="C2064" i="1"/>
  <c r="F2063" i="1"/>
  <c r="E2063" i="1"/>
  <c r="D2063" i="1"/>
  <c r="C2063" i="1"/>
  <c r="F2062" i="1"/>
  <c r="E2062" i="1"/>
  <c r="D2062" i="1"/>
  <c r="C2062" i="1"/>
  <c r="F2061" i="1"/>
  <c r="E2061" i="1"/>
  <c r="D2061" i="1"/>
  <c r="C2061" i="1"/>
  <c r="F2060" i="1"/>
  <c r="E2060" i="1"/>
  <c r="D2060" i="1"/>
  <c r="C2060" i="1"/>
  <c r="F2059" i="1"/>
  <c r="E2059" i="1"/>
  <c r="D2059" i="1"/>
  <c r="C2059" i="1"/>
  <c r="F2058" i="1"/>
  <c r="E2058" i="1"/>
  <c r="D2058" i="1"/>
  <c r="C2058" i="1"/>
  <c r="F2057" i="1"/>
  <c r="E2057" i="1"/>
  <c r="D2057" i="1"/>
  <c r="C2057" i="1"/>
  <c r="F2056" i="1"/>
  <c r="E2056" i="1"/>
  <c r="D2056" i="1"/>
  <c r="C2056" i="1"/>
  <c r="F2055" i="1"/>
  <c r="E2055" i="1"/>
  <c r="D2055" i="1"/>
  <c r="C2055" i="1"/>
  <c r="F2054" i="1"/>
  <c r="E2054" i="1"/>
  <c r="D2054" i="1"/>
  <c r="C2054" i="1"/>
  <c r="F2053" i="1"/>
  <c r="E2053" i="1"/>
  <c r="D2053" i="1"/>
  <c r="C2053" i="1"/>
  <c r="F2052" i="1"/>
  <c r="E2052" i="1"/>
  <c r="D2052" i="1"/>
  <c r="C2052" i="1"/>
  <c r="F2051" i="1"/>
  <c r="E2051" i="1"/>
  <c r="D2051" i="1"/>
  <c r="C2051" i="1"/>
  <c r="F2050" i="1"/>
  <c r="E2050" i="1"/>
  <c r="D2050" i="1"/>
  <c r="C2050" i="1"/>
  <c r="F2049" i="1"/>
  <c r="D2049" i="1"/>
  <c r="C2049" i="1"/>
  <c r="F2048" i="1"/>
  <c r="E2048" i="1"/>
  <c r="D2048" i="1"/>
  <c r="C2048" i="1"/>
  <c r="F2047" i="1"/>
  <c r="E2047" i="1"/>
  <c r="D2047" i="1"/>
  <c r="C2047" i="1"/>
  <c r="F2046" i="1"/>
  <c r="E2046" i="1"/>
  <c r="D2046" i="1"/>
  <c r="C2046" i="1"/>
  <c r="F2045" i="1"/>
  <c r="E2045" i="1"/>
  <c r="D2045" i="1"/>
  <c r="C2045" i="1"/>
  <c r="F2044" i="1"/>
  <c r="E2044" i="1"/>
  <c r="D2044" i="1"/>
  <c r="C2044" i="1"/>
  <c r="F2043" i="1"/>
  <c r="E2043" i="1"/>
  <c r="D2043" i="1"/>
  <c r="C2043" i="1"/>
  <c r="F2042" i="1"/>
  <c r="E2042" i="1"/>
  <c r="D2042" i="1"/>
  <c r="C2042" i="1"/>
  <c r="F2041" i="1"/>
  <c r="E2041" i="1"/>
  <c r="D2041" i="1"/>
  <c r="F2040" i="1"/>
  <c r="E2040" i="1"/>
  <c r="D2040" i="1"/>
  <c r="C2040" i="1"/>
  <c r="F2039" i="1"/>
  <c r="E2039" i="1"/>
  <c r="D2039" i="1"/>
  <c r="F2038" i="1"/>
  <c r="E2038" i="1"/>
  <c r="D2038" i="1"/>
  <c r="C2038" i="1"/>
  <c r="F2037" i="1"/>
  <c r="E2037" i="1"/>
  <c r="D2037" i="1"/>
  <c r="F2036" i="1"/>
  <c r="E2036" i="1"/>
  <c r="D2036" i="1"/>
  <c r="C2036" i="1"/>
  <c r="F2035" i="1"/>
  <c r="E2035" i="1"/>
  <c r="D2035" i="1"/>
  <c r="F2034" i="1"/>
  <c r="E2034" i="1"/>
  <c r="D2034" i="1"/>
  <c r="C2034" i="1"/>
  <c r="F2033" i="1"/>
  <c r="E2033" i="1"/>
  <c r="D2033" i="1"/>
  <c r="C2033" i="1"/>
  <c r="F2032" i="1"/>
  <c r="E2032" i="1"/>
  <c r="D2032" i="1"/>
  <c r="C2032" i="1"/>
  <c r="F2031" i="1"/>
  <c r="E2031" i="1"/>
  <c r="D2031" i="1"/>
  <c r="C2031" i="1"/>
  <c r="F2030" i="1"/>
  <c r="E2030" i="1"/>
  <c r="D2030" i="1"/>
  <c r="C2030" i="1"/>
  <c r="F2029" i="1"/>
  <c r="E2029" i="1"/>
  <c r="D2029" i="1"/>
  <c r="F2028" i="1"/>
  <c r="E2028" i="1"/>
  <c r="D2028" i="1"/>
  <c r="C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C2022" i="1"/>
  <c r="F2021" i="1"/>
  <c r="E2021" i="1"/>
  <c r="D2021" i="1"/>
  <c r="F2020" i="1"/>
  <c r="E2020" i="1"/>
  <c r="D2020" i="1"/>
  <c r="C2020" i="1"/>
  <c r="F2019" i="1"/>
  <c r="E2019" i="1"/>
  <c r="D2019" i="1"/>
  <c r="F2018" i="1"/>
  <c r="E2018" i="1"/>
  <c r="D2018" i="1"/>
  <c r="C2018" i="1"/>
  <c r="F2017" i="1"/>
  <c r="E2017" i="1"/>
  <c r="D2017" i="1"/>
  <c r="C2017" i="1"/>
  <c r="F2016" i="1"/>
  <c r="E2016" i="1"/>
  <c r="D2016" i="1"/>
  <c r="C2016" i="1"/>
  <c r="F2015" i="1"/>
  <c r="E2015" i="1"/>
  <c r="D2015" i="1"/>
  <c r="C2015" i="1"/>
  <c r="F2014" i="1"/>
  <c r="E2014" i="1"/>
  <c r="D2014" i="1"/>
  <c r="C2014" i="1"/>
  <c r="F2013" i="1"/>
  <c r="E2013" i="1"/>
  <c r="D2013" i="1"/>
  <c r="C2013" i="1"/>
  <c r="F2012" i="1"/>
  <c r="E2012" i="1"/>
  <c r="D2012" i="1"/>
  <c r="C2012" i="1"/>
  <c r="F2011" i="1"/>
  <c r="E2011" i="1"/>
  <c r="D2011" i="1"/>
  <c r="F2010" i="1"/>
  <c r="E2010" i="1"/>
  <c r="D2010" i="1"/>
  <c r="C2010" i="1"/>
  <c r="F2009" i="1"/>
  <c r="E2009" i="1"/>
  <c r="D2009" i="1"/>
  <c r="C2009" i="1"/>
  <c r="F2008" i="1"/>
  <c r="E2008" i="1"/>
  <c r="D2008" i="1"/>
  <c r="C2008" i="1"/>
  <c r="F2007" i="1"/>
  <c r="E2007" i="1"/>
  <c r="D2007" i="1"/>
  <c r="C2007" i="1"/>
  <c r="F2006" i="1"/>
  <c r="E2006" i="1"/>
  <c r="D2006" i="1"/>
  <c r="C2006" i="1"/>
  <c r="F2005" i="1"/>
  <c r="E2005" i="1"/>
  <c r="D2005" i="1"/>
  <c r="C2005" i="1"/>
  <c r="F2004" i="1"/>
  <c r="E2004" i="1"/>
  <c r="D2004" i="1"/>
  <c r="C2004" i="1"/>
  <c r="F2003" i="1"/>
  <c r="E2003" i="1"/>
  <c r="D2003" i="1"/>
  <c r="F2002" i="1"/>
  <c r="E2002" i="1"/>
  <c r="D2002" i="1"/>
  <c r="C2002" i="1"/>
  <c r="F2001" i="1"/>
  <c r="E2001" i="1"/>
  <c r="D2001" i="1"/>
  <c r="F2000" i="1"/>
  <c r="E2000" i="1"/>
  <c r="D2000" i="1"/>
  <c r="C2000" i="1"/>
  <c r="F1999" i="1"/>
  <c r="E1999" i="1"/>
  <c r="D1999" i="1"/>
  <c r="F1998" i="1"/>
  <c r="E1998" i="1"/>
  <c r="D1998" i="1"/>
  <c r="C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C1989" i="1"/>
  <c r="F1988" i="1"/>
  <c r="E1988" i="1"/>
  <c r="D1988" i="1"/>
  <c r="C1988" i="1"/>
  <c r="F1987" i="1"/>
  <c r="E1987" i="1"/>
  <c r="D1987" i="1"/>
  <c r="C1987" i="1"/>
  <c r="F1986" i="1"/>
  <c r="E1986" i="1"/>
  <c r="D1986" i="1"/>
  <c r="C1986" i="1"/>
  <c r="F1985" i="1"/>
  <c r="E1985" i="1"/>
  <c r="D1985" i="1"/>
  <c r="C1985" i="1"/>
  <c r="F1984" i="1"/>
  <c r="E1984" i="1"/>
  <c r="D1984" i="1"/>
  <c r="C1984" i="1"/>
  <c r="F1983" i="1"/>
  <c r="E1983" i="1"/>
  <c r="D1983" i="1"/>
  <c r="C1983" i="1"/>
  <c r="F1982" i="1"/>
  <c r="E1982" i="1"/>
  <c r="D1982" i="1"/>
  <c r="C1982" i="1"/>
  <c r="F1981" i="1"/>
  <c r="E1981" i="1"/>
  <c r="D1981" i="1"/>
  <c r="F1980" i="1"/>
  <c r="E1980" i="1"/>
  <c r="D1980" i="1"/>
  <c r="C1980" i="1"/>
  <c r="F1979" i="1"/>
  <c r="E1979" i="1"/>
  <c r="D1979" i="1"/>
  <c r="C1979" i="1"/>
  <c r="F1978" i="1"/>
  <c r="E1978" i="1"/>
  <c r="D1978" i="1"/>
  <c r="C1978" i="1"/>
  <c r="F1977" i="1"/>
  <c r="E1977" i="1"/>
  <c r="D1977" i="1"/>
  <c r="C1977" i="1"/>
  <c r="F1976" i="1"/>
  <c r="E1976" i="1"/>
  <c r="D1976" i="1"/>
  <c r="C1976" i="1"/>
  <c r="F1975" i="1"/>
  <c r="E1975" i="1"/>
  <c r="D1975" i="1"/>
  <c r="C1975" i="1"/>
  <c r="F1974" i="1"/>
  <c r="E1974" i="1"/>
  <c r="D1974" i="1"/>
  <c r="C1974" i="1"/>
  <c r="F1973" i="1"/>
  <c r="E1973" i="1"/>
  <c r="D1973" i="1"/>
  <c r="C1973" i="1"/>
  <c r="F1972" i="1"/>
  <c r="E1972" i="1"/>
  <c r="D1972" i="1"/>
  <c r="C1972" i="1"/>
  <c r="F1971" i="1"/>
  <c r="E1971" i="1"/>
  <c r="D1971" i="1"/>
  <c r="C1971" i="1"/>
  <c r="F1970" i="1"/>
  <c r="E1970" i="1"/>
  <c r="D1970" i="1"/>
  <c r="C1970" i="1"/>
  <c r="F1969" i="1"/>
  <c r="E1969" i="1"/>
  <c r="D1969" i="1"/>
  <c r="C1969" i="1"/>
  <c r="F1968" i="1"/>
  <c r="E1968" i="1"/>
  <c r="D1968" i="1"/>
  <c r="C1968" i="1"/>
  <c r="F1967" i="1"/>
  <c r="E1967" i="1"/>
  <c r="D1967" i="1"/>
  <c r="C1967" i="1"/>
  <c r="F1966" i="1"/>
  <c r="E1966" i="1"/>
  <c r="D1966" i="1"/>
  <c r="C1966" i="1"/>
  <c r="F1965" i="1"/>
  <c r="E1965" i="1"/>
  <c r="D1965" i="1"/>
  <c r="C1965" i="1"/>
  <c r="F1964" i="1"/>
  <c r="E1964" i="1"/>
  <c r="D1964" i="1"/>
  <c r="C1964" i="1"/>
  <c r="F1963" i="1"/>
  <c r="E1963" i="1"/>
  <c r="D1963" i="1"/>
  <c r="C1963" i="1"/>
  <c r="F1962" i="1"/>
  <c r="E1962" i="1"/>
  <c r="D1962" i="1"/>
  <c r="C1962" i="1"/>
  <c r="F1961" i="1"/>
  <c r="E1961" i="1"/>
  <c r="D1961" i="1"/>
  <c r="C1961" i="1"/>
  <c r="F1960" i="1"/>
  <c r="E1960" i="1"/>
  <c r="D1960" i="1"/>
  <c r="C1960" i="1"/>
  <c r="F1959" i="1"/>
  <c r="E1959" i="1"/>
  <c r="D1959" i="1"/>
  <c r="C1959" i="1"/>
  <c r="F1958" i="1"/>
  <c r="E1958" i="1"/>
  <c r="D1958" i="1"/>
  <c r="C1958" i="1"/>
  <c r="F1957" i="1"/>
  <c r="E1957" i="1"/>
  <c r="D1957" i="1"/>
  <c r="C1957" i="1"/>
  <c r="F1956" i="1"/>
  <c r="E1956" i="1"/>
  <c r="D1956" i="1"/>
  <c r="C1956" i="1"/>
  <c r="F1955" i="1"/>
  <c r="E1955" i="1"/>
  <c r="D1955" i="1"/>
  <c r="C1955" i="1"/>
  <c r="F1954" i="1"/>
  <c r="E1954" i="1"/>
  <c r="D1954" i="1"/>
  <c r="C1954" i="1"/>
  <c r="F1953" i="1"/>
  <c r="E1953" i="1"/>
  <c r="D1953" i="1"/>
  <c r="F1952" i="1"/>
  <c r="E1952" i="1"/>
  <c r="D1952" i="1"/>
  <c r="C1952" i="1"/>
  <c r="F1951" i="1"/>
  <c r="E1951" i="1"/>
  <c r="D1951" i="1"/>
  <c r="F1950" i="1"/>
  <c r="E1950" i="1"/>
  <c r="D1950" i="1"/>
  <c r="C1950" i="1"/>
  <c r="F1949" i="1"/>
  <c r="E1949" i="1"/>
  <c r="D1949" i="1"/>
  <c r="C1949" i="1"/>
  <c r="F1948" i="1"/>
  <c r="E1948" i="1"/>
  <c r="D1948" i="1"/>
  <c r="C1948" i="1"/>
  <c r="F1947" i="1"/>
  <c r="E1947" i="1"/>
  <c r="D1947" i="1"/>
  <c r="F1946" i="1"/>
  <c r="E1946" i="1"/>
  <c r="D1946" i="1"/>
  <c r="C1946" i="1"/>
  <c r="F1945" i="1"/>
  <c r="E1945" i="1"/>
  <c r="D1945" i="1"/>
  <c r="F1944" i="1"/>
  <c r="E1944" i="1"/>
  <c r="D1944" i="1"/>
  <c r="F1943" i="1"/>
  <c r="E1943" i="1"/>
  <c r="D1943" i="1"/>
  <c r="C1943" i="1"/>
  <c r="F1942" i="1"/>
  <c r="E1942" i="1"/>
  <c r="D1942" i="1"/>
  <c r="C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C1934" i="1"/>
  <c r="F1933" i="1"/>
  <c r="E1933" i="1"/>
  <c r="D1933" i="1"/>
  <c r="F1932" i="1"/>
  <c r="E1932" i="1"/>
  <c r="D1932" i="1"/>
  <c r="C1932" i="1"/>
  <c r="F1931" i="1"/>
  <c r="E1931" i="1"/>
  <c r="D1931" i="1"/>
  <c r="C1931" i="1"/>
  <c r="F1930" i="1"/>
  <c r="E1930" i="1"/>
  <c r="D1930" i="1"/>
  <c r="C1930" i="1"/>
  <c r="F1929" i="1"/>
  <c r="E1929" i="1"/>
  <c r="D1929" i="1"/>
  <c r="C1929" i="1"/>
  <c r="F1928" i="1"/>
  <c r="E1928" i="1"/>
  <c r="D1928" i="1"/>
  <c r="C1928" i="1"/>
  <c r="F1927" i="1"/>
  <c r="E1927" i="1"/>
  <c r="D1927" i="1"/>
  <c r="F1926" i="1"/>
  <c r="E1926" i="1"/>
  <c r="D1926" i="1"/>
  <c r="C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C1921" i="1"/>
  <c r="F1920" i="1"/>
  <c r="E1920" i="1"/>
  <c r="D1920" i="1"/>
  <c r="C1920" i="1"/>
  <c r="F1919" i="1"/>
  <c r="E1919" i="1"/>
  <c r="D1919" i="1"/>
  <c r="F1918" i="1"/>
  <c r="E1918" i="1"/>
  <c r="D1918" i="1"/>
  <c r="C1918" i="1"/>
  <c r="F1917" i="1"/>
  <c r="E1917" i="1"/>
  <c r="D1917" i="1"/>
  <c r="F1916" i="1"/>
  <c r="E1916" i="1"/>
  <c r="D1916" i="1"/>
  <c r="C1916" i="1"/>
  <c r="F1915" i="1"/>
  <c r="E1915" i="1"/>
  <c r="D1915" i="1"/>
  <c r="C1915" i="1"/>
  <c r="F1914" i="1"/>
  <c r="E1914" i="1"/>
  <c r="D1914" i="1"/>
  <c r="C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C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C1902" i="1"/>
  <c r="F1901" i="1"/>
  <c r="E1901" i="1"/>
  <c r="D1901" i="1"/>
  <c r="F1900" i="1"/>
  <c r="E1900" i="1"/>
  <c r="D1900" i="1"/>
  <c r="C1900" i="1"/>
  <c r="F1899" i="1"/>
  <c r="E1899" i="1"/>
  <c r="D1899" i="1"/>
  <c r="C1899" i="1"/>
  <c r="F1898" i="1"/>
  <c r="E1898" i="1"/>
  <c r="D1898" i="1"/>
  <c r="C1898" i="1"/>
  <c r="F1897" i="1"/>
  <c r="E1897" i="1"/>
  <c r="D1897" i="1"/>
  <c r="F1896" i="1"/>
  <c r="E1896" i="1"/>
  <c r="D1896" i="1"/>
  <c r="C1896" i="1"/>
  <c r="F1895" i="1"/>
  <c r="E1895" i="1"/>
  <c r="D1895" i="1"/>
  <c r="C1895" i="1"/>
  <c r="F1894" i="1"/>
  <c r="E1894" i="1"/>
  <c r="D1894" i="1"/>
  <c r="C1894" i="1"/>
  <c r="F1893" i="1"/>
  <c r="E1893" i="1"/>
  <c r="D1893" i="1"/>
  <c r="F1892" i="1"/>
  <c r="E1892" i="1"/>
  <c r="D1892" i="1"/>
  <c r="C1892" i="1"/>
  <c r="F1891" i="1"/>
  <c r="E1891" i="1"/>
  <c r="D1891" i="1"/>
  <c r="C1891" i="1"/>
  <c r="F1890" i="1"/>
  <c r="E1890" i="1"/>
  <c r="D1890" i="1"/>
  <c r="C1890" i="1"/>
  <c r="F1889" i="1"/>
  <c r="E1889" i="1"/>
  <c r="D1889" i="1"/>
  <c r="C1889" i="1"/>
  <c r="F1888" i="1"/>
  <c r="E1888" i="1"/>
  <c r="D1888" i="1"/>
  <c r="C1888" i="1"/>
  <c r="F1887" i="1"/>
  <c r="E1887" i="1"/>
  <c r="D1887" i="1"/>
  <c r="C1887" i="1"/>
  <c r="F1886" i="1"/>
  <c r="E1886" i="1"/>
  <c r="D1886" i="1"/>
  <c r="C1886" i="1"/>
  <c r="F1885" i="1"/>
  <c r="E1885" i="1"/>
  <c r="D1885" i="1"/>
  <c r="C1885" i="1"/>
  <c r="F1884" i="1"/>
  <c r="E1884" i="1"/>
  <c r="D1884" i="1"/>
  <c r="C1884" i="1"/>
  <c r="F1883" i="1"/>
  <c r="E1883" i="1"/>
  <c r="D1883" i="1"/>
  <c r="C1883" i="1"/>
  <c r="F1882" i="1"/>
  <c r="E1882" i="1"/>
  <c r="D1882" i="1"/>
  <c r="C1882" i="1"/>
  <c r="F1881" i="1"/>
  <c r="E1881" i="1"/>
  <c r="D1881" i="1"/>
  <c r="C1881" i="1"/>
  <c r="F1880" i="1"/>
  <c r="E1880" i="1"/>
  <c r="D1880" i="1"/>
  <c r="C1880" i="1"/>
  <c r="F1879" i="1"/>
  <c r="E1879" i="1"/>
  <c r="D1879" i="1"/>
  <c r="C1879" i="1"/>
  <c r="F1878" i="1"/>
  <c r="E1878" i="1"/>
  <c r="D1878" i="1"/>
  <c r="C1878" i="1"/>
  <c r="F1877" i="1"/>
  <c r="E1877" i="1"/>
  <c r="D1877" i="1"/>
  <c r="C1877" i="1"/>
  <c r="F1876" i="1"/>
  <c r="E1876" i="1"/>
  <c r="D1876" i="1"/>
  <c r="C1876" i="1"/>
  <c r="F1875" i="1"/>
  <c r="E1875" i="1"/>
  <c r="D1875" i="1"/>
  <c r="C1875" i="1"/>
  <c r="F1874" i="1"/>
  <c r="E1874" i="1"/>
  <c r="D1874" i="1"/>
  <c r="C1874" i="1"/>
  <c r="F1873" i="1"/>
  <c r="E1873" i="1"/>
  <c r="D1873" i="1"/>
  <c r="C1873" i="1"/>
  <c r="F1872" i="1"/>
  <c r="E1872" i="1"/>
  <c r="D1872" i="1"/>
  <c r="C1872" i="1"/>
  <c r="F1871" i="1"/>
  <c r="E1871" i="1"/>
  <c r="D1871" i="1"/>
  <c r="C1871" i="1"/>
  <c r="F1870" i="1"/>
  <c r="E1870" i="1"/>
  <c r="D1870" i="1"/>
  <c r="C1870" i="1"/>
  <c r="F1869" i="1"/>
  <c r="E1869" i="1"/>
  <c r="D1869" i="1"/>
  <c r="C1869" i="1"/>
  <c r="F1868" i="1"/>
  <c r="E1868" i="1"/>
  <c r="D1868" i="1"/>
  <c r="C1868" i="1"/>
  <c r="F1867" i="1"/>
  <c r="E1867" i="1"/>
  <c r="D1867" i="1"/>
  <c r="C1867" i="1"/>
  <c r="F1866" i="1"/>
  <c r="E1866" i="1"/>
  <c r="D1866" i="1"/>
  <c r="C1866" i="1"/>
  <c r="F1865" i="1"/>
  <c r="E1865" i="1"/>
  <c r="D1865" i="1"/>
  <c r="F1864" i="1"/>
  <c r="E1864" i="1"/>
  <c r="D1864" i="1"/>
  <c r="F1863" i="1"/>
  <c r="E1863" i="1"/>
  <c r="D1863" i="1"/>
  <c r="C1863" i="1"/>
  <c r="F1862" i="1"/>
  <c r="E1862" i="1"/>
  <c r="D1862" i="1"/>
  <c r="C1862" i="1"/>
  <c r="F1861" i="1"/>
  <c r="E1861" i="1"/>
  <c r="D1861" i="1"/>
  <c r="C1861" i="1"/>
  <c r="F1860" i="1"/>
  <c r="E1860" i="1"/>
  <c r="D1860" i="1"/>
  <c r="C1860" i="1"/>
  <c r="F1859" i="1"/>
  <c r="E1859" i="1"/>
  <c r="D1859" i="1"/>
  <c r="C1859" i="1"/>
  <c r="F1858" i="1"/>
  <c r="E1858" i="1"/>
  <c r="D1858" i="1"/>
  <c r="C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C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C1848" i="1"/>
  <c r="F1847" i="1"/>
  <c r="E1847" i="1"/>
  <c r="D1847" i="1"/>
  <c r="F1846" i="1"/>
  <c r="E1846" i="1"/>
  <c r="D1846" i="1"/>
  <c r="F1845" i="1"/>
  <c r="E1845" i="1"/>
  <c r="D1845" i="1"/>
  <c r="C1845" i="1"/>
  <c r="F1844" i="1"/>
  <c r="E1844" i="1"/>
  <c r="D1844" i="1"/>
  <c r="C1844" i="1"/>
  <c r="F1843" i="1"/>
  <c r="E1843" i="1"/>
  <c r="D1843" i="1"/>
  <c r="F1842" i="1"/>
  <c r="E1842" i="1"/>
  <c r="D1842" i="1"/>
  <c r="C1842" i="1"/>
  <c r="F1841" i="1"/>
  <c r="E1841" i="1"/>
  <c r="D1841" i="1"/>
  <c r="F1840" i="1"/>
  <c r="E1840" i="1"/>
  <c r="D1840" i="1"/>
  <c r="F1839" i="1"/>
  <c r="E1839" i="1"/>
  <c r="D1839" i="1"/>
  <c r="C1839" i="1"/>
  <c r="F1838" i="1"/>
  <c r="E1838" i="1"/>
  <c r="D1838" i="1"/>
  <c r="C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C1833" i="1"/>
  <c r="F1832" i="1"/>
  <c r="E1832" i="1"/>
  <c r="D1832" i="1"/>
  <c r="C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C1827" i="1"/>
  <c r="F1826" i="1"/>
  <c r="E1826" i="1"/>
  <c r="D1826" i="1"/>
  <c r="C1826" i="1"/>
  <c r="F1825" i="1"/>
  <c r="E1825" i="1"/>
  <c r="D1825" i="1"/>
  <c r="F1824" i="1"/>
  <c r="E1824" i="1"/>
  <c r="D1824" i="1"/>
  <c r="C1824" i="1"/>
  <c r="F1823" i="1"/>
  <c r="E1823" i="1"/>
  <c r="D1823" i="1"/>
  <c r="F1822" i="1"/>
  <c r="E1822" i="1"/>
  <c r="D1822" i="1"/>
  <c r="C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C1815" i="1"/>
  <c r="F1814" i="1"/>
  <c r="E1814" i="1"/>
  <c r="D1814" i="1"/>
  <c r="C1814" i="1"/>
  <c r="F1813" i="1"/>
  <c r="E1813" i="1"/>
  <c r="D1813" i="1"/>
  <c r="F1812" i="1"/>
  <c r="E1812" i="1"/>
  <c r="D1812" i="1"/>
  <c r="C1812" i="1"/>
  <c r="F1811" i="1"/>
  <c r="E1811" i="1"/>
  <c r="D1811" i="1"/>
  <c r="F1810" i="1"/>
  <c r="E1810" i="1"/>
  <c r="D1810" i="1"/>
  <c r="C1810" i="1"/>
  <c r="F1809" i="1"/>
  <c r="E1809" i="1"/>
  <c r="D1809" i="1"/>
  <c r="F1808" i="1"/>
  <c r="E1808" i="1"/>
  <c r="D1808" i="1"/>
  <c r="C1808" i="1"/>
  <c r="F1807" i="1"/>
  <c r="E1807" i="1"/>
  <c r="D1807" i="1"/>
  <c r="F1806" i="1"/>
  <c r="E1806" i="1"/>
  <c r="D1806" i="1"/>
  <c r="C1806" i="1"/>
  <c r="F1805" i="1"/>
  <c r="E1805" i="1"/>
  <c r="D1805" i="1"/>
  <c r="C1805" i="1"/>
  <c r="F1804" i="1"/>
  <c r="E1804" i="1"/>
  <c r="D1804" i="1"/>
  <c r="C1804" i="1"/>
  <c r="F1803" i="1"/>
  <c r="E1803" i="1"/>
  <c r="D1803" i="1"/>
  <c r="C1803" i="1"/>
  <c r="F1802" i="1"/>
  <c r="E1802" i="1"/>
  <c r="D1802" i="1"/>
  <c r="C1802" i="1"/>
  <c r="F1801" i="1"/>
  <c r="E1801" i="1"/>
  <c r="D1801" i="1"/>
  <c r="C1801" i="1"/>
  <c r="F1800" i="1"/>
  <c r="E1800" i="1"/>
  <c r="D1800" i="1"/>
  <c r="C1800" i="1"/>
  <c r="F1799" i="1"/>
  <c r="E1799" i="1"/>
  <c r="D1799" i="1"/>
  <c r="C1799" i="1"/>
  <c r="F1798" i="1"/>
  <c r="E1798" i="1"/>
  <c r="D1798" i="1"/>
  <c r="C1798" i="1"/>
  <c r="F1797" i="1"/>
  <c r="E1797" i="1"/>
  <c r="D1797" i="1"/>
  <c r="C1797" i="1"/>
  <c r="F1796" i="1"/>
  <c r="E1796" i="1"/>
  <c r="D1796" i="1"/>
  <c r="C1796" i="1"/>
  <c r="F1795" i="1"/>
  <c r="E1795" i="1"/>
  <c r="D1795" i="1"/>
  <c r="C1795" i="1"/>
  <c r="F1794" i="1"/>
  <c r="E1794" i="1"/>
  <c r="D1794" i="1"/>
  <c r="C1794" i="1"/>
  <c r="F1793" i="1"/>
  <c r="E1793" i="1"/>
  <c r="D1793" i="1"/>
  <c r="C1793" i="1"/>
  <c r="F1792" i="1"/>
  <c r="E1792" i="1"/>
  <c r="D1792" i="1"/>
  <c r="C1792" i="1"/>
  <c r="F1791" i="1"/>
  <c r="E1791" i="1"/>
  <c r="D1791" i="1"/>
  <c r="C1791" i="1"/>
  <c r="F1790" i="1"/>
  <c r="E1790" i="1"/>
  <c r="D1790" i="1"/>
  <c r="C1790" i="1"/>
  <c r="F1789" i="1"/>
  <c r="E1789" i="1"/>
  <c r="D1789" i="1"/>
  <c r="C1789" i="1"/>
  <c r="F1788" i="1"/>
  <c r="E1788" i="1"/>
  <c r="D1788" i="1"/>
  <c r="C1788" i="1"/>
  <c r="F1787" i="1"/>
  <c r="E1787" i="1"/>
  <c r="D1787" i="1"/>
  <c r="C1787" i="1"/>
  <c r="F1786" i="1"/>
  <c r="E1786" i="1"/>
  <c r="D1786" i="1"/>
  <c r="C1786" i="1"/>
  <c r="F1785" i="1"/>
  <c r="E1785" i="1"/>
  <c r="D1785" i="1"/>
  <c r="C1785" i="1"/>
  <c r="F1784" i="1"/>
  <c r="E1784" i="1"/>
  <c r="D1784" i="1"/>
  <c r="C1784" i="1"/>
  <c r="F1783" i="1"/>
  <c r="E1783" i="1"/>
  <c r="D1783" i="1"/>
  <c r="C1783" i="1"/>
  <c r="F1782" i="1"/>
  <c r="E1782" i="1"/>
  <c r="D1782" i="1"/>
  <c r="C1782" i="1"/>
  <c r="F1781" i="1"/>
  <c r="E1781" i="1"/>
  <c r="D1781" i="1"/>
  <c r="C1781" i="1"/>
  <c r="F1780" i="1"/>
  <c r="E1780" i="1"/>
  <c r="D1780" i="1"/>
  <c r="C1780" i="1"/>
  <c r="F1779" i="1"/>
  <c r="E1779" i="1"/>
  <c r="D1779" i="1"/>
  <c r="C1779" i="1"/>
  <c r="F1778" i="1"/>
  <c r="E1778" i="1"/>
  <c r="D1778" i="1"/>
  <c r="C1778" i="1"/>
  <c r="F1777" i="1"/>
  <c r="E1777" i="1"/>
  <c r="D1777" i="1"/>
  <c r="C1777" i="1"/>
  <c r="F1776" i="1"/>
  <c r="E1776" i="1"/>
  <c r="D1776" i="1"/>
  <c r="C1776" i="1"/>
  <c r="F1775" i="1"/>
  <c r="E1775" i="1"/>
  <c r="D1775" i="1"/>
  <c r="C1775" i="1"/>
  <c r="F1774" i="1"/>
  <c r="E1774" i="1"/>
  <c r="D1774" i="1"/>
  <c r="C1774" i="1"/>
  <c r="F1773" i="1"/>
  <c r="E1773" i="1"/>
  <c r="D1773" i="1"/>
  <c r="C1773" i="1"/>
  <c r="F1772" i="1"/>
  <c r="E1772" i="1"/>
  <c r="D1772" i="1"/>
  <c r="C1772" i="1"/>
  <c r="F1771" i="1"/>
  <c r="E1771" i="1"/>
  <c r="D1771" i="1"/>
  <c r="F1770" i="1"/>
  <c r="E1770" i="1"/>
  <c r="D1770" i="1"/>
  <c r="C1770" i="1"/>
  <c r="F1769" i="1"/>
  <c r="E1769" i="1"/>
  <c r="D1769" i="1"/>
  <c r="C1769" i="1"/>
  <c r="F1768" i="1"/>
  <c r="E1768" i="1"/>
  <c r="D1768" i="1"/>
  <c r="C1768" i="1"/>
  <c r="F1767" i="1"/>
  <c r="E1767" i="1"/>
  <c r="D1767" i="1"/>
  <c r="F1766" i="1"/>
  <c r="E1766" i="1"/>
  <c r="D1766" i="1"/>
  <c r="C1766" i="1"/>
  <c r="F1765" i="1"/>
  <c r="E1765" i="1"/>
  <c r="D1765" i="1"/>
  <c r="C1765" i="1"/>
  <c r="F1764" i="1"/>
  <c r="E1764" i="1"/>
  <c r="D1764" i="1"/>
  <c r="C1764" i="1"/>
  <c r="F1763" i="1"/>
  <c r="E1763" i="1"/>
  <c r="D1763" i="1"/>
  <c r="F1762" i="1"/>
  <c r="E1762" i="1"/>
  <c r="D1762" i="1"/>
  <c r="C1762" i="1"/>
  <c r="F1761" i="1"/>
  <c r="E1761" i="1"/>
  <c r="D1761" i="1"/>
  <c r="F1760" i="1"/>
  <c r="E1760" i="1"/>
  <c r="D1760" i="1"/>
  <c r="C1760" i="1"/>
  <c r="F1759" i="1"/>
  <c r="E1759" i="1"/>
  <c r="D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F1755" i="1"/>
  <c r="E1755" i="1"/>
  <c r="D1755" i="1"/>
  <c r="C1755" i="1"/>
  <c r="F1754" i="1"/>
  <c r="E1754" i="1"/>
  <c r="D1754" i="1"/>
  <c r="C1754" i="1"/>
  <c r="F1753" i="1"/>
  <c r="E1753" i="1"/>
  <c r="D1753" i="1"/>
  <c r="F1752" i="1"/>
  <c r="E1752" i="1"/>
  <c r="D1752" i="1"/>
  <c r="C1752" i="1"/>
  <c r="F1751" i="1"/>
  <c r="E1751" i="1"/>
  <c r="D1751" i="1"/>
  <c r="F1750" i="1"/>
  <c r="E1750" i="1"/>
  <c r="D1750" i="1"/>
  <c r="C1750" i="1"/>
  <c r="F1749" i="1"/>
  <c r="E1749" i="1"/>
  <c r="D1749" i="1"/>
  <c r="F1748" i="1"/>
  <c r="E1748" i="1"/>
  <c r="D1748" i="1"/>
  <c r="C1748" i="1"/>
  <c r="F1747" i="1"/>
  <c r="E1747" i="1"/>
  <c r="D1747" i="1"/>
  <c r="F1746" i="1"/>
  <c r="E1746" i="1"/>
  <c r="D1746" i="1"/>
  <c r="F1745" i="1"/>
  <c r="E1745" i="1"/>
  <c r="D1745" i="1"/>
  <c r="C1745" i="1"/>
  <c r="F1744" i="1"/>
  <c r="E1744" i="1"/>
  <c r="D1744" i="1"/>
  <c r="C1744" i="1"/>
  <c r="F1743" i="1"/>
  <c r="E1743" i="1"/>
  <c r="D1743" i="1"/>
  <c r="F1742" i="1"/>
  <c r="E1742" i="1"/>
  <c r="D1742" i="1"/>
  <c r="C1742" i="1"/>
  <c r="F1741" i="1"/>
  <c r="E1741" i="1"/>
  <c r="D1741" i="1"/>
  <c r="F1740" i="1"/>
  <c r="E1740" i="1"/>
  <c r="D1740" i="1"/>
  <c r="F1739" i="1"/>
  <c r="E1739" i="1"/>
  <c r="D1739" i="1"/>
  <c r="C1739" i="1"/>
  <c r="F1738" i="1"/>
  <c r="E1738" i="1"/>
  <c r="D1738" i="1"/>
  <c r="C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C1729" i="1"/>
  <c r="F1728" i="1"/>
  <c r="E1728" i="1"/>
  <c r="D1728" i="1"/>
  <c r="C1728" i="1"/>
  <c r="F1727" i="1"/>
  <c r="E1727" i="1"/>
  <c r="D1727" i="1"/>
  <c r="F1726" i="1"/>
  <c r="E1726" i="1"/>
  <c r="D1726" i="1"/>
  <c r="C1726" i="1"/>
  <c r="F1725" i="1"/>
  <c r="E1725" i="1"/>
  <c r="D1725" i="1"/>
  <c r="F1724" i="1"/>
  <c r="E1724" i="1"/>
  <c r="D1724" i="1"/>
  <c r="C1724" i="1"/>
  <c r="F1723" i="1"/>
  <c r="E1723" i="1"/>
  <c r="D1723" i="1"/>
  <c r="F1722" i="1"/>
  <c r="E1722" i="1"/>
  <c r="D1722" i="1"/>
  <c r="C1722" i="1"/>
  <c r="F1721" i="1"/>
  <c r="E1721" i="1"/>
  <c r="D1721" i="1"/>
  <c r="F1720" i="1"/>
  <c r="E1720" i="1"/>
  <c r="D1720" i="1"/>
  <c r="C1720" i="1"/>
  <c r="F1719" i="1"/>
  <c r="E1719" i="1"/>
  <c r="D1719" i="1"/>
  <c r="F1718" i="1"/>
  <c r="E1718" i="1"/>
  <c r="D1718" i="1"/>
  <c r="C1718" i="1"/>
  <c r="F1717" i="1"/>
  <c r="E1717" i="1"/>
  <c r="D1717" i="1"/>
  <c r="C1717" i="1"/>
  <c r="F1716" i="1"/>
  <c r="E1716" i="1"/>
  <c r="D1716" i="1"/>
  <c r="C1716" i="1"/>
  <c r="F1715" i="1"/>
  <c r="E1715" i="1"/>
  <c r="D1715" i="1"/>
  <c r="C1715" i="1"/>
  <c r="F1714" i="1"/>
  <c r="E1714" i="1"/>
  <c r="D1714" i="1"/>
  <c r="C1714" i="1"/>
  <c r="F1713" i="1"/>
  <c r="E1713" i="1"/>
  <c r="D1713" i="1"/>
  <c r="C1713" i="1"/>
  <c r="F1712" i="1"/>
  <c r="E1712" i="1"/>
  <c r="D1712" i="1"/>
  <c r="C1712" i="1"/>
  <c r="F1711" i="1"/>
  <c r="E1711" i="1"/>
  <c r="D1711" i="1"/>
  <c r="C1711" i="1"/>
  <c r="F1710" i="1"/>
  <c r="E1710" i="1"/>
  <c r="D1710" i="1"/>
  <c r="C1710" i="1"/>
  <c r="F1709" i="1"/>
  <c r="E1709" i="1"/>
  <c r="D1709" i="1"/>
  <c r="C1709" i="1"/>
  <c r="F1708" i="1"/>
  <c r="E1708" i="1"/>
  <c r="D1708" i="1"/>
  <c r="C1708" i="1"/>
  <c r="F1707" i="1"/>
  <c r="E1707" i="1"/>
  <c r="D1707" i="1"/>
  <c r="C1707" i="1"/>
  <c r="F1706" i="1"/>
  <c r="E1706" i="1"/>
  <c r="D1706" i="1"/>
  <c r="C1706" i="1"/>
  <c r="F1705" i="1"/>
  <c r="E1705" i="1"/>
  <c r="D1705" i="1"/>
  <c r="C1705" i="1"/>
  <c r="F1704" i="1"/>
  <c r="E1704" i="1"/>
  <c r="D1704" i="1"/>
  <c r="C1704" i="1"/>
  <c r="F1703" i="1"/>
  <c r="E1703" i="1"/>
  <c r="D1703" i="1"/>
  <c r="C1703" i="1"/>
  <c r="F1702" i="1"/>
  <c r="E1702" i="1"/>
  <c r="D1702" i="1"/>
  <c r="C1702" i="1"/>
  <c r="F1701" i="1"/>
  <c r="E1701" i="1"/>
  <c r="D1701" i="1"/>
  <c r="C1701" i="1"/>
  <c r="F1700" i="1"/>
  <c r="E1700" i="1"/>
  <c r="D1700" i="1"/>
  <c r="C1700" i="1"/>
  <c r="F1699" i="1"/>
  <c r="E1699" i="1"/>
  <c r="D1699" i="1"/>
  <c r="C1699" i="1"/>
  <c r="F1698" i="1"/>
  <c r="E1698" i="1"/>
  <c r="D1698" i="1"/>
  <c r="C1698" i="1"/>
  <c r="F1697" i="1"/>
  <c r="E1697" i="1"/>
  <c r="D1697" i="1"/>
  <c r="C1697" i="1"/>
  <c r="F1696" i="1"/>
  <c r="E1696" i="1"/>
  <c r="D1696" i="1"/>
  <c r="C1696" i="1"/>
  <c r="F1695" i="1"/>
  <c r="E1695" i="1"/>
  <c r="D1695" i="1"/>
  <c r="C1695" i="1"/>
  <c r="F1694" i="1"/>
  <c r="E1694" i="1"/>
  <c r="D1694" i="1"/>
  <c r="C1694" i="1"/>
  <c r="F1693" i="1"/>
  <c r="E1693" i="1"/>
  <c r="D1693" i="1"/>
  <c r="C1693" i="1"/>
  <c r="F1692" i="1"/>
  <c r="E1692" i="1"/>
  <c r="D1692" i="1"/>
  <c r="C1692" i="1"/>
  <c r="F1691" i="1"/>
  <c r="E1691" i="1"/>
  <c r="D1691" i="1"/>
  <c r="C1691" i="1"/>
  <c r="F1690" i="1"/>
  <c r="E1690" i="1"/>
  <c r="D1690" i="1"/>
  <c r="C1690" i="1"/>
  <c r="F1689" i="1"/>
  <c r="E1689" i="1"/>
  <c r="D1689" i="1"/>
  <c r="C1689" i="1"/>
  <c r="F1688" i="1"/>
  <c r="E1688" i="1"/>
  <c r="D1688" i="1"/>
  <c r="C1688" i="1"/>
  <c r="F1687" i="1"/>
  <c r="E1687" i="1"/>
  <c r="D1687" i="1"/>
  <c r="C1687" i="1"/>
  <c r="F1686" i="1"/>
  <c r="E1686" i="1"/>
  <c r="D1686" i="1"/>
  <c r="C1686" i="1"/>
  <c r="F1685" i="1"/>
  <c r="E1685" i="1"/>
  <c r="D1685" i="1"/>
  <c r="C1685" i="1"/>
  <c r="F1684" i="1"/>
  <c r="E1684" i="1"/>
  <c r="D1684" i="1"/>
  <c r="C1684" i="1"/>
  <c r="F1683" i="1"/>
  <c r="E1683" i="1"/>
  <c r="D1683" i="1"/>
  <c r="F1682" i="1"/>
  <c r="E1682" i="1"/>
  <c r="D1682" i="1"/>
  <c r="C1682" i="1"/>
  <c r="F1681" i="1"/>
  <c r="E1681" i="1"/>
  <c r="D1681" i="1"/>
  <c r="C1681" i="1"/>
  <c r="F1680" i="1"/>
  <c r="E1680" i="1"/>
  <c r="D1680" i="1"/>
  <c r="C1680" i="1"/>
  <c r="F1679" i="1"/>
  <c r="E1679" i="1"/>
  <c r="D1679" i="1"/>
  <c r="F1678" i="1"/>
  <c r="E1678" i="1"/>
  <c r="D1678" i="1"/>
  <c r="C1678" i="1"/>
  <c r="F1677" i="1"/>
  <c r="E1677" i="1"/>
  <c r="D1677" i="1"/>
  <c r="F1676" i="1"/>
  <c r="E1676" i="1"/>
  <c r="D1676" i="1"/>
  <c r="C1676" i="1"/>
  <c r="F1675" i="1"/>
  <c r="E1675" i="1"/>
  <c r="D1675" i="1"/>
  <c r="C1675" i="1"/>
  <c r="F1674" i="1"/>
  <c r="E1674" i="1"/>
  <c r="D1674" i="1"/>
  <c r="C1674" i="1"/>
  <c r="F1673" i="1"/>
  <c r="E1673" i="1"/>
  <c r="D1673" i="1"/>
  <c r="C1673" i="1"/>
  <c r="F1672" i="1"/>
  <c r="E1672" i="1"/>
  <c r="D1672" i="1"/>
  <c r="C1672" i="1"/>
  <c r="F1671" i="1"/>
  <c r="E1671" i="1"/>
  <c r="D1671" i="1"/>
  <c r="F1670" i="1"/>
  <c r="E1670" i="1"/>
  <c r="D1670" i="1"/>
  <c r="C1670" i="1"/>
  <c r="F1669" i="1"/>
  <c r="E1669" i="1"/>
  <c r="D1669" i="1"/>
  <c r="C1669" i="1"/>
  <c r="F1668" i="1"/>
  <c r="E1668" i="1"/>
  <c r="D1668" i="1"/>
  <c r="C1668" i="1"/>
  <c r="F1667" i="1"/>
  <c r="E1667" i="1"/>
  <c r="D1667" i="1"/>
  <c r="C1667" i="1"/>
  <c r="F1666" i="1"/>
  <c r="E1666" i="1"/>
  <c r="D1666" i="1"/>
  <c r="C1666" i="1"/>
  <c r="F1665" i="1"/>
  <c r="E1665" i="1"/>
  <c r="D1665" i="1"/>
  <c r="F1664" i="1"/>
  <c r="E1664" i="1"/>
  <c r="D1664" i="1"/>
  <c r="C1664" i="1"/>
  <c r="F1663" i="1"/>
  <c r="E1663" i="1"/>
  <c r="D1663" i="1"/>
  <c r="C1663" i="1"/>
  <c r="F1662" i="1"/>
  <c r="E1662" i="1"/>
  <c r="D1662" i="1"/>
  <c r="C1662" i="1"/>
  <c r="F1661" i="1"/>
  <c r="E1661" i="1"/>
  <c r="D1661" i="1"/>
  <c r="C1661" i="1"/>
  <c r="F1660" i="1"/>
  <c r="E1660" i="1"/>
  <c r="D1660" i="1"/>
  <c r="C1660" i="1"/>
  <c r="F1659" i="1"/>
  <c r="E1659" i="1"/>
  <c r="D1659" i="1"/>
  <c r="F1658" i="1"/>
  <c r="E1658" i="1"/>
  <c r="D1658" i="1"/>
  <c r="F1657" i="1"/>
  <c r="E1657" i="1"/>
  <c r="D1657" i="1"/>
  <c r="C1657" i="1"/>
  <c r="F1656" i="1"/>
  <c r="E1656" i="1"/>
  <c r="D1656" i="1"/>
  <c r="C1656" i="1"/>
  <c r="F1655" i="1"/>
  <c r="E1655" i="1"/>
  <c r="D1655" i="1"/>
  <c r="F1654" i="1"/>
  <c r="E1654" i="1"/>
  <c r="D1654" i="1"/>
  <c r="C1654" i="1"/>
  <c r="F1653" i="1"/>
  <c r="E1653" i="1"/>
  <c r="D1653" i="1"/>
  <c r="F1652" i="1"/>
  <c r="E1652" i="1"/>
  <c r="D1652" i="1"/>
  <c r="C1652" i="1"/>
  <c r="F1651" i="1"/>
  <c r="E1651" i="1"/>
  <c r="D1651" i="1"/>
  <c r="F1650" i="1"/>
  <c r="E1650" i="1"/>
  <c r="D1650" i="1"/>
  <c r="C1650" i="1"/>
  <c r="F1649" i="1"/>
  <c r="E1649" i="1"/>
  <c r="D1649" i="1"/>
  <c r="F1648" i="1"/>
  <c r="E1648" i="1"/>
  <c r="D1648" i="1"/>
  <c r="F1647" i="1"/>
  <c r="E1647" i="1"/>
  <c r="D1647" i="1"/>
  <c r="F1646" i="1"/>
  <c r="E1646" i="1"/>
  <c r="D1646" i="1"/>
  <c r="F1645" i="1"/>
  <c r="E1645" i="1"/>
  <c r="D1645" i="1"/>
  <c r="F1644" i="1"/>
  <c r="E1644" i="1"/>
  <c r="D1644" i="1"/>
  <c r="F1643" i="1"/>
  <c r="E1643" i="1"/>
  <c r="D1643" i="1"/>
  <c r="F1642" i="1"/>
  <c r="E1642" i="1"/>
  <c r="D1642" i="1"/>
  <c r="F1641" i="1"/>
  <c r="E1641" i="1"/>
  <c r="D1641" i="1"/>
  <c r="F1640" i="1"/>
  <c r="E1640" i="1"/>
  <c r="D1640" i="1"/>
  <c r="C1640" i="1"/>
  <c r="F1639" i="1"/>
  <c r="E1639" i="1"/>
  <c r="D1639" i="1"/>
  <c r="C1639" i="1"/>
  <c r="F1638" i="1"/>
  <c r="E1638" i="1"/>
  <c r="D1638" i="1"/>
  <c r="C1638" i="1"/>
  <c r="F1637" i="1"/>
  <c r="E1637" i="1"/>
  <c r="D1637" i="1"/>
  <c r="C1637" i="1"/>
  <c r="F1636" i="1"/>
  <c r="E1636" i="1"/>
  <c r="D1636" i="1"/>
  <c r="C1636" i="1"/>
  <c r="F1635" i="1"/>
  <c r="E1635" i="1"/>
  <c r="D1635" i="1"/>
  <c r="C1635" i="1"/>
  <c r="F1634" i="1"/>
  <c r="E1634" i="1"/>
  <c r="D1634" i="1"/>
  <c r="C1634" i="1"/>
  <c r="F1633" i="1"/>
  <c r="E1633" i="1"/>
  <c r="D1633" i="1"/>
  <c r="F1632" i="1"/>
  <c r="E1632" i="1"/>
  <c r="D1632" i="1"/>
  <c r="C1632" i="1"/>
  <c r="F1631" i="1"/>
  <c r="E1631" i="1"/>
  <c r="D1631" i="1"/>
  <c r="F1630" i="1"/>
  <c r="E1630" i="1"/>
  <c r="D1630" i="1"/>
  <c r="C1630" i="1"/>
  <c r="F1629" i="1"/>
  <c r="E1629" i="1"/>
  <c r="D1629" i="1"/>
  <c r="C1629" i="1"/>
  <c r="F1628" i="1"/>
  <c r="E1628" i="1"/>
  <c r="D1628" i="1"/>
  <c r="C1628" i="1"/>
  <c r="F1627" i="1"/>
  <c r="E1627" i="1"/>
  <c r="D1627" i="1"/>
  <c r="C1627" i="1"/>
  <c r="F1626" i="1"/>
  <c r="E1626" i="1"/>
  <c r="D1626" i="1"/>
  <c r="C1626" i="1"/>
  <c r="F1625" i="1"/>
  <c r="E1625" i="1"/>
  <c r="D1625" i="1"/>
  <c r="F1624" i="1"/>
  <c r="E1624" i="1"/>
  <c r="D1624" i="1"/>
  <c r="C1624" i="1"/>
  <c r="F1623" i="1"/>
  <c r="E1623" i="1"/>
  <c r="D1623" i="1"/>
  <c r="C1623" i="1"/>
  <c r="F1622" i="1"/>
  <c r="E1622" i="1"/>
  <c r="D1622" i="1"/>
  <c r="C1622" i="1"/>
  <c r="F1621" i="1"/>
  <c r="E1621" i="1"/>
  <c r="D1621" i="1"/>
  <c r="C1621" i="1"/>
  <c r="F1620" i="1"/>
  <c r="E1620" i="1"/>
  <c r="D1620" i="1"/>
  <c r="C1620" i="1"/>
  <c r="F1619" i="1"/>
  <c r="E1619" i="1"/>
  <c r="D1619" i="1"/>
  <c r="C1619" i="1"/>
  <c r="F1618" i="1"/>
  <c r="E1618" i="1"/>
  <c r="D1618" i="1"/>
  <c r="C1618" i="1"/>
  <c r="F1617" i="1"/>
  <c r="E1617" i="1"/>
  <c r="D1617" i="1"/>
  <c r="C1617" i="1"/>
  <c r="F1616" i="1"/>
  <c r="E1616" i="1"/>
  <c r="D1616" i="1"/>
  <c r="C1616" i="1"/>
  <c r="F1615" i="1"/>
  <c r="E1615" i="1"/>
  <c r="D1615" i="1"/>
  <c r="C1615" i="1"/>
  <c r="F1614" i="1"/>
  <c r="E1614" i="1"/>
  <c r="D1614" i="1"/>
  <c r="C1614" i="1"/>
  <c r="F1613" i="1"/>
  <c r="E1613" i="1"/>
  <c r="D1613" i="1"/>
  <c r="C1613" i="1"/>
  <c r="F1612" i="1"/>
  <c r="E1612" i="1"/>
  <c r="D1612" i="1"/>
  <c r="C1612" i="1"/>
  <c r="F1611" i="1"/>
  <c r="E1611" i="1"/>
  <c r="D1611" i="1"/>
  <c r="C1611" i="1"/>
  <c r="F1610" i="1"/>
  <c r="E1610" i="1"/>
  <c r="D1610" i="1"/>
  <c r="C1610" i="1"/>
  <c r="F1609" i="1"/>
  <c r="E1609" i="1"/>
  <c r="D1609" i="1"/>
  <c r="C1609" i="1"/>
  <c r="F1608" i="1"/>
  <c r="E1608" i="1"/>
  <c r="D1608" i="1"/>
  <c r="C1608" i="1"/>
  <c r="F1607" i="1"/>
  <c r="E1607" i="1"/>
  <c r="D1607" i="1"/>
  <c r="C1607" i="1"/>
  <c r="F1606" i="1"/>
  <c r="E1606" i="1"/>
  <c r="D1606" i="1"/>
  <c r="C1606" i="1"/>
  <c r="F1605" i="1"/>
  <c r="E1605" i="1"/>
  <c r="D1605" i="1"/>
  <c r="C1605" i="1"/>
  <c r="F1604" i="1"/>
  <c r="E1604" i="1"/>
  <c r="D1604" i="1"/>
  <c r="C1604" i="1"/>
  <c r="F1603" i="1"/>
  <c r="E1603" i="1"/>
  <c r="D1603" i="1"/>
  <c r="C1603" i="1"/>
  <c r="F1602" i="1"/>
  <c r="E1602" i="1"/>
  <c r="D1602" i="1"/>
  <c r="C1602" i="1"/>
  <c r="F1601" i="1"/>
  <c r="E1601" i="1"/>
  <c r="D1601" i="1"/>
  <c r="C1601" i="1"/>
  <c r="F1600" i="1"/>
  <c r="E1600" i="1"/>
  <c r="D1600" i="1"/>
  <c r="C1600" i="1"/>
  <c r="F1599" i="1"/>
  <c r="E1599" i="1"/>
  <c r="D1599" i="1"/>
  <c r="F1598" i="1"/>
  <c r="E1598" i="1"/>
  <c r="D1598" i="1"/>
  <c r="F1597" i="1"/>
  <c r="E1597" i="1"/>
  <c r="D1597" i="1"/>
  <c r="F1596" i="1"/>
  <c r="E1596" i="1"/>
  <c r="D1596" i="1"/>
  <c r="C1596" i="1"/>
  <c r="F1595" i="1"/>
  <c r="E1595" i="1"/>
  <c r="D1595" i="1"/>
  <c r="F1594" i="1"/>
  <c r="E1594" i="1"/>
  <c r="D1594" i="1"/>
  <c r="C1594" i="1"/>
  <c r="F1593" i="1"/>
  <c r="E1593" i="1"/>
  <c r="D1593" i="1"/>
  <c r="F1592" i="1"/>
  <c r="E1592" i="1"/>
  <c r="D1592" i="1"/>
  <c r="C1592" i="1"/>
  <c r="F1591" i="1"/>
  <c r="E1591" i="1"/>
  <c r="D1591" i="1"/>
  <c r="C1591" i="1"/>
  <c r="F1590" i="1"/>
  <c r="E1590" i="1"/>
  <c r="D1590" i="1"/>
  <c r="C1590" i="1"/>
  <c r="F1589" i="1"/>
  <c r="E1589" i="1"/>
  <c r="D1589" i="1"/>
  <c r="C1589" i="1"/>
  <c r="F1588" i="1"/>
  <c r="E1588" i="1"/>
  <c r="D1588" i="1"/>
  <c r="C1588" i="1"/>
  <c r="F1587" i="1"/>
  <c r="E1587" i="1"/>
  <c r="D1587" i="1"/>
  <c r="F1586" i="1"/>
  <c r="E1586" i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F1578" i="1"/>
  <c r="E1578" i="1"/>
  <c r="D1578" i="1"/>
  <c r="C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F1566" i="1"/>
  <c r="E1566" i="1"/>
  <c r="D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C1556" i="1"/>
  <c r="F1555" i="1"/>
  <c r="E1555" i="1"/>
  <c r="D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F1550" i="1"/>
  <c r="E1550" i="1"/>
  <c r="D1550" i="1"/>
  <c r="C1550" i="1"/>
  <c r="F1549" i="1"/>
  <c r="E1549" i="1"/>
  <c r="D1549" i="1"/>
  <c r="C1549" i="1"/>
  <c r="F1548" i="1"/>
  <c r="E1548" i="1"/>
  <c r="D1548" i="1"/>
  <c r="C1548" i="1"/>
  <c r="F1547" i="1"/>
  <c r="E1547" i="1"/>
  <c r="D1547" i="1"/>
  <c r="F1546" i="1"/>
  <c r="E1546" i="1"/>
  <c r="D1546" i="1"/>
  <c r="F1545" i="1"/>
  <c r="E1545" i="1"/>
  <c r="D1545" i="1"/>
  <c r="C1545" i="1"/>
  <c r="F1544" i="1"/>
  <c r="E1544" i="1"/>
  <c r="D1544" i="1"/>
  <c r="C1544" i="1"/>
  <c r="F1543" i="1"/>
  <c r="E1543" i="1"/>
  <c r="D1543" i="1"/>
  <c r="C1543" i="1"/>
  <c r="F1542" i="1"/>
  <c r="E1542" i="1"/>
  <c r="D1542" i="1"/>
  <c r="C1542" i="1"/>
  <c r="F1541" i="1"/>
  <c r="E1541" i="1"/>
  <c r="D1541" i="1"/>
  <c r="C1541" i="1"/>
  <c r="F1540" i="1"/>
  <c r="E1540" i="1"/>
  <c r="D1540" i="1"/>
  <c r="C1540" i="1"/>
  <c r="F1539" i="1"/>
  <c r="E1539" i="1"/>
  <c r="D1539" i="1"/>
  <c r="F1538" i="1"/>
  <c r="E1538" i="1"/>
  <c r="D1538" i="1"/>
  <c r="C1538" i="1"/>
  <c r="F1537" i="1"/>
  <c r="E1537" i="1"/>
  <c r="D1537" i="1"/>
  <c r="C1537" i="1"/>
  <c r="F1536" i="1"/>
  <c r="E1536" i="1"/>
  <c r="D1536" i="1"/>
  <c r="C1536" i="1"/>
  <c r="F1535" i="1"/>
  <c r="E1535" i="1"/>
  <c r="D1535" i="1"/>
  <c r="C1535" i="1"/>
  <c r="F1534" i="1"/>
  <c r="E1534" i="1"/>
  <c r="D1534" i="1"/>
  <c r="C1534" i="1"/>
  <c r="F1533" i="1"/>
  <c r="E1533" i="1"/>
  <c r="D1533" i="1"/>
  <c r="C1533" i="1"/>
  <c r="F1532" i="1"/>
  <c r="E1532" i="1"/>
  <c r="D1532" i="1"/>
  <c r="C1532" i="1"/>
  <c r="F1531" i="1"/>
  <c r="E1531" i="1"/>
  <c r="D1531" i="1"/>
  <c r="C1531" i="1"/>
  <c r="F1530" i="1"/>
  <c r="E1530" i="1"/>
  <c r="D1530" i="1"/>
  <c r="C1530" i="1"/>
  <c r="F1529" i="1"/>
  <c r="E1529" i="1"/>
  <c r="D1529" i="1"/>
  <c r="C1529" i="1"/>
  <c r="F1528" i="1"/>
  <c r="E1528" i="1"/>
  <c r="D1528" i="1"/>
  <c r="C1528" i="1"/>
  <c r="F1527" i="1"/>
  <c r="E1527" i="1"/>
  <c r="D1527" i="1"/>
  <c r="C1527" i="1"/>
  <c r="F1526" i="1"/>
  <c r="E1526" i="1"/>
  <c r="D1526" i="1"/>
  <c r="C1526" i="1"/>
  <c r="F1525" i="1"/>
  <c r="E1525" i="1"/>
  <c r="D1525" i="1"/>
  <c r="C1525" i="1"/>
  <c r="F1524" i="1"/>
  <c r="E1524" i="1"/>
  <c r="D1524" i="1"/>
  <c r="C1524" i="1"/>
  <c r="F1523" i="1"/>
  <c r="E1523" i="1"/>
  <c r="D1523" i="1"/>
  <c r="C1523" i="1"/>
  <c r="F1522" i="1"/>
  <c r="E1522" i="1"/>
  <c r="D1522" i="1"/>
  <c r="C1522" i="1"/>
  <c r="F1521" i="1"/>
  <c r="E1521" i="1"/>
  <c r="D1521" i="1"/>
  <c r="C1521" i="1"/>
  <c r="F1520" i="1"/>
  <c r="E1520" i="1"/>
  <c r="D1520" i="1"/>
  <c r="C1520" i="1"/>
  <c r="F1519" i="1"/>
  <c r="E1519" i="1"/>
  <c r="D1519" i="1"/>
  <c r="C1519" i="1"/>
  <c r="F1518" i="1"/>
  <c r="E1518" i="1"/>
  <c r="D1518" i="1"/>
  <c r="C1518" i="1"/>
  <c r="F1517" i="1"/>
  <c r="E1517" i="1"/>
  <c r="D1517" i="1"/>
  <c r="C1517" i="1"/>
  <c r="F1516" i="1"/>
  <c r="E1516" i="1"/>
  <c r="D1516" i="1"/>
  <c r="C1516" i="1"/>
  <c r="F1515" i="1"/>
  <c r="E1515" i="1"/>
  <c r="D1515" i="1"/>
  <c r="C1515" i="1"/>
  <c r="F1514" i="1"/>
  <c r="E1514" i="1"/>
  <c r="D1514" i="1"/>
  <c r="C1514" i="1"/>
  <c r="F1513" i="1"/>
  <c r="E1513" i="1"/>
  <c r="D1513" i="1"/>
  <c r="F1512" i="1"/>
  <c r="E1512" i="1"/>
  <c r="D1512" i="1"/>
  <c r="C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C1508" i="1"/>
  <c r="F1507" i="1"/>
  <c r="E1507" i="1"/>
  <c r="D1507" i="1"/>
  <c r="C1507" i="1"/>
  <c r="F1506" i="1"/>
  <c r="E1506" i="1"/>
  <c r="D1506" i="1"/>
  <c r="C1506" i="1"/>
  <c r="F1505" i="1"/>
  <c r="E1505" i="1"/>
  <c r="D1505" i="1"/>
  <c r="C1505" i="1"/>
  <c r="F1504" i="1"/>
  <c r="E1504" i="1"/>
  <c r="D1504" i="1"/>
  <c r="C1504" i="1"/>
  <c r="F1503" i="1"/>
  <c r="E1503" i="1"/>
  <c r="D1503" i="1"/>
  <c r="F1502" i="1"/>
  <c r="E1502" i="1"/>
  <c r="D1502" i="1"/>
  <c r="C1502" i="1"/>
  <c r="F1501" i="1"/>
  <c r="E1501" i="1"/>
  <c r="D1501" i="1"/>
  <c r="C1501" i="1"/>
  <c r="F1500" i="1"/>
  <c r="E1500" i="1"/>
  <c r="D1500" i="1"/>
  <c r="C1500" i="1"/>
  <c r="F1499" i="1"/>
  <c r="E1499" i="1"/>
  <c r="D1499" i="1"/>
  <c r="F1498" i="1"/>
  <c r="E1498" i="1"/>
  <c r="D1498" i="1"/>
  <c r="C1498" i="1"/>
  <c r="F1497" i="1"/>
  <c r="E1497" i="1"/>
  <c r="D1497" i="1"/>
  <c r="C1497" i="1"/>
  <c r="F1496" i="1"/>
  <c r="E1496" i="1"/>
  <c r="D1496" i="1"/>
  <c r="C1496" i="1"/>
  <c r="F1495" i="1"/>
  <c r="E1495" i="1"/>
  <c r="D1495" i="1"/>
  <c r="F1494" i="1"/>
  <c r="E1494" i="1"/>
  <c r="D1494" i="1"/>
  <c r="C1494" i="1"/>
  <c r="F1493" i="1"/>
  <c r="E1493" i="1"/>
  <c r="D1493" i="1"/>
  <c r="C1493" i="1"/>
  <c r="F1492" i="1"/>
  <c r="E1492" i="1"/>
  <c r="D1492" i="1"/>
  <c r="C1492" i="1"/>
  <c r="F1491" i="1"/>
  <c r="E1491" i="1"/>
  <c r="D1491" i="1"/>
  <c r="C1491" i="1"/>
  <c r="F1490" i="1"/>
  <c r="E1490" i="1"/>
  <c r="D1490" i="1"/>
  <c r="C1490" i="1"/>
  <c r="F1489" i="1"/>
  <c r="E1489" i="1"/>
  <c r="D1489" i="1"/>
  <c r="F1488" i="1"/>
  <c r="E1488" i="1"/>
  <c r="D1488" i="1"/>
  <c r="C1488" i="1"/>
  <c r="F1487" i="1"/>
  <c r="E1487" i="1"/>
  <c r="D1487" i="1"/>
  <c r="C1487" i="1"/>
  <c r="F1486" i="1"/>
  <c r="E1486" i="1"/>
  <c r="D1486" i="1"/>
  <c r="C1486" i="1"/>
  <c r="F1485" i="1"/>
  <c r="E1485" i="1"/>
  <c r="D1485" i="1"/>
  <c r="C1485" i="1"/>
  <c r="F1484" i="1"/>
  <c r="E1484" i="1"/>
  <c r="D1484" i="1"/>
  <c r="C1484" i="1"/>
  <c r="F1483" i="1"/>
  <c r="E1483" i="1"/>
  <c r="D1483" i="1"/>
  <c r="C1483" i="1"/>
  <c r="F1482" i="1"/>
  <c r="E1482" i="1"/>
  <c r="D1482" i="1"/>
  <c r="C1482" i="1"/>
  <c r="F1481" i="1"/>
  <c r="E1481" i="1"/>
  <c r="D1481" i="1"/>
  <c r="C1481" i="1"/>
  <c r="F1480" i="1"/>
  <c r="E1480" i="1"/>
  <c r="D1480" i="1"/>
  <c r="C1480" i="1"/>
  <c r="F1479" i="1"/>
  <c r="E1479" i="1"/>
  <c r="D1479" i="1"/>
  <c r="F1478" i="1"/>
  <c r="E1478" i="1"/>
  <c r="D1478" i="1"/>
  <c r="C1478" i="1"/>
  <c r="F1477" i="1"/>
  <c r="E1477" i="1"/>
  <c r="D1477" i="1"/>
  <c r="C1477" i="1"/>
  <c r="F1476" i="1"/>
  <c r="E1476" i="1"/>
  <c r="D1476" i="1"/>
  <c r="C1476" i="1"/>
  <c r="F1475" i="1"/>
  <c r="E1475" i="1"/>
  <c r="D1475" i="1"/>
  <c r="F1474" i="1"/>
  <c r="E1474" i="1"/>
  <c r="D1474" i="1"/>
  <c r="C1474" i="1"/>
  <c r="F1473" i="1"/>
  <c r="E1473" i="1"/>
  <c r="D1473" i="1"/>
  <c r="C1473" i="1"/>
  <c r="F1472" i="1"/>
  <c r="E1472" i="1"/>
  <c r="D1472" i="1"/>
  <c r="C1472" i="1"/>
  <c r="F1471" i="1"/>
  <c r="E1471" i="1"/>
  <c r="D1471" i="1"/>
  <c r="C1471" i="1"/>
  <c r="F1470" i="1"/>
  <c r="E1470" i="1"/>
  <c r="D1470" i="1"/>
  <c r="C1470" i="1"/>
  <c r="F1469" i="1"/>
  <c r="E1469" i="1"/>
  <c r="D1469" i="1"/>
  <c r="C1469" i="1"/>
  <c r="F1468" i="1"/>
  <c r="E1468" i="1"/>
  <c r="D1468" i="1"/>
  <c r="C1468" i="1"/>
  <c r="F1467" i="1"/>
  <c r="E1467" i="1"/>
  <c r="D1467" i="1"/>
  <c r="C1467" i="1"/>
  <c r="F1466" i="1"/>
  <c r="E1466" i="1"/>
  <c r="D1466" i="1"/>
  <c r="C1466" i="1"/>
  <c r="F1465" i="1"/>
  <c r="E1465" i="1"/>
  <c r="D1465" i="1"/>
  <c r="F1464" i="1"/>
  <c r="E1464" i="1"/>
  <c r="D1464" i="1"/>
  <c r="C1464" i="1"/>
  <c r="F1463" i="1"/>
  <c r="E1463" i="1"/>
  <c r="D1463" i="1"/>
  <c r="C1463" i="1"/>
  <c r="F1462" i="1"/>
  <c r="E1462" i="1"/>
  <c r="D1462" i="1"/>
  <c r="C1462" i="1"/>
  <c r="F1461" i="1"/>
  <c r="E1461" i="1"/>
  <c r="D1461" i="1"/>
  <c r="C1461" i="1"/>
  <c r="F1460" i="1"/>
  <c r="E1460" i="1"/>
  <c r="D1460" i="1"/>
  <c r="C1460" i="1"/>
  <c r="F1459" i="1"/>
  <c r="E1459" i="1"/>
  <c r="D1459" i="1"/>
  <c r="F1458" i="1"/>
  <c r="E1458" i="1"/>
  <c r="D1458" i="1"/>
  <c r="C1458" i="1"/>
  <c r="F1457" i="1"/>
  <c r="E1457" i="1"/>
  <c r="D1457" i="1"/>
  <c r="C1457" i="1"/>
  <c r="F1456" i="1"/>
  <c r="E1456" i="1"/>
  <c r="D1456" i="1"/>
  <c r="C1456" i="1"/>
  <c r="F1455" i="1"/>
  <c r="E1455" i="1"/>
  <c r="D1455" i="1"/>
  <c r="C1455" i="1"/>
  <c r="F1454" i="1"/>
  <c r="E1454" i="1"/>
  <c r="D1454" i="1"/>
  <c r="C1454" i="1"/>
  <c r="F1453" i="1"/>
  <c r="E1453" i="1"/>
  <c r="D1453" i="1"/>
  <c r="C1453" i="1"/>
  <c r="F1452" i="1"/>
  <c r="E1452" i="1"/>
  <c r="D1452" i="1"/>
  <c r="C1452" i="1"/>
  <c r="F1451" i="1"/>
  <c r="E1451" i="1"/>
  <c r="D1451" i="1"/>
  <c r="F1450" i="1"/>
  <c r="E1450" i="1"/>
  <c r="D1450" i="1"/>
  <c r="C1450" i="1"/>
  <c r="F1449" i="1"/>
  <c r="E1449" i="1"/>
  <c r="D1449" i="1"/>
  <c r="F1448" i="1"/>
  <c r="E1448" i="1"/>
  <c r="D1448" i="1"/>
  <c r="F1447" i="1"/>
  <c r="E1447" i="1"/>
  <c r="D1447" i="1"/>
  <c r="C1447" i="1"/>
  <c r="F1446" i="1"/>
  <c r="E1446" i="1"/>
  <c r="D1446" i="1"/>
  <c r="C1446" i="1"/>
  <c r="F1445" i="1"/>
  <c r="E1445" i="1"/>
  <c r="D1445" i="1"/>
  <c r="C1445" i="1"/>
  <c r="F1444" i="1"/>
  <c r="E1444" i="1"/>
  <c r="D1444" i="1"/>
  <c r="C1444" i="1"/>
  <c r="F1443" i="1"/>
  <c r="E1443" i="1"/>
  <c r="D1443" i="1"/>
  <c r="C1443" i="1"/>
  <c r="F1442" i="1"/>
  <c r="E1442" i="1"/>
  <c r="D1442" i="1"/>
  <c r="C1442" i="1"/>
  <c r="F1441" i="1"/>
  <c r="E1441" i="1"/>
  <c r="D1441" i="1"/>
  <c r="C1441" i="1"/>
  <c r="F1440" i="1"/>
  <c r="E1440" i="1"/>
  <c r="D1440" i="1"/>
  <c r="C1440" i="1"/>
  <c r="F1439" i="1"/>
  <c r="E1439" i="1"/>
  <c r="D1439" i="1"/>
  <c r="C1439" i="1"/>
  <c r="F1438" i="1"/>
  <c r="E1438" i="1"/>
  <c r="D1438" i="1"/>
  <c r="C1438" i="1"/>
  <c r="F1437" i="1"/>
  <c r="E1437" i="1"/>
  <c r="D1437" i="1"/>
  <c r="C1437" i="1"/>
  <c r="F1436" i="1"/>
  <c r="E1436" i="1"/>
  <c r="D1436" i="1"/>
  <c r="C1436" i="1"/>
  <c r="F1435" i="1"/>
  <c r="E1435" i="1"/>
  <c r="D1435" i="1"/>
  <c r="C1435" i="1"/>
  <c r="F1434" i="1"/>
  <c r="E1434" i="1"/>
  <c r="D1434" i="1"/>
  <c r="C1434" i="1"/>
  <c r="F1433" i="1"/>
  <c r="E1433" i="1"/>
  <c r="D1433" i="1"/>
  <c r="C1433" i="1"/>
  <c r="F1432" i="1"/>
  <c r="E1432" i="1"/>
  <c r="D1432" i="1"/>
  <c r="C1432" i="1"/>
  <c r="F1431" i="1"/>
  <c r="E1431" i="1"/>
  <c r="D1431" i="1"/>
  <c r="C1431" i="1"/>
  <c r="F1430" i="1"/>
  <c r="E1430" i="1"/>
  <c r="D1430" i="1"/>
  <c r="C1430" i="1"/>
  <c r="F1429" i="1"/>
  <c r="E1429" i="1"/>
  <c r="D1429" i="1"/>
  <c r="C1429" i="1"/>
  <c r="F1428" i="1"/>
  <c r="E1428" i="1"/>
  <c r="D1428" i="1"/>
  <c r="C1428" i="1"/>
  <c r="F1427" i="1"/>
  <c r="E1427" i="1"/>
  <c r="D1427" i="1"/>
  <c r="C1427" i="1"/>
  <c r="F1426" i="1"/>
  <c r="E1426" i="1"/>
  <c r="D1426" i="1"/>
  <c r="C1426" i="1"/>
  <c r="F1425" i="1"/>
  <c r="E1425" i="1"/>
  <c r="D1425" i="1"/>
  <c r="F1424" i="1"/>
  <c r="E1424" i="1"/>
  <c r="D1424" i="1"/>
  <c r="C1424" i="1"/>
  <c r="F1423" i="1"/>
  <c r="E1423" i="1"/>
  <c r="D1423" i="1"/>
  <c r="F1422" i="1"/>
  <c r="E1422" i="1"/>
  <c r="D1422" i="1"/>
  <c r="F1421" i="1"/>
  <c r="E1421" i="1"/>
  <c r="D1421" i="1"/>
  <c r="C1421" i="1"/>
  <c r="F1420" i="1"/>
  <c r="E1420" i="1"/>
  <c r="D1420" i="1"/>
  <c r="C1420" i="1"/>
  <c r="F1419" i="1"/>
  <c r="E1419" i="1"/>
  <c r="D1419" i="1"/>
  <c r="C1419" i="1"/>
  <c r="F1418" i="1"/>
  <c r="E1418" i="1"/>
  <c r="D1418" i="1"/>
  <c r="C1418" i="1"/>
  <c r="F1417" i="1"/>
  <c r="E1417" i="1"/>
  <c r="D1417" i="1"/>
  <c r="C1417" i="1"/>
  <c r="F1416" i="1"/>
  <c r="E1416" i="1"/>
  <c r="D1416" i="1"/>
  <c r="C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C1412" i="1"/>
  <c r="F1411" i="1"/>
  <c r="E1411" i="1"/>
  <c r="D1411" i="1"/>
  <c r="C1411" i="1"/>
  <c r="F1410" i="1"/>
  <c r="E1410" i="1"/>
  <c r="D1410" i="1"/>
  <c r="C1410" i="1"/>
  <c r="F1409" i="1"/>
  <c r="E1409" i="1"/>
  <c r="D1409" i="1"/>
  <c r="C1409" i="1"/>
  <c r="F1408" i="1"/>
  <c r="E1408" i="1"/>
  <c r="D1408" i="1"/>
  <c r="C1408" i="1"/>
  <c r="F1407" i="1"/>
  <c r="E1407" i="1"/>
  <c r="D1407" i="1"/>
  <c r="C1407" i="1"/>
  <c r="F1406" i="1"/>
  <c r="E1406" i="1"/>
  <c r="D1406" i="1"/>
  <c r="C1406" i="1"/>
  <c r="F1405" i="1"/>
  <c r="E1405" i="1"/>
  <c r="D1405" i="1"/>
  <c r="F1404" i="1"/>
  <c r="E1404" i="1"/>
  <c r="D1404" i="1"/>
  <c r="C1404" i="1"/>
  <c r="F1403" i="1"/>
  <c r="E1403" i="1"/>
  <c r="D1403" i="1"/>
  <c r="C1403" i="1"/>
  <c r="F1402" i="1"/>
  <c r="E1402" i="1"/>
  <c r="D1402" i="1"/>
  <c r="C1402" i="1"/>
  <c r="F1401" i="1"/>
  <c r="E1401" i="1"/>
  <c r="D1401" i="1"/>
  <c r="C1401" i="1"/>
  <c r="F1400" i="1"/>
  <c r="E1400" i="1"/>
  <c r="D1400" i="1"/>
  <c r="C1400" i="1"/>
  <c r="F1399" i="1"/>
  <c r="E1399" i="1"/>
  <c r="D1399" i="1"/>
  <c r="C1399" i="1"/>
  <c r="F1398" i="1"/>
  <c r="E1398" i="1"/>
  <c r="D1398" i="1"/>
  <c r="C1398" i="1"/>
  <c r="F1397" i="1"/>
  <c r="E1397" i="1"/>
  <c r="D1397" i="1"/>
  <c r="F1396" i="1"/>
  <c r="E1396" i="1"/>
  <c r="D1396" i="1"/>
  <c r="C1396" i="1"/>
  <c r="F1395" i="1"/>
  <c r="E1395" i="1"/>
  <c r="D1395" i="1"/>
  <c r="F1394" i="1"/>
  <c r="E1394" i="1"/>
  <c r="D1394" i="1"/>
  <c r="C1394" i="1"/>
  <c r="F1393" i="1"/>
  <c r="E1393" i="1"/>
  <c r="D1393" i="1"/>
  <c r="F1392" i="1"/>
  <c r="E1392" i="1"/>
  <c r="D1392" i="1"/>
  <c r="C1392" i="1"/>
  <c r="F1391" i="1"/>
  <c r="E1391" i="1"/>
  <c r="D1391" i="1"/>
  <c r="F1390" i="1"/>
  <c r="E1390" i="1"/>
  <c r="D1390" i="1"/>
  <c r="F1389" i="1"/>
  <c r="E1389" i="1"/>
  <c r="D1389" i="1"/>
  <c r="F1388" i="1"/>
  <c r="E1388" i="1"/>
  <c r="D1388" i="1"/>
  <c r="C1388" i="1"/>
  <c r="F1387" i="1"/>
  <c r="E1387" i="1"/>
  <c r="D1387" i="1"/>
  <c r="C1387" i="1"/>
  <c r="F1386" i="1"/>
  <c r="E1386" i="1"/>
  <c r="D1386" i="1"/>
  <c r="C1386" i="1"/>
  <c r="F1385" i="1"/>
  <c r="E1385" i="1"/>
  <c r="D1385" i="1"/>
  <c r="C1385" i="1"/>
  <c r="F1384" i="1"/>
  <c r="E1384" i="1"/>
  <c r="D1384" i="1"/>
  <c r="C1384" i="1"/>
  <c r="F1383" i="1"/>
  <c r="E1383" i="1"/>
  <c r="D1383" i="1"/>
  <c r="C1383" i="1"/>
  <c r="F1382" i="1"/>
  <c r="E1382" i="1"/>
  <c r="D1382" i="1"/>
  <c r="C1382" i="1"/>
  <c r="F1381" i="1"/>
  <c r="E1381" i="1"/>
  <c r="D1381" i="1"/>
  <c r="C1381" i="1"/>
  <c r="F1380" i="1"/>
  <c r="E1380" i="1"/>
  <c r="D1380" i="1"/>
  <c r="C1380" i="1"/>
  <c r="F1379" i="1"/>
  <c r="E1379" i="1"/>
  <c r="D1379" i="1"/>
  <c r="F1378" i="1"/>
  <c r="E1378" i="1"/>
  <c r="D1378" i="1"/>
  <c r="C1378" i="1"/>
  <c r="F1377" i="1"/>
  <c r="E1377" i="1"/>
  <c r="D1377" i="1"/>
  <c r="F1376" i="1"/>
  <c r="E1376" i="1"/>
  <c r="D1376" i="1"/>
  <c r="F1375" i="1"/>
  <c r="E1375" i="1"/>
  <c r="D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F1362" i="1"/>
  <c r="E1362" i="1"/>
  <c r="D1362" i="1"/>
  <c r="C1362" i="1"/>
  <c r="F1361" i="1"/>
  <c r="E1361" i="1"/>
  <c r="D1361" i="1"/>
  <c r="F1360" i="1"/>
  <c r="E1360" i="1"/>
  <c r="D1360" i="1"/>
  <c r="F1359" i="1"/>
  <c r="E1359" i="1"/>
  <c r="D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F1328" i="1"/>
  <c r="E1328" i="1"/>
  <c r="D1328" i="1"/>
  <c r="C1328" i="1"/>
  <c r="F1327" i="1"/>
  <c r="E1327" i="1"/>
  <c r="D1327" i="1"/>
  <c r="F1326" i="1"/>
  <c r="E1326" i="1"/>
  <c r="D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F1310" i="1"/>
  <c r="E1310" i="1"/>
  <c r="D1310" i="1"/>
  <c r="C1310" i="1"/>
  <c r="F1309" i="1"/>
  <c r="E1309" i="1"/>
  <c r="D1309" i="1"/>
  <c r="F1308" i="1"/>
  <c r="E1308" i="1"/>
  <c r="D1308" i="1"/>
  <c r="F1307" i="1"/>
  <c r="E1307" i="1"/>
  <c r="D1307" i="1"/>
  <c r="F1306" i="1"/>
  <c r="E1306" i="1"/>
  <c r="D1306" i="1"/>
  <c r="F1305" i="1"/>
  <c r="E1305" i="1"/>
  <c r="D1305" i="1"/>
  <c r="F1304" i="1"/>
  <c r="E1304" i="1"/>
  <c r="D1304" i="1"/>
  <c r="F1303" i="1"/>
  <c r="E1303" i="1"/>
  <c r="D1303" i="1"/>
  <c r="F1302" i="1"/>
  <c r="E1302" i="1"/>
  <c r="D1302" i="1"/>
  <c r="C1302" i="1"/>
  <c r="F1301" i="1"/>
  <c r="E1301" i="1"/>
  <c r="D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F1294" i="1"/>
  <c r="E1294" i="1"/>
  <c r="D1294" i="1"/>
  <c r="F1293" i="1"/>
  <c r="E1293" i="1"/>
  <c r="D1293" i="1"/>
  <c r="C1293" i="1"/>
  <c r="F1292" i="1"/>
  <c r="E1292" i="1"/>
  <c r="D1292" i="1"/>
  <c r="C1292" i="1"/>
  <c r="F1291" i="1"/>
  <c r="E1291" i="1"/>
  <c r="D1291" i="1"/>
  <c r="F1290" i="1"/>
  <c r="E1290" i="1"/>
  <c r="D1290" i="1"/>
  <c r="C1290" i="1"/>
  <c r="F1289" i="1"/>
  <c r="E1289" i="1"/>
  <c r="D1289" i="1"/>
  <c r="F1288" i="1"/>
  <c r="E1288" i="1"/>
  <c r="D1288" i="1"/>
  <c r="C1288" i="1"/>
  <c r="F1287" i="1"/>
  <c r="E1287" i="1"/>
  <c r="D1287" i="1"/>
  <c r="F1286" i="1"/>
  <c r="E1286" i="1"/>
  <c r="D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F1272" i="1"/>
  <c r="E1272" i="1"/>
  <c r="D1272" i="1"/>
  <c r="F1271" i="1"/>
  <c r="E1271" i="1"/>
  <c r="D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F1222" i="1"/>
  <c r="E1222" i="1"/>
  <c r="D1222" i="1"/>
  <c r="F1221" i="1"/>
  <c r="E1221" i="1"/>
  <c r="D1221" i="1"/>
  <c r="F1220" i="1"/>
  <c r="E1220" i="1"/>
  <c r="D1220" i="1"/>
  <c r="F1219" i="1"/>
  <c r="E1219" i="1"/>
  <c r="D1219" i="1"/>
  <c r="F1218" i="1"/>
  <c r="E1218" i="1"/>
  <c r="D1218" i="1"/>
  <c r="F1217" i="1"/>
  <c r="E1217" i="1"/>
  <c r="D1217" i="1"/>
  <c r="F1216" i="1"/>
  <c r="E1216" i="1"/>
  <c r="D1216" i="1"/>
  <c r="C1216" i="1"/>
  <c r="F1215" i="1"/>
  <c r="E1215" i="1"/>
  <c r="D1215" i="1"/>
  <c r="F1214" i="1"/>
  <c r="E1214" i="1"/>
  <c r="D1214" i="1"/>
  <c r="F1213" i="1"/>
  <c r="E1213" i="1"/>
  <c r="D1213" i="1"/>
  <c r="F1212" i="1"/>
  <c r="E1212" i="1"/>
  <c r="D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F1206" i="1"/>
  <c r="E1206" i="1"/>
  <c r="D1206" i="1"/>
  <c r="F1205" i="1"/>
  <c r="E1205" i="1"/>
  <c r="D1205" i="1"/>
  <c r="F1204" i="1"/>
  <c r="E1204" i="1"/>
  <c r="D1204" i="1"/>
  <c r="F1203" i="1"/>
  <c r="E1203" i="1"/>
  <c r="D1203" i="1"/>
  <c r="F1202" i="1"/>
  <c r="E1202" i="1"/>
  <c r="D1202" i="1"/>
  <c r="F1201" i="1"/>
  <c r="E1201" i="1"/>
  <c r="D1201" i="1"/>
  <c r="C1201" i="1"/>
  <c r="F1200" i="1"/>
  <c r="E1200" i="1"/>
  <c r="D1200" i="1"/>
  <c r="C1200" i="1"/>
  <c r="F1199" i="1"/>
  <c r="E1199" i="1"/>
  <c r="D1199" i="1"/>
  <c r="F1198" i="1"/>
  <c r="E1198" i="1"/>
  <c r="D1198" i="1"/>
  <c r="C1198" i="1"/>
  <c r="F1197" i="1"/>
  <c r="E1197" i="1"/>
  <c r="D1197" i="1"/>
  <c r="F1196" i="1"/>
  <c r="E1196" i="1"/>
  <c r="D1196" i="1"/>
  <c r="C1196" i="1"/>
  <c r="F1195" i="1"/>
  <c r="E1195" i="1"/>
  <c r="D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F1190" i="1"/>
  <c r="E1190" i="1"/>
  <c r="D1190" i="1"/>
  <c r="C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C1186" i="1"/>
  <c r="F1185" i="1"/>
  <c r="E1185" i="1"/>
  <c r="D1185" i="1"/>
  <c r="F1184" i="1"/>
  <c r="E1184" i="1"/>
  <c r="D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F1154" i="1"/>
  <c r="E1154" i="1"/>
  <c r="D1154" i="1"/>
  <c r="C1154" i="1"/>
  <c r="F1153" i="1"/>
  <c r="E1153" i="1"/>
  <c r="D1153" i="1"/>
  <c r="F1152" i="1"/>
  <c r="E1152" i="1"/>
  <c r="D1152" i="1"/>
  <c r="C1152" i="1"/>
  <c r="F1151" i="1"/>
  <c r="E1151" i="1"/>
  <c r="D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F1142" i="1"/>
  <c r="E1142" i="1"/>
  <c r="D1142" i="1"/>
  <c r="C1142" i="1"/>
  <c r="F1141" i="1"/>
  <c r="E1141" i="1"/>
  <c r="D1141" i="1"/>
  <c r="F1140" i="1"/>
  <c r="E1140" i="1"/>
  <c r="D1140" i="1"/>
  <c r="C1140" i="1"/>
  <c r="F1139" i="1"/>
  <c r="E1139" i="1"/>
  <c r="D1139" i="1"/>
  <c r="F1138" i="1"/>
  <c r="E1138" i="1"/>
  <c r="D1138" i="1"/>
  <c r="F1137" i="1"/>
  <c r="E1137" i="1"/>
  <c r="D1137" i="1"/>
  <c r="C1137" i="1"/>
  <c r="F1136" i="1"/>
  <c r="E1136" i="1"/>
  <c r="D1136" i="1"/>
  <c r="C1136" i="1"/>
  <c r="F1135" i="1"/>
  <c r="E1135" i="1"/>
  <c r="D1135" i="1"/>
  <c r="F1134" i="1"/>
  <c r="E1134" i="1"/>
  <c r="D1134" i="1"/>
  <c r="C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C1129" i="1"/>
  <c r="F1128" i="1"/>
  <c r="E1128" i="1"/>
  <c r="D1128" i="1"/>
  <c r="C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C1071" i="1"/>
  <c r="F1070" i="1"/>
  <c r="E1070" i="1"/>
  <c r="D1070" i="1"/>
  <c r="C1070" i="1"/>
  <c r="F1069" i="1"/>
  <c r="E1069" i="1"/>
  <c r="D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F1058" i="1"/>
  <c r="E1058" i="1"/>
  <c r="D1058" i="1"/>
  <c r="C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C1054" i="1"/>
  <c r="F1053" i="1"/>
  <c r="E1053" i="1"/>
  <c r="D1053" i="1"/>
  <c r="F1052" i="1"/>
  <c r="E1052" i="1"/>
  <c r="D1052" i="1"/>
  <c r="C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C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C1041" i="1"/>
  <c r="F1040" i="1"/>
  <c r="E1040" i="1"/>
  <c r="D1040" i="1"/>
  <c r="C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F1016" i="1"/>
  <c r="E1016" i="1"/>
  <c r="D1016" i="1"/>
  <c r="C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C1007" i="1"/>
  <c r="F1006" i="1"/>
  <c r="E1006" i="1"/>
  <c r="D1006" i="1"/>
  <c r="C1006" i="1"/>
  <c r="F1005" i="1"/>
  <c r="E1005" i="1"/>
  <c r="D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F974" i="1"/>
  <c r="E974" i="1"/>
  <c r="D974" i="1"/>
  <c r="C974" i="1"/>
  <c r="F973" i="1"/>
  <c r="E973" i="1"/>
  <c r="D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F968" i="1"/>
  <c r="E968" i="1"/>
  <c r="D968" i="1"/>
  <c r="F967" i="1"/>
  <c r="E967" i="1"/>
  <c r="D967" i="1"/>
  <c r="C967" i="1"/>
  <c r="F966" i="1"/>
  <c r="E966" i="1"/>
  <c r="D966" i="1"/>
  <c r="C966" i="1"/>
  <c r="F965" i="1"/>
  <c r="E965" i="1"/>
  <c r="D965" i="1"/>
  <c r="F964" i="1"/>
  <c r="E964" i="1"/>
  <c r="D964" i="1"/>
  <c r="C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C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F930" i="1"/>
  <c r="E930" i="1"/>
  <c r="D930" i="1"/>
  <c r="F929" i="1"/>
  <c r="E929" i="1"/>
  <c r="D929" i="1"/>
  <c r="C929" i="1"/>
  <c r="F928" i="1"/>
  <c r="E928" i="1"/>
  <c r="D928" i="1"/>
  <c r="C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C922" i="1"/>
  <c r="F921" i="1"/>
  <c r="E921" i="1"/>
  <c r="D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F900" i="1"/>
  <c r="E900" i="1"/>
  <c r="D900" i="1"/>
  <c r="C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F886" i="1"/>
  <c r="E886" i="1"/>
  <c r="D886" i="1"/>
  <c r="C886" i="1"/>
  <c r="F885" i="1"/>
  <c r="E885" i="1"/>
  <c r="D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F876" i="1"/>
  <c r="E876" i="1"/>
  <c r="D876" i="1"/>
  <c r="C876" i="1"/>
  <c r="F875" i="1"/>
  <c r="E875" i="1"/>
  <c r="D875" i="1"/>
  <c r="F874" i="1"/>
  <c r="E874" i="1"/>
  <c r="D874" i="1"/>
  <c r="C874" i="1"/>
  <c r="F873" i="1"/>
  <c r="E873" i="1"/>
  <c r="D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C850" i="1"/>
  <c r="F849" i="1"/>
  <c r="E849" i="1"/>
  <c r="D849" i="1"/>
  <c r="F848" i="1"/>
  <c r="E848" i="1"/>
  <c r="D848" i="1"/>
  <c r="C848" i="1"/>
  <c r="F847" i="1"/>
  <c r="E847" i="1"/>
  <c r="D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F842" i="1"/>
  <c r="E842" i="1"/>
  <c r="D842" i="1"/>
  <c r="C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C833" i="1"/>
  <c r="F832" i="1"/>
  <c r="E832" i="1"/>
  <c r="D832" i="1"/>
  <c r="C832" i="1"/>
  <c r="F831" i="1"/>
  <c r="E831" i="1"/>
  <c r="D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F812" i="1"/>
  <c r="E812" i="1"/>
  <c r="D812" i="1"/>
  <c r="C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F794" i="1"/>
  <c r="E794" i="1"/>
  <c r="D794" i="1"/>
  <c r="C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F776" i="1"/>
  <c r="E776" i="1"/>
  <c r="D776" i="1"/>
  <c r="C776" i="1"/>
  <c r="F775" i="1"/>
  <c r="E775" i="1"/>
  <c r="D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F770" i="1"/>
  <c r="E770" i="1"/>
  <c r="D770" i="1"/>
  <c r="C770" i="1"/>
  <c r="F769" i="1"/>
  <c r="E769" i="1"/>
  <c r="D769" i="1"/>
  <c r="F768" i="1"/>
  <c r="E768" i="1"/>
  <c r="D768" i="1"/>
  <c r="C768" i="1"/>
  <c r="F767" i="1"/>
  <c r="E767" i="1"/>
  <c r="D767" i="1"/>
  <c r="F766" i="1"/>
  <c r="E766" i="1"/>
  <c r="D766" i="1"/>
  <c r="C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C762" i="1"/>
  <c r="F761" i="1"/>
  <c r="E761" i="1"/>
  <c r="D761" i="1"/>
  <c r="F760" i="1"/>
  <c r="E760" i="1"/>
  <c r="D760" i="1"/>
  <c r="C760" i="1"/>
  <c r="F759" i="1"/>
  <c r="E759" i="1"/>
  <c r="D759" i="1"/>
  <c r="F758" i="1"/>
  <c r="E758" i="1"/>
  <c r="D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C745" i="1"/>
  <c r="F744" i="1"/>
  <c r="E744" i="1"/>
  <c r="D744" i="1"/>
  <c r="C744" i="1"/>
  <c r="F743" i="1"/>
  <c r="E743" i="1"/>
  <c r="D743" i="1"/>
  <c r="F742" i="1"/>
  <c r="E742" i="1"/>
  <c r="D742" i="1"/>
  <c r="C742" i="1"/>
  <c r="F741" i="1"/>
  <c r="E741" i="1"/>
  <c r="D741" i="1"/>
  <c r="F740" i="1"/>
  <c r="E740" i="1"/>
  <c r="D740" i="1"/>
  <c r="C740" i="1"/>
  <c r="F739" i="1"/>
  <c r="E739" i="1"/>
  <c r="D739" i="1"/>
  <c r="F738" i="1"/>
  <c r="E738" i="1"/>
  <c r="D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F732" i="1"/>
  <c r="E732" i="1"/>
  <c r="D732" i="1"/>
  <c r="C732" i="1"/>
  <c r="F731" i="1"/>
  <c r="E731" i="1"/>
  <c r="D731" i="1"/>
  <c r="F730" i="1"/>
  <c r="E730" i="1"/>
  <c r="D730" i="1"/>
  <c r="C730" i="1"/>
  <c r="F729" i="1"/>
  <c r="E729" i="1"/>
  <c r="D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F724" i="1"/>
  <c r="E724" i="1"/>
  <c r="D724" i="1"/>
  <c r="C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C717" i="1"/>
  <c r="F716" i="1"/>
  <c r="E716" i="1"/>
  <c r="D716" i="1"/>
  <c r="C716" i="1"/>
  <c r="F715" i="1"/>
  <c r="E715" i="1"/>
  <c r="D715" i="1"/>
  <c r="F714" i="1"/>
  <c r="E714" i="1"/>
  <c r="D714" i="1"/>
  <c r="C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C709" i="1"/>
  <c r="F708" i="1"/>
  <c r="E708" i="1"/>
  <c r="D708" i="1"/>
  <c r="C708" i="1"/>
  <c r="F707" i="1"/>
  <c r="E707" i="1"/>
  <c r="D707" i="1"/>
  <c r="F706" i="1"/>
  <c r="E706" i="1"/>
  <c r="D706" i="1"/>
  <c r="C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C697" i="1"/>
  <c r="F696" i="1"/>
  <c r="E696" i="1"/>
  <c r="D696" i="1"/>
  <c r="C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C692" i="1"/>
  <c r="F691" i="1"/>
  <c r="E691" i="1"/>
  <c r="D691" i="1"/>
  <c r="F690" i="1"/>
  <c r="E690" i="1"/>
  <c r="D690" i="1"/>
  <c r="F689" i="1"/>
  <c r="E689" i="1"/>
  <c r="D689" i="1"/>
  <c r="C689" i="1"/>
  <c r="F688" i="1"/>
  <c r="E688" i="1"/>
  <c r="D688" i="1"/>
  <c r="C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C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C669" i="1"/>
  <c r="F668" i="1"/>
  <c r="E668" i="1"/>
  <c r="D668" i="1"/>
  <c r="C668" i="1"/>
  <c r="F667" i="1"/>
  <c r="E667" i="1"/>
  <c r="D667" i="1"/>
  <c r="F666" i="1"/>
  <c r="E666" i="1"/>
  <c r="D666" i="1"/>
  <c r="C666" i="1"/>
  <c r="F665" i="1"/>
  <c r="E665" i="1"/>
  <c r="D665" i="1"/>
  <c r="F664" i="1"/>
  <c r="E664" i="1"/>
  <c r="D664" i="1"/>
  <c r="C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C657" i="1"/>
  <c r="F656" i="1"/>
  <c r="E656" i="1"/>
  <c r="D656" i="1"/>
  <c r="C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C652" i="1"/>
  <c r="F651" i="1"/>
  <c r="E651" i="1"/>
  <c r="D651" i="1"/>
  <c r="F650" i="1"/>
  <c r="E650" i="1"/>
  <c r="D650" i="1"/>
  <c r="C650" i="1"/>
  <c r="F649" i="1"/>
  <c r="E649" i="1"/>
  <c r="D649" i="1"/>
  <c r="F648" i="1"/>
  <c r="E648" i="1"/>
  <c r="D648" i="1"/>
  <c r="C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F636" i="1"/>
  <c r="E636" i="1"/>
  <c r="D636" i="1"/>
  <c r="C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C622" i="1"/>
  <c r="F621" i="1"/>
  <c r="E621" i="1"/>
  <c r="D621" i="1"/>
  <c r="F620" i="1"/>
  <c r="E620" i="1"/>
  <c r="D620" i="1"/>
  <c r="C620" i="1"/>
  <c r="F619" i="1"/>
  <c r="E619" i="1"/>
  <c r="D619" i="1"/>
  <c r="F618" i="1"/>
  <c r="E618" i="1"/>
  <c r="D618" i="1"/>
  <c r="C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C601" i="1"/>
  <c r="F600" i="1"/>
  <c r="E600" i="1"/>
  <c r="D600" i="1"/>
  <c r="C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C584" i="1"/>
  <c r="F583" i="1"/>
  <c r="E583" i="1"/>
  <c r="D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C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C569" i="1"/>
  <c r="F568" i="1"/>
  <c r="E568" i="1"/>
  <c r="D568" i="1"/>
  <c r="C568" i="1"/>
  <c r="F567" i="1"/>
  <c r="E567" i="1"/>
  <c r="D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F562" i="1"/>
  <c r="E562" i="1"/>
  <c r="D562" i="1"/>
  <c r="C562" i="1"/>
  <c r="F561" i="1"/>
  <c r="E561" i="1"/>
  <c r="D561" i="1"/>
  <c r="F560" i="1"/>
  <c r="E560" i="1"/>
  <c r="D560" i="1"/>
  <c r="C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C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F538" i="1"/>
  <c r="E538" i="1"/>
  <c r="D538" i="1"/>
  <c r="C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C534" i="1"/>
  <c r="F533" i="1"/>
  <c r="E533" i="1"/>
  <c r="D533" i="1"/>
  <c r="F532" i="1"/>
  <c r="E532" i="1"/>
  <c r="D532" i="1"/>
  <c r="C532" i="1"/>
  <c r="F531" i="1"/>
  <c r="E531" i="1"/>
  <c r="D531" i="1"/>
  <c r="F530" i="1"/>
  <c r="E530" i="1"/>
  <c r="D530" i="1"/>
  <c r="C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C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C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F488" i="1"/>
  <c r="E488" i="1"/>
  <c r="D488" i="1"/>
  <c r="C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C482" i="1"/>
  <c r="F481" i="1"/>
  <c r="E481" i="1"/>
  <c r="D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F468" i="1"/>
  <c r="E468" i="1"/>
  <c r="D468" i="1"/>
  <c r="C468" i="1"/>
  <c r="F467" i="1"/>
  <c r="E467" i="1"/>
  <c r="D467" i="1"/>
  <c r="F466" i="1"/>
  <c r="E466" i="1"/>
  <c r="D466" i="1"/>
  <c r="C466" i="1"/>
  <c r="F465" i="1"/>
  <c r="E465" i="1"/>
  <c r="D465" i="1"/>
  <c r="F464" i="1"/>
  <c r="E464" i="1"/>
  <c r="D464" i="1"/>
  <c r="C464" i="1"/>
  <c r="F463" i="1"/>
  <c r="E463" i="1"/>
  <c r="D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F452" i="1"/>
  <c r="E452" i="1"/>
  <c r="D452" i="1"/>
  <c r="C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C435" i="1"/>
  <c r="F434" i="1"/>
  <c r="E434" i="1"/>
  <c r="D434" i="1"/>
  <c r="C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C425" i="1"/>
  <c r="F424" i="1"/>
  <c r="E424" i="1"/>
  <c r="D424" i="1"/>
  <c r="C424" i="1"/>
  <c r="F423" i="1"/>
  <c r="E423" i="1"/>
  <c r="D423" i="1"/>
  <c r="F422" i="1"/>
  <c r="E422" i="1"/>
  <c r="D422" i="1"/>
  <c r="F421" i="1"/>
  <c r="E421" i="1"/>
  <c r="D421" i="1"/>
  <c r="C421" i="1"/>
  <c r="F420" i="1"/>
  <c r="E420" i="1"/>
  <c r="D420" i="1"/>
  <c r="C420" i="1"/>
  <c r="F419" i="1"/>
  <c r="E419" i="1"/>
  <c r="D419" i="1"/>
  <c r="F418" i="1"/>
  <c r="E418" i="1"/>
  <c r="D418" i="1"/>
  <c r="C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F408" i="1"/>
  <c r="E408" i="1"/>
  <c r="D408" i="1"/>
  <c r="F407" i="1"/>
  <c r="E407" i="1"/>
  <c r="D407" i="1"/>
  <c r="C407" i="1"/>
  <c r="F406" i="1"/>
  <c r="E406" i="1"/>
  <c r="D406" i="1"/>
  <c r="C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C401" i="1"/>
  <c r="F400" i="1"/>
  <c r="E400" i="1"/>
  <c r="D400" i="1"/>
  <c r="C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C394" i="1"/>
  <c r="F393" i="1"/>
  <c r="E393" i="1"/>
  <c r="D393" i="1"/>
  <c r="F392" i="1"/>
  <c r="E392" i="1"/>
  <c r="D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F366" i="1"/>
  <c r="E366" i="1"/>
  <c r="D366" i="1"/>
  <c r="C366" i="1"/>
  <c r="F365" i="1"/>
  <c r="E365" i="1"/>
  <c r="D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C355" i="1"/>
  <c r="F354" i="1"/>
  <c r="E354" i="1"/>
  <c r="D354" i="1"/>
  <c r="C354" i="1"/>
  <c r="F353" i="1"/>
  <c r="E353" i="1"/>
  <c r="D353" i="1"/>
  <c r="F352" i="1"/>
  <c r="E352" i="1"/>
  <c r="D352" i="1"/>
  <c r="F351" i="1"/>
  <c r="E351" i="1"/>
  <c r="D351" i="1"/>
  <c r="C351" i="1"/>
  <c r="F350" i="1"/>
  <c r="E350" i="1"/>
  <c r="D350" i="1"/>
  <c r="C350" i="1"/>
  <c r="F349" i="1"/>
  <c r="E349" i="1"/>
  <c r="D349" i="1"/>
  <c r="F348" i="1"/>
  <c r="E348" i="1"/>
  <c r="D348" i="1"/>
  <c r="C348" i="1"/>
  <c r="F347" i="1"/>
  <c r="E347" i="1"/>
  <c r="D347" i="1"/>
  <c r="F346" i="1"/>
  <c r="E346" i="1"/>
  <c r="D346" i="1"/>
  <c r="C346" i="1"/>
  <c r="F345" i="1"/>
  <c r="E345" i="1"/>
  <c r="D345" i="1"/>
  <c r="F344" i="1"/>
  <c r="E344" i="1"/>
  <c r="D344" i="1"/>
  <c r="C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F326" i="1"/>
  <c r="E326" i="1"/>
  <c r="D326" i="1"/>
  <c r="F325" i="1"/>
  <c r="E325" i="1"/>
  <c r="D325" i="1"/>
  <c r="C325" i="1"/>
  <c r="F324" i="1"/>
  <c r="E324" i="1"/>
  <c r="D324" i="1"/>
  <c r="C324" i="1"/>
  <c r="F323" i="1"/>
  <c r="E323" i="1"/>
  <c r="D323" i="1"/>
  <c r="F322" i="1"/>
  <c r="E322" i="1"/>
  <c r="D322" i="1"/>
  <c r="C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C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C312" i="1"/>
  <c r="F311" i="1"/>
  <c r="E311" i="1"/>
  <c r="D311" i="1"/>
  <c r="F310" i="1"/>
  <c r="E310" i="1"/>
  <c r="D310" i="1"/>
  <c r="F309" i="1"/>
  <c r="E309" i="1"/>
  <c r="D309" i="1"/>
  <c r="C309" i="1"/>
  <c r="F308" i="1"/>
  <c r="E308" i="1"/>
  <c r="D308" i="1"/>
  <c r="C308" i="1"/>
  <c r="F307" i="1"/>
  <c r="E307" i="1"/>
  <c r="D307" i="1"/>
  <c r="F306" i="1"/>
  <c r="E306" i="1"/>
  <c r="D306" i="1"/>
  <c r="C306" i="1"/>
  <c r="F305" i="1"/>
  <c r="E305" i="1"/>
  <c r="D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F280" i="1"/>
  <c r="E280" i="1"/>
  <c r="D280" i="1"/>
  <c r="C280" i="1"/>
  <c r="F279" i="1"/>
  <c r="E279" i="1"/>
  <c r="D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C268" i="1"/>
  <c r="F267" i="1"/>
  <c r="E267" i="1"/>
  <c r="D267" i="1"/>
  <c r="F266" i="1"/>
  <c r="E266" i="1"/>
  <c r="D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F256" i="1"/>
  <c r="E256" i="1"/>
  <c r="D256" i="1"/>
  <c r="C256" i="1"/>
  <c r="F255" i="1"/>
  <c r="E255" i="1"/>
  <c r="D255" i="1"/>
  <c r="F254" i="1"/>
  <c r="E254" i="1"/>
  <c r="D254" i="1"/>
  <c r="C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F246" i="1"/>
  <c r="E246" i="1"/>
  <c r="D246" i="1"/>
  <c r="C246" i="1"/>
  <c r="F245" i="1"/>
  <c r="E245" i="1"/>
  <c r="D245" i="1"/>
  <c r="F244" i="1"/>
  <c r="E244" i="1"/>
  <c r="D244" i="1"/>
  <c r="C244" i="1"/>
  <c r="F243" i="1"/>
  <c r="E243" i="1"/>
  <c r="D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F238" i="1"/>
  <c r="E238" i="1"/>
  <c r="D238" i="1"/>
  <c r="F237" i="1"/>
  <c r="E237" i="1"/>
  <c r="D237" i="1"/>
  <c r="C237" i="1"/>
  <c r="F236" i="1"/>
  <c r="E236" i="1"/>
  <c r="D236" i="1"/>
  <c r="C236" i="1"/>
  <c r="F235" i="1"/>
  <c r="E235" i="1"/>
  <c r="D235" i="1"/>
  <c r="F234" i="1"/>
  <c r="E234" i="1"/>
  <c r="D234" i="1"/>
  <c r="C234" i="1"/>
  <c r="F233" i="1"/>
  <c r="E233" i="1"/>
  <c r="D233" i="1"/>
  <c r="F232" i="1"/>
  <c r="E232" i="1"/>
  <c r="D232" i="1"/>
  <c r="F231" i="1"/>
  <c r="E231" i="1"/>
  <c r="D231" i="1"/>
  <c r="C231" i="1"/>
  <c r="F230" i="1"/>
  <c r="E230" i="1"/>
  <c r="D230" i="1"/>
  <c r="C230" i="1"/>
  <c r="F229" i="1"/>
  <c r="E229" i="1"/>
  <c r="D229" i="1"/>
  <c r="F228" i="1"/>
  <c r="E228" i="1"/>
  <c r="D228" i="1"/>
  <c r="C228" i="1"/>
  <c r="F227" i="1"/>
  <c r="E227" i="1"/>
  <c r="D227" i="1"/>
  <c r="F226" i="1"/>
  <c r="E226" i="1"/>
  <c r="D226" i="1"/>
  <c r="C226" i="1"/>
  <c r="F225" i="1"/>
  <c r="E225" i="1"/>
  <c r="D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F220" i="1"/>
  <c r="E220" i="1"/>
  <c r="D220" i="1"/>
  <c r="C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C216" i="1"/>
  <c r="F215" i="1"/>
  <c r="E215" i="1"/>
  <c r="D215" i="1"/>
  <c r="F214" i="1"/>
  <c r="E214" i="1"/>
  <c r="D214" i="1"/>
  <c r="C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F202" i="1"/>
  <c r="E202" i="1"/>
  <c r="D202" i="1"/>
  <c r="C202" i="1"/>
  <c r="F201" i="1"/>
  <c r="E201" i="1"/>
  <c r="D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F172" i="1"/>
  <c r="E172" i="1"/>
  <c r="D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C161" i="1"/>
  <c r="F160" i="1"/>
  <c r="E160" i="1"/>
  <c r="D160" i="1"/>
  <c r="C160" i="1"/>
  <c r="F159" i="1"/>
  <c r="E159" i="1"/>
  <c r="D159" i="1"/>
  <c r="F158" i="1"/>
  <c r="E158" i="1"/>
  <c r="D158" i="1"/>
  <c r="C158" i="1"/>
  <c r="F157" i="1"/>
  <c r="E157" i="1"/>
  <c r="D157" i="1"/>
  <c r="F156" i="1"/>
  <c r="E156" i="1"/>
  <c r="D156" i="1"/>
  <c r="C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F146" i="1"/>
  <c r="E146" i="1"/>
  <c r="D146" i="1"/>
  <c r="C146" i="1"/>
  <c r="F145" i="1"/>
  <c r="E145" i="1"/>
  <c r="D145" i="1"/>
  <c r="F144" i="1"/>
  <c r="E144" i="1"/>
  <c r="D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C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C114" i="1"/>
  <c r="F113" i="1"/>
  <c r="E113" i="1"/>
  <c r="D113" i="1"/>
  <c r="F112" i="1"/>
  <c r="E112" i="1"/>
  <c r="D112" i="1"/>
  <c r="F111" i="1"/>
  <c r="E111" i="1"/>
  <c r="D111" i="1"/>
  <c r="C111" i="1"/>
  <c r="F110" i="1"/>
  <c r="E110" i="1"/>
  <c r="D110" i="1"/>
  <c r="C110" i="1"/>
  <c r="F109" i="1"/>
  <c r="E109" i="1"/>
  <c r="D109" i="1"/>
  <c r="F108" i="1"/>
  <c r="E108" i="1"/>
  <c r="D108" i="1"/>
  <c r="C108" i="1"/>
  <c r="F107" i="1"/>
  <c r="E107" i="1"/>
  <c r="D107" i="1"/>
  <c r="F106" i="1"/>
  <c r="E106" i="1"/>
  <c r="D106" i="1"/>
  <c r="C106" i="1"/>
  <c r="F105" i="1"/>
  <c r="E105" i="1"/>
  <c r="D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F88" i="1"/>
  <c r="E88" i="1"/>
  <c r="D88" i="1"/>
  <c r="F87" i="1"/>
  <c r="E87" i="1"/>
  <c r="D87" i="1"/>
  <c r="F86" i="1"/>
  <c r="E86" i="1"/>
  <c r="D86" i="1"/>
  <c r="C86" i="1"/>
  <c r="F85" i="1"/>
  <c r="E85" i="1"/>
  <c r="D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F76" i="1"/>
  <c r="E76" i="1"/>
  <c r="D76" i="1"/>
  <c r="C76" i="1"/>
  <c r="F75" i="1"/>
  <c r="E75" i="1"/>
  <c r="D75" i="1"/>
  <c r="F74" i="1"/>
  <c r="E74" i="1"/>
  <c r="D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F68" i="1"/>
  <c r="E68" i="1"/>
  <c r="D68" i="1"/>
  <c r="C68" i="1"/>
  <c r="F67" i="1"/>
  <c r="E67" i="1"/>
  <c r="D67" i="1"/>
  <c r="F66" i="1"/>
  <c r="E66" i="1"/>
  <c r="D66" i="1"/>
  <c r="C66" i="1"/>
  <c r="F65" i="1"/>
  <c r="E65" i="1"/>
  <c r="D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F58" i="1"/>
  <c r="E58" i="1"/>
  <c r="D58" i="1"/>
  <c r="C58" i="1"/>
  <c r="F57" i="1"/>
  <c r="E57" i="1"/>
  <c r="D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F48" i="1"/>
  <c r="E48" i="1"/>
  <c r="D48" i="1"/>
  <c r="C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C40" i="1"/>
  <c r="F39" i="1"/>
  <c r="E39" i="1"/>
  <c r="D39" i="1"/>
  <c r="F38" i="1"/>
  <c r="E38" i="1"/>
  <c r="D38" i="1"/>
  <c r="C38" i="1"/>
  <c r="F37" i="1"/>
  <c r="E37" i="1"/>
  <c r="D37" i="1"/>
  <c r="F36" i="1"/>
  <c r="E36" i="1"/>
  <c r="D36" i="1"/>
  <c r="C36" i="1"/>
  <c r="F35" i="1"/>
  <c r="E35" i="1"/>
  <c r="D35" i="1"/>
  <c r="F34" i="1"/>
  <c r="E34" i="1"/>
  <c r="D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C21" i="1"/>
  <c r="F20" i="1"/>
  <c r="E20" i="1"/>
  <c r="D20" i="1"/>
  <c r="C20" i="1"/>
  <c r="F19" i="1"/>
  <c r="E19" i="1"/>
  <c r="D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F14" i="1"/>
  <c r="E14" i="1"/>
  <c r="D14" i="1"/>
  <c r="C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C5" i="1"/>
  <c r="F4" i="1"/>
  <c r="E4" i="1"/>
  <c r="D4" i="1"/>
  <c r="C4" i="1"/>
  <c r="F3" i="1"/>
  <c r="E3" i="1"/>
  <c r="D3" i="1"/>
  <c r="F2" i="1"/>
  <c r="E2" i="1"/>
  <c r="D2" i="1"/>
  <c r="C2" i="1"/>
</calcChain>
</file>

<file path=xl/sharedStrings.xml><?xml version="1.0" encoding="utf-8"?>
<sst xmlns="http://schemas.openxmlformats.org/spreadsheetml/2006/main" count="12370" uniqueCount="3705">
  <si>
    <t>N-Koordinate</t>
  </si>
  <si>
    <t>E-Koordinate</t>
  </si>
  <si>
    <t>ÖPNV</t>
  </si>
  <si>
    <t>Auto</t>
  </si>
  <si>
    <t>Fahrrad</t>
  </si>
  <si>
    <t>Fuß</t>
  </si>
  <si>
    <t>Links</t>
  </si>
  <si>
    <t>48.2848726357112</t>
  </si>
  <si>
    <t>11.235385797131558</t>
  </si>
  <si>
    <t>Link</t>
  </si>
  <si>
    <t>48.28487148024868</t>
  </si>
  <si>
    <t>11.246930644367383</t>
  </si>
  <si>
    <t>Unerreichbar</t>
  </si>
  <si>
    <t>48.28486916932376</t>
  </si>
  <si>
    <t>11.258475490819581</t>
  </si>
  <si>
    <t>48.284865702936614</t>
  </si>
  <si>
    <t>11.27002033596574</t>
  </si>
  <si>
    <t>48.284861081087556</t>
  </si>
  <si>
    <t>11.281565179283442</t>
  </si>
  <si>
    <t>48.28485530377697</t>
  </si>
  <si>
    <t>11.293110020250275</t>
  </si>
  <si>
    <t>48.28484837100537</t>
  </si>
  <si>
    <t>11.304654858343824</t>
  </si>
  <si>
    <t>48.28484028277332</t>
  </si>
  <si>
    <t>11.316199693041677</t>
  </si>
  <si>
    <t>48.28483103908155</t>
  </si>
  <si>
    <t>11.327744523821421</t>
  </si>
  <si>
    <t>48.28482063993084</t>
  </si>
  <si>
    <t>11.339289350160644</t>
  </si>
  <si>
    <t>48.284809085322074</t>
  </si>
  <si>
    <t>11.350834171536942</t>
  </si>
  <si>
    <t>48.284796375256256</t>
  </si>
  <si>
    <t>11.362378987427904</t>
  </si>
  <si>
    <t>48.28476748875789</t>
  </si>
  <si>
    <t>11.385468600664204</t>
  </si>
  <si>
    <t>48.28478250973447</t>
  </si>
  <si>
    <t>11.373923797311125</t>
  </si>
  <si>
    <t>48.284751312327856</t>
  </si>
  <si>
    <t>11.397013396964736</t>
  </si>
  <si>
    <t>48.2847339804457</t>
  </si>
  <si>
    <t>11.408558185690326</t>
  </si>
  <si>
    <t>48.28469585033117</t>
  </si>
  <si>
    <t>11.431647738327094</t>
  </si>
  <si>
    <t>48.28471549311295</t>
  </si>
  <si>
    <t>11.420102966318577</t>
  </si>
  <si>
    <t>48.28467505210205</t>
  </si>
  <si>
    <t>11.44319250119349</t>
  </si>
  <si>
    <t>48.28465309842737</t>
  </si>
  <si>
    <t>11.454737254395377</t>
  </si>
  <si>
    <t>48.28462998930904</t>
  </si>
  <si>
    <t>11.466281997410366</t>
  </si>
  <si>
    <t>48.284605724749035</t>
  </si>
  <si>
    <t>11.477826729716085</t>
  </si>
  <si>
    <t>48.28458030474941</t>
  </si>
  <si>
    <t>11.489371450790154</t>
  </si>
  <si>
    <t>48.284553729312385</t>
  </si>
  <si>
    <t>11.500916160110199</t>
  </si>
  <si>
    <t>48.284525998440216</t>
  </si>
  <si>
    <t>11.512460857153851</t>
  </si>
  <si>
    <t>48.28449711213529</t>
  </si>
  <si>
    <t>11.524005541398747</t>
  </si>
  <si>
    <t>48.28446707040011</t>
  </si>
  <si>
    <t>11.535550212322528</t>
  </si>
  <si>
    <t>48.284435873237214</t>
  </si>
  <si>
    <t>11.547094869402834</t>
  </si>
  <si>
    <t>48.284403520649306</t>
  </si>
  <si>
    <t>11.55863951211732</t>
  </si>
  <si>
    <t>48.28437001263915</t>
  </si>
  <si>
    <t>11.570184139943638</t>
  </si>
  <si>
    <t>48.28433534920964</t>
  </si>
  <si>
    <t>11.581728752359444</t>
  </si>
  <si>
    <t>48.284299530363754</t>
  </si>
  <si>
    <t>11.593273348842407</t>
  </si>
  <si>
    <t>48.284262556104544</t>
  </si>
  <si>
    <t>11.604817928870196</t>
  </si>
  <si>
    <t>48.28422442643519</t>
  </si>
  <si>
    <t>11.616362491920484</t>
  </si>
  <si>
    <t>48.284185141358975</t>
  </si>
  <si>
    <t>11.627907037470955</t>
  </si>
  <si>
    <t>48.28414470087926</t>
  </si>
  <si>
    <t>11.639451564999296</t>
  </si>
  <si>
    <t>48.28406035372335</t>
  </si>
  <si>
    <t>11.66254056390037</t>
  </si>
  <si>
    <t>48.284103104999524</t>
  </si>
  <si>
    <t>11.650996073983201</t>
  </si>
  <si>
    <t>48.28397138499641</t>
  </si>
  <si>
    <t>11.685629484445332</t>
  </si>
  <si>
    <t>48.28401644705438</t>
  </si>
  <si>
    <t>11.67408503422851</t>
  </si>
  <si>
    <t>48.283925167553306</t>
  </si>
  <si>
    <t>11.69717391402856</t>
  </si>
  <si>
    <t>48.28387779472902</t>
  </si>
  <si>
    <t>11.708718322455919</t>
  </si>
  <si>
    <t>48.283829266527626</t>
  </si>
  <si>
    <t>11.720262709205143</t>
  </si>
  <si>
    <t>48.28377958295327</t>
  </si>
  <si>
    <t>11.731807073753979</t>
  </si>
  <si>
    <t>48.283728744010254</t>
  </si>
  <si>
    <t>11.743351415580166</t>
  </si>
  <si>
    <t>48.28367674970293</t>
  </si>
  <si>
    <t>11.754895734161472</t>
  </si>
  <si>
    <t>48.283569295013294</t>
  </si>
  <si>
    <t>11.777984299500497</t>
  </si>
  <si>
    <t>48.283623600035746</t>
  </si>
  <si>
    <t>11.766440028975659</t>
  </si>
  <si>
    <t>48.28351383464018</t>
  </si>
  <si>
    <t>11.789528545213775</t>
  </si>
  <si>
    <t>48.28345721892122</t>
  </si>
  <si>
    <t>11.801072765593279</t>
  </si>
  <si>
    <t>48.28339944786125</t>
  </si>
  <si>
    <t>11.81261696011681</t>
  </si>
  <si>
    <t>48.28334052146523</t>
  </si>
  <si>
    <t>11.824161128262173</t>
  </si>
  <si>
    <t>48.28328043973823</t>
  </si>
  <si>
    <t>11.835705269507187</t>
  </si>
  <si>
    <t>48.283219202685395</t>
  </si>
  <si>
    <t>11.847249383329679</t>
  </si>
  <si>
    <t>48.28315681031197</t>
  </si>
  <si>
    <t>11.858793469207484</t>
  </si>
  <si>
    <t>48.283093262623346</t>
  </si>
  <si>
    <t>11.870337526618448</t>
  </si>
  <si>
    <t>48.28296270132236</t>
  </si>
  <si>
    <t>11.893425553951282</t>
  </si>
  <si>
    <t>48.28302855962496</t>
  </si>
  <si>
    <t>11.881881555040426</t>
  </si>
  <si>
    <t>48.282895687721194</t>
  </si>
  <si>
    <t>11.90496952282889</t>
  </si>
  <si>
    <t>48.28282751882723</t>
  </si>
  <si>
    <t>11.916513461151142</t>
  </si>
  <si>
    <t>48.28275819464631</t>
  </si>
  <si>
    <t>11.928057368395926</t>
  </si>
  <si>
    <t>48.28268771518438</t>
  </si>
  <si>
    <t>11.939601244041153</t>
  </si>
  <si>
    <t>48.28254329044183</t>
  </si>
  <si>
    <t>11.962688898444616</t>
  </si>
  <si>
    <t>48.28261608044751</t>
  </si>
  <si>
    <t>11.95114508756474</t>
  </si>
  <si>
    <t>48.28246934517358</t>
  </si>
  <si>
    <t>11.97423267615872</t>
  </si>
  <si>
    <t>48.28239424464913</t>
  </si>
  <si>
    <t>11.985776420185003</t>
  </si>
  <si>
    <t>48.28231798887492</t>
  </si>
  <si>
    <t>11.997320130001427</t>
  </si>
  <si>
    <t>48.28224057785748</t>
  </si>
  <si>
    <t>12.00886380508597</t>
  </si>
  <si>
    <t>48.28216201160347</t>
  </si>
  <si>
    <t>12.02040744491661</t>
  </si>
  <si>
    <t>48.28208229011963</t>
  </si>
  <si>
    <t>12.031951048971356</t>
  </si>
  <si>
    <t>48.28200141341279</t>
  </si>
  <si>
    <t>12.043494616728212</t>
  </si>
  <si>
    <t>48.2819193814899</t>
  </si>
  <si>
    <t>12.055038147665204</t>
  </si>
  <si>
    <t>48.28183619435803</t>
  </si>
  <si>
    <t>12.066581641260367</t>
  </si>
  <si>
    <t>48.28175185202427</t>
  </si>
  <si>
    <t>12.078125096991752</t>
  </si>
  <si>
    <t>48.281579701780196</t>
  </si>
  <si>
    <t>12.101211892775435</t>
  </si>
  <si>
    <t>48.281666354495876</t>
  </si>
  <si>
    <t>12.089668514337413</t>
  </si>
  <si>
    <t>48.28149189388468</t>
  </si>
  <si>
    <t>12.112755231783899</t>
  </si>
  <si>
    <t>48.28140293081683</t>
  </si>
  <si>
    <t>12.12429853084091</t>
  </si>
  <si>
    <t>48.28122153919481</t>
  </si>
  <si>
    <t>12.147385007013046</t>
  </si>
  <si>
    <t>48.28131281258429</t>
  </si>
  <si>
    <t>12.135841789424584</t>
  </si>
  <si>
    <t>48.281129110656224</t>
  </si>
  <si>
    <t>12.158928183084447</t>
  </si>
  <si>
    <t>48.28103552697645</t>
  </si>
  <si>
    <t>12.170471317116936</t>
  </si>
  <si>
    <t>48.280844894225574</t>
  </si>
  <si>
    <t>12.193557456977898</t>
  </si>
  <si>
    <t>48.28094078816351</t>
  </si>
  <si>
    <t>12.182014408588692</t>
  </si>
  <si>
    <t>48.28064964100762</t>
  </si>
  <si>
    <t>12.21664342242148</t>
  </si>
  <si>
    <t>48.28074784517083</t>
  </si>
  <si>
    <t>12.205100461762754</t>
  </si>
  <si>
    <t>48.28055028174437</t>
  </si>
  <si>
    <t>12.228186338432307</t>
  </si>
  <si>
    <t>48.28044976738961</t>
  </si>
  <si>
    <t>12.239729209273484</t>
  </si>
  <si>
    <t>48.27728451223348</t>
  </si>
  <si>
    <t>48.27728335677095</t>
  </si>
  <si>
    <t>48.27728104584603</t>
  </si>
  <si>
    <t>48.27727757945888</t>
  </si>
  <si>
    <t>48.27727295760982</t>
  </si>
  <si>
    <t>48.27726718029924</t>
  </si>
  <si>
    <t>48.27726024752763</t>
  </si>
  <si>
    <t>48.27725215929559</t>
  </si>
  <si>
    <t>48.277242915603814</t>
  </si>
  <si>
    <t>48.27723251645312</t>
  </si>
  <si>
    <t>48.277220961844336</t>
  </si>
  <si>
    <t>48.277208251778525</t>
  </si>
  <si>
    <t>48.27719438625673</t>
  </si>
  <si>
    <t>48.27717936528016</t>
  </si>
  <si>
    <t>48.27714585696796</t>
  </si>
  <si>
    <t>48.277163188850125</t>
  </si>
  <si>
    <t>48.27710772685344</t>
  </si>
  <si>
    <t>48.27712736963522</t>
  </si>
  <si>
    <t>48.27708692862432</t>
  </si>
  <si>
    <t>48.277064974949646</t>
  </si>
  <si>
    <t>48.27704186583131</t>
  </si>
  <si>
    <t>48.2770176012713</t>
  </si>
  <si>
    <t>48.27699218127168</t>
  </si>
  <si>
    <t>48.276965605834654</t>
  </si>
  <si>
    <t>48.27690898865756</t>
  </si>
  <si>
    <t>48.27693787496249</t>
  </si>
  <si>
    <t>48.27687894692238</t>
  </si>
  <si>
    <t>48.27684774975948</t>
  </si>
  <si>
    <t>48.27681539717158</t>
  </si>
  <si>
    <t>48.27678188916143</t>
  </si>
  <si>
    <t>48.27674722573192</t>
  </si>
  <si>
    <t>48.276711406886015</t>
  </si>
  <si>
    <t>48.276674432626805</t>
  </si>
  <si>
    <t>48.27663630295745</t>
  </si>
  <si>
    <t>48.27659701788124</t>
  </si>
  <si>
    <t>48.27655657740153</t>
  </si>
  <si>
    <t>48.27651498152179</t>
  </si>
  <si>
    <t>48.276472230245616</t>
  </si>
  <si>
    <t>48.27642832357665</t>
  </si>
  <si>
    <t>48.27638326151868</t>
  </si>
  <si>
    <t>48.27633704407558</t>
  </si>
  <si>
    <t>48.27628967125129</t>
  </si>
  <si>
    <t>48.2762411430499</t>
  </si>
  <si>
    <t>48.27619145947554</t>
  </si>
  <si>
    <t>48.27614062053252</t>
  </si>
  <si>
    <t>48.2760886262252</t>
  </si>
  <si>
    <t>48.276035476558015</t>
  </si>
  <si>
    <t>48.27598117153555</t>
  </si>
  <si>
    <t>48.27592571116245</t>
  </si>
  <si>
    <t>48.27586909544349</t>
  </si>
  <si>
    <t>48.275811324383525</t>
  </si>
  <si>
    <t>48.2757523979875</t>
  </si>
  <si>
    <t>48.2756923162605</t>
  </si>
  <si>
    <t>48.27563107920766</t>
  </si>
  <si>
    <t>48.27556868683425</t>
  </si>
  <si>
    <t>48.27550513914562</t>
  </si>
  <si>
    <t>48.27537457784463</t>
  </si>
  <si>
    <t>48.275440436147235</t>
  </si>
  <si>
    <t>48.27530756424346</t>
  </si>
  <si>
    <t>48.27523939534949</t>
  </si>
  <si>
    <t>48.27517007116859</t>
  </si>
  <si>
    <t>48.275099591706656</t>
  </si>
  <si>
    <t>48.27502795696978</t>
  </si>
  <si>
    <t>48.27495516696409</t>
  </si>
  <si>
    <t>48.27488122169585</t>
  </si>
  <si>
    <t>48.27480612117141</t>
  </si>
  <si>
    <t>48.27465245437975</t>
  </si>
  <si>
    <t>48.274729865397184</t>
  </si>
  <si>
    <t>48.27457388812573</t>
  </si>
  <si>
    <t>48.27449416664191</t>
  </si>
  <si>
    <t>48.27441328993506</t>
  </si>
  <si>
    <t>48.274331258012175</t>
  </si>
  <si>
    <t>48.274248070880304</t>
  </si>
  <si>
    <t>48.27416372854653</t>
  </si>
  <si>
    <t>48.274078231018144</t>
  </si>
  <si>
    <t>48.27399157830248</t>
  </si>
  <si>
    <t>48.273903770406946</t>
  </si>
  <si>
    <t>48.273814807339086</t>
  </si>
  <si>
    <t>48.273724689106565</t>
  </si>
  <si>
    <t>48.27363341571708</t>
  </si>
  <si>
    <t>48.27354098717848</t>
  </si>
  <si>
    <t>48.27344740349871</t>
  </si>
  <si>
    <t>48.27335266468578</t>
  </si>
  <si>
    <t>48.273256770747835</t>
  </si>
  <si>
    <t>48.2731597216931</t>
  </si>
  <si>
    <t>48.27306151752988</t>
  </si>
  <si>
    <t>48.272962158266644</t>
  </si>
  <si>
    <t>48.272861643911895</t>
  </si>
  <si>
    <t>48.26969638875574</t>
  </si>
  <si>
    <t>48.26969523329323</t>
  </si>
  <si>
    <t>48.2696929223683</t>
  </si>
  <si>
    <t>48.26968945598115</t>
  </si>
  <si>
    <t>48.26968483413208</t>
  </si>
  <si>
    <t>48.26967905682151</t>
  </si>
  <si>
    <t>48.26967212404989</t>
  </si>
  <si>
    <t>48.26966403581787</t>
  </si>
  <si>
    <t>48.26965479212609</t>
  </si>
  <si>
    <t>48.26964439297538</t>
  </si>
  <si>
    <t>48.26963283836661</t>
  </si>
  <si>
    <t>48.26962012830077</t>
  </si>
  <si>
    <t>48.269606262779</t>
  </si>
  <si>
    <t>48.26959124180244</t>
  </si>
  <si>
    <t>48.269575065372386</t>
  </si>
  <si>
    <t>48.26955773349024</t>
  </si>
  <si>
    <t>48.26953924615748</t>
  </si>
  <si>
    <t>48.269519603375706</t>
  </si>
  <si>
    <t>48.26949880514658</t>
  </si>
  <si>
    <t>48.26947685147191</t>
  </si>
  <si>
    <t>48.269453742353576</t>
  </si>
  <si>
    <t>48.26942947779357</t>
  </si>
  <si>
    <t>48.26940405779394</t>
  </si>
  <si>
    <t>48.269377482356916</t>
  </si>
  <si>
    <t>48.26932086517982</t>
  </si>
  <si>
    <t>48.26934975148476</t>
  </si>
  <si>
    <t>48.26929082344466</t>
  </si>
  <si>
    <t>48.269259626281745</t>
  </si>
  <si>
    <t>48.269227273693836</t>
  </si>
  <si>
    <t>48.26919376568369</t>
  </si>
  <si>
    <t>48.269159102254186</t>
  </si>
  <si>
    <t>48.26912328340829</t>
  </si>
  <si>
    <t>48.269086309149074</t>
  </si>
  <si>
    <t>48.26904817947972</t>
  </si>
  <si>
    <t>48.269008894403505</t>
  </si>
  <si>
    <t>48.2689684539238</t>
  </si>
  <si>
    <t>48.268884106767885</t>
  </si>
  <si>
    <t>48.26892685804406</t>
  </si>
  <si>
    <t>48.26884020009892</t>
  </si>
  <si>
    <t>48.26879513804095</t>
  </si>
  <si>
    <t>48.26874892059784</t>
  </si>
  <si>
    <t>48.268701547773546</t>
  </si>
  <si>
    <t>48.26860333599781</t>
  </si>
  <si>
    <t>48.268653019572156</t>
  </si>
  <si>
    <t>48.26855249705479</t>
  </si>
  <si>
    <t>48.26850050274747</t>
  </si>
  <si>
    <t>48.268393048057824</t>
  </si>
  <si>
    <t>48.26844735308029</t>
  </si>
  <si>
    <t>48.26828097196575</t>
  </si>
  <si>
    <t>48.26833758768472</t>
  </si>
  <si>
    <t>48.26816427450977</t>
  </si>
  <si>
    <t>48.268223200905794</t>
  </si>
  <si>
    <t>48.268104192782765</t>
  </si>
  <si>
    <t>48.268042955729925</t>
  </si>
  <si>
    <t>48.26798056335652</t>
  </si>
  <si>
    <t>48.26791701566788</t>
  </si>
  <si>
    <t>48.2677864543669</t>
  </si>
  <si>
    <t>48.26785231266949</t>
  </si>
  <si>
    <t>48.267719440765724</t>
  </si>
  <si>
    <t>48.26765127187176</t>
  </si>
  <si>
    <t>48.26758194769084</t>
  </si>
  <si>
    <t>48.26751146822891</t>
  </si>
  <si>
    <t>48.26743983349205</t>
  </si>
  <si>
    <t>48.26736704348636</t>
  </si>
  <si>
    <t>48.267293098218126</t>
  </si>
  <si>
    <t>48.26721799769367</t>
  </si>
  <si>
    <t>48.267141741919446</t>
  </si>
  <si>
    <t>48.267064330902016</t>
  </si>
  <si>
    <t>48.266985764648005</t>
  </si>
  <si>
    <t>48.26690604316416</t>
  </si>
  <si>
    <t>48.26682516645732</t>
  </si>
  <si>
    <t>48.266743134534444</t>
  </si>
  <si>
    <t>48.266659947402566</t>
  </si>
  <si>
    <t>48.266575605068795</t>
  </si>
  <si>
    <t>48.26649010754042</t>
  </si>
  <si>
    <t>48.26640345482474</t>
  </si>
  <si>
    <t>48.266226683861355</t>
  </si>
  <si>
    <t>48.266315646929215</t>
  </si>
  <si>
    <t>48.266045292239355</t>
  </si>
  <si>
    <t>48.26613656562883</t>
  </si>
  <si>
    <t>48.265952863700754</t>
  </si>
  <si>
    <t>48.26585928002098</t>
  </si>
  <si>
    <t>48.26576454120805</t>
  </si>
  <si>
    <t>48.265668647270104</t>
  </si>
  <si>
    <t>48.26557159821536</t>
  </si>
  <si>
    <t>48.26547339405215</t>
  </si>
  <si>
    <t>48.26537403478891</t>
  </si>
  <si>
    <t>48.26527352043416</t>
  </si>
  <si>
    <t>48.26210826527801</t>
  </si>
  <si>
    <t>48.26210710981548</t>
  </si>
  <si>
    <t>48.26210133250341</t>
  </si>
  <si>
    <t>48.26210479889056</t>
  </si>
  <si>
    <t>48.262096710654355</t>
  </si>
  <si>
    <t>48.262090933343764</t>
  </si>
  <si>
    <t>48.262084000572166</t>
  </si>
  <si>
    <t>48.26207591234012</t>
  </si>
  <si>
    <t>48.26206666864835</t>
  </si>
  <si>
    <t>48.26205626949765</t>
  </si>
  <si>
    <t>48.26204471488888</t>
  </si>
  <si>
    <t>48.26203200482305</t>
  </si>
  <si>
    <t>48.26201813930126</t>
  </si>
  <si>
    <t>48.26200311832469</t>
  </si>
  <si>
    <t>48.261969610012514</t>
  </si>
  <si>
    <t>48.26198694189465</t>
  </si>
  <si>
    <t>48.26195112267975</t>
  </si>
  <si>
    <t>48.26193147989797</t>
  </si>
  <si>
    <t>48.26191068166886</t>
  </si>
  <si>
    <t>48.26188872799417</t>
  </si>
  <si>
    <t>48.26186561887584</t>
  </si>
  <si>
    <t>48.26184135431583</t>
  </si>
  <si>
    <t>48.26181593431622</t>
  </si>
  <si>
    <t>48.26178935887918</t>
  </si>
  <si>
    <t>48.26176162800702</t>
  </si>
  <si>
    <t>48.26173274170208</t>
  </si>
  <si>
    <t>48.26170269996692</t>
  </si>
  <si>
    <t>48.26167150280402</t>
  </si>
  <si>
    <t>48.261639150216105</t>
  </si>
  <si>
    <t>48.261605642205964</t>
  </si>
  <si>
    <t>48.26157097877645</t>
  </si>
  <si>
    <t>48.26153515993055</t>
  </si>
  <si>
    <t>48.26149818567134</t>
  </si>
  <si>
    <t>48.26146005600198</t>
  </si>
  <si>
    <t>48.261420770925774</t>
  </si>
  <si>
    <t>48.26138033044607</t>
  </si>
  <si>
    <t>48.26133873456633</t>
  </si>
  <si>
    <t>48.26129598329015</t>
  </si>
  <si>
    <t>48.26125207662118</t>
  </si>
  <si>
    <t>48.26120701456321</t>
  </si>
  <si>
    <t>48.26116079712012</t>
  </si>
  <si>
    <t>48.26111342429582</t>
  </si>
  <si>
    <t>48.26106489609443</t>
  </si>
  <si>
    <t>48.26101521252008</t>
  </si>
  <si>
    <t>48.26096437357707</t>
  </si>
  <si>
    <t>48.260912379269726</t>
  </si>
  <si>
    <t>48.26085922960255</t>
  </si>
  <si>
    <t>48.26080492458009</t>
  </si>
  <si>
    <t>48.26074946420698</t>
  </si>
  <si>
    <t>48.26069284848802</t>
  </si>
  <si>
    <t>48.26063507742805</t>
  </si>
  <si>
    <t>48.26057615103203</t>
  </si>
  <si>
    <t>48.260454832252194</t>
  </si>
  <si>
    <t>48.260516069305034</t>
  </si>
  <si>
    <t>48.26039243987878</t>
  </si>
  <si>
    <t>48.26032889219015</t>
  </si>
  <si>
    <t>48.260198330889175</t>
  </si>
  <si>
    <t>48.260264189191744</t>
  </si>
  <si>
    <t>48.260131317288</t>
  </si>
  <si>
    <t>48.260063148394025</t>
  </si>
  <si>
    <t>48.25999382421311</t>
  </si>
  <si>
    <t>48.25992334475119</t>
  </si>
  <si>
    <t>48.25985171001432</t>
  </si>
  <si>
    <t>48.25977892000862</t>
  </si>
  <si>
    <t>48.25970497474038</t>
  </si>
  <si>
    <t>48.25962987421594</t>
  </si>
  <si>
    <t>48.25955361844172</t>
  </si>
  <si>
    <t>48.25947620742428</t>
  </si>
  <si>
    <t>48.259397641170274</t>
  </si>
  <si>
    <t>48.25931791968643</t>
  </si>
  <si>
    <t>48.259237042979585</t>
  </si>
  <si>
    <t>48.259155011056706</t>
  </si>
  <si>
    <t>48.259071823924835</t>
  </si>
  <si>
    <t>48.25898748159107</t>
  </si>
  <si>
    <t>48.25890198406269</t>
  </si>
  <si>
    <t>48.258815331347</t>
  </si>
  <si>
    <t>48.25872752345147</t>
  </si>
  <si>
    <t>48.25863856038362</t>
  </si>
  <si>
    <t>48.258457168761616</t>
  </si>
  <si>
    <t>48.258548442151096</t>
  </si>
  <si>
    <t>48.25836474022301</t>
  </si>
  <si>
    <t>48.258271156543245</t>
  </si>
  <si>
    <t>48.25808052379237</t>
  </si>
  <si>
    <t>48.25817641773031</t>
  </si>
  <si>
    <t>48.25798347473763</t>
  </si>
  <si>
    <t>48.25788527057442</t>
  </si>
  <si>
    <t>48.257785911311174</t>
  </si>
  <si>
    <t>48.25768539695642</t>
  </si>
  <si>
    <t>48.25452014180027</t>
  </si>
  <si>
    <t>48.25451898633774</t>
  </si>
  <si>
    <t>48.25451667541282</t>
  </si>
  <si>
    <t>48.25451320902568</t>
  </si>
  <si>
    <t>48.254508587176616</t>
  </si>
  <si>
    <t>48.25450280986604</t>
  </si>
  <si>
    <t>48.25449587709443</t>
  </si>
  <si>
    <t>48.25448778886239</t>
  </si>
  <si>
    <t>48.25447854517062</t>
  </si>
  <si>
    <t>48.25446814601991</t>
  </si>
  <si>
    <t>48.25444388134532</t>
  </si>
  <si>
    <t>48.25445659141113</t>
  </si>
  <si>
    <t>48.25443001582353</t>
  </si>
  <si>
    <t>48.25441499484696</t>
  </si>
  <si>
    <t>48.254398818416924</t>
  </si>
  <si>
    <t>48.25438148653476</t>
  </si>
  <si>
    <t>48.254362999202016</t>
  </si>
  <si>
    <t>48.254343356420236</t>
  </si>
  <si>
    <t>48.25432255819112</t>
  </si>
  <si>
    <t>48.25430060451644</t>
  </si>
  <si>
    <t>48.2542774953981</t>
  </si>
  <si>
    <t>48.254253230838096</t>
  </si>
  <si>
    <t>48.254227810838486</t>
  </si>
  <si>
    <t>48.254201235401446</t>
  </si>
  <si>
    <t>48.25417350452928</t>
  </si>
  <si>
    <t>48.25414461822436</t>
  </si>
  <si>
    <t>48.25411457648919</t>
  </si>
  <si>
    <t>48.25408337932628</t>
  </si>
  <si>
    <t>48.25405102673837</t>
  </si>
  <si>
    <t>48.254017518728226</t>
  </si>
  <si>
    <t>48.25398285529872</t>
  </si>
  <si>
    <t>48.25394703645282</t>
  </si>
  <si>
    <t>48.253910062193604</t>
  </si>
  <si>
    <t>48.25387193252425</t>
  </si>
  <si>
    <t>48.253832647448036</t>
  </si>
  <si>
    <t>48.25379220696833</t>
  </si>
  <si>
    <t>48.25375061108859</t>
  </si>
  <si>
    <t>48.253707859812415</t>
  </si>
  <si>
    <t>48.25366395314346</t>
  </si>
  <si>
    <t>48.25361889108549</t>
  </si>
  <si>
    <t>48.253572673642374</t>
  </si>
  <si>
    <t>48.253525300818076</t>
  </si>
  <si>
    <t>48.2534767726167</t>
  </si>
  <si>
    <t>48.25342708904234</t>
  </si>
  <si>
    <t>48.25337625009933</t>
  </si>
  <si>
    <t>48.253324255791995</t>
  </si>
  <si>
    <t>48.253271106124814</t>
  </si>
  <si>
    <t>48.25321680110236</t>
  </si>
  <si>
    <t>48.25316134072925</t>
  </si>
  <si>
    <t>48.25310472501028</t>
  </si>
  <si>
    <t>48.253046953950324</t>
  </si>
  <si>
    <t>48.2529880275543</t>
  </si>
  <si>
    <t>48.2529279458273</t>
  </si>
  <si>
    <t>48.25286670877446</t>
  </si>
  <si>
    <t>48.25280431640104</t>
  </si>
  <si>
    <t>48.252740768712414</t>
  </si>
  <si>
    <t>48.25267606571402</t>
  </si>
  <si>
    <t>48.25261020741143</t>
  </si>
  <si>
    <t>48.252543193810254</t>
  </si>
  <si>
    <t>48.25247502491629</t>
  </si>
  <si>
    <t>48.25240570073538</t>
  </si>
  <si>
    <t>48.25233522127345</t>
  </si>
  <si>
    <t>48.25226358653657</t>
  </si>
  <si>
    <t>48.25219079653088</t>
  </si>
  <si>
    <t>48.2520417507382</t>
  </si>
  <si>
    <t>48.25211685126265</t>
  </si>
  <si>
    <t>48.251965494963976</t>
  </si>
  <si>
    <t>48.25188808394653</t>
  </si>
  <si>
    <t>48.25180951769254</t>
  </si>
  <si>
    <t>48.2517297962087</t>
  </si>
  <si>
    <t>48.251648919501854</t>
  </si>
  <si>
    <t>48.25156688757897</t>
  </si>
  <si>
    <t>48.25148370044711</t>
  </si>
  <si>
    <t>48.25139935811334</t>
  </si>
  <si>
    <t>48.25131386058494</t>
  </si>
  <si>
    <t>48.25122720786927</t>
  </si>
  <si>
    <t>48.25113939997374</t>
  </si>
  <si>
    <t>48.251050436905885</t>
  </si>
  <si>
    <t>48.250960318673364</t>
  </si>
  <si>
    <t>48.25086904528388</t>
  </si>
  <si>
    <t>48.25077661674528</t>
  </si>
  <si>
    <t>48.25068303306551</t>
  </si>
  <si>
    <t>48.25058829425258</t>
  </si>
  <si>
    <t>48.250492400314634</t>
  </si>
  <si>
    <t>48.25039535125989</t>
  </si>
  <si>
    <t>48.25029714709668</t>
  </si>
  <si>
    <t>48.25019778783345</t>
  </si>
  <si>
    <t>48.250097273478694</t>
  </si>
  <si>
    <t>48.24693201832254</t>
  </si>
  <si>
    <t>48.24693086286001</t>
  </si>
  <si>
    <t>48.246928551935106</t>
  </si>
  <si>
    <t>48.24692508554794</t>
  </si>
  <si>
    <t>48.246920463698885</t>
  </si>
  <si>
    <t>48.24691468638831</t>
  </si>
  <si>
    <t>48.246907753616696</t>
  </si>
  <si>
    <t>48.24689966538466</t>
  </si>
  <si>
    <t>48.24689042169288</t>
  </si>
  <si>
    <t>48.24688002254217</t>
  </si>
  <si>
    <t>48.2468557578676</t>
  </si>
  <si>
    <t>48.2468684679334</t>
  </si>
  <si>
    <t>48.24684189234579</t>
  </si>
  <si>
    <t>48.24682687136923</t>
  </si>
  <si>
    <t>48.24681069493919</t>
  </si>
  <si>
    <t>48.24679336305704</t>
  </si>
  <si>
    <t>48.24677487572429</t>
  </si>
  <si>
    <t>48.246755232942505</t>
  </si>
  <si>
    <t>48.24673443471339</t>
  </si>
  <si>
    <t>48.2467124810387</t>
  </si>
  <si>
    <t>48.246665107360364</t>
  </si>
  <si>
    <t>48.246689371920375</t>
  </si>
  <si>
    <t>48.24663968736075</t>
  </si>
  <si>
    <t>48.246613111923715</t>
  </si>
  <si>
    <t>48.24655649474663</t>
  </si>
  <si>
    <t>48.24658538105154</t>
  </si>
  <si>
    <t>48.24649525584855</t>
  </si>
  <si>
    <t>48.246526453011455</t>
  </si>
  <si>
    <t>48.24646290326064</t>
  </si>
  <si>
    <t>48.24642939525049</t>
  </si>
  <si>
    <t>48.246394731820985</t>
  </si>
  <si>
    <t>48.24635891297509</t>
  </si>
  <si>
    <t>48.24632193871588</t>
  </si>
  <si>
    <t>48.24628380904652</t>
  </si>
  <si>
    <t>48.2462445239703</t>
  </si>
  <si>
    <t>48.246204083490596</t>
  </si>
  <si>
    <t>48.24616248761086</t>
  </si>
  <si>
    <t>48.246119736334684</t>
  </si>
  <si>
    <t>48.246030767607756</t>
  </si>
  <si>
    <t>48.24607582966572</t>
  </si>
  <si>
    <t>48.24598455016464</t>
  </si>
  <si>
    <t>48.245937177340345</t>
  </si>
  <si>
    <t>48.245888649138976</t>
  </si>
  <si>
    <t>48.24583896556461</t>
  </si>
  <si>
    <t>48.2457881266216</t>
  </si>
  <si>
    <t>48.24573613231426</t>
  </si>
  <si>
    <t>48.24562867762463</t>
  </si>
  <si>
    <t>48.24568298264708</t>
  </si>
  <si>
    <t>48.24557321725152</t>
  </si>
  <si>
    <t>48.24551660153256</t>
  </si>
  <si>
    <t>48.245458830472586</t>
  </si>
  <si>
    <t>48.24539990407657</t>
  </si>
  <si>
    <t>48.24533982234957</t>
  </si>
  <si>
    <t>48.24527858529674</t>
  </si>
  <si>
    <t>48.2452161929233</t>
  </si>
  <si>
    <t>48.24515264523469</t>
  </si>
  <si>
    <t>48.24508794223629</t>
  </si>
  <si>
    <t>48.2450220839337</t>
  </si>
  <si>
    <t>48.24495507033254</t>
  </si>
  <si>
    <t>48.24488690143856</t>
  </si>
  <si>
    <t>48.24481757725764</t>
  </si>
  <si>
    <t>48.244747097795724</t>
  </si>
  <si>
    <t>48.24467546305885</t>
  </si>
  <si>
    <t>48.24460267305316</t>
  </si>
  <si>
    <t>48.244528727784925</t>
  </si>
  <si>
    <t>48.24445362726047</t>
  </si>
  <si>
    <t>48.24437737148625</t>
  </si>
  <si>
    <t>48.24429996046881</t>
  </si>
  <si>
    <t>48.244221394214804</t>
  </si>
  <si>
    <t>48.24414167273097</t>
  </si>
  <si>
    <t>48.244060796024115</t>
  </si>
  <si>
    <t>48.24397876410124</t>
  </si>
  <si>
    <t>48.24389557696937</t>
  </si>
  <si>
    <t>48.243811234635594</t>
  </si>
  <si>
    <t>48.24372573710722</t>
  </si>
  <si>
    <t>48.24363908439154</t>
  </si>
  <si>
    <t>48.24355127649601</t>
  </si>
  <si>
    <t>48.243462313428154</t>
  </si>
  <si>
    <t>48.243280921806154</t>
  </si>
  <si>
    <t>48.24337219519563</t>
  </si>
  <si>
    <t>48.24318849326755</t>
  </si>
  <si>
    <t>48.243094909587775</t>
  </si>
  <si>
    <t>48.24300017077485</t>
  </si>
  <si>
    <t>48.2429042768369</t>
  </si>
  <si>
    <t>48.24280722778216</t>
  </si>
  <si>
    <t>48.24270902361895</t>
  </si>
  <si>
    <t>48.242609664355705</t>
  </si>
  <si>
    <t>48.242509150000956</t>
  </si>
  <si>
    <t>48.2393438948448</t>
  </si>
  <si>
    <t>48.23934273938228</t>
  </si>
  <si>
    <t>48.239336962070205</t>
  </si>
  <si>
    <t>48.239340428457346</t>
  </si>
  <si>
    <t>48.23933234022115</t>
  </si>
  <si>
    <t>48.23932656291057</t>
  </si>
  <si>
    <t>48.23931963013895</t>
  </si>
  <si>
    <t>48.23931154190693</t>
  </si>
  <si>
    <t>48.23929189906444</t>
  </si>
  <si>
    <t>48.239302298215144</t>
  </si>
  <si>
    <t>48.239280344455665</t>
  </si>
  <si>
    <t>48.23926763438985</t>
  </si>
  <si>
    <t>48.23925376886805</t>
  </si>
  <si>
    <t>48.23923874789149</t>
  </si>
  <si>
    <t>48.23922257146145</t>
  </si>
  <si>
    <t>48.2392052395793</t>
  </si>
  <si>
    <t>48.23918675224653</t>
  </si>
  <si>
    <t>48.23916710946476</t>
  </si>
  <si>
    <t>48.23914631123565</t>
  </si>
  <si>
    <t>48.23912435756097</t>
  </si>
  <si>
    <t>48.23910124844264</t>
  </si>
  <si>
    <t>48.239076983882626</t>
  </si>
  <si>
    <t>48.23905156388301</t>
  </si>
  <si>
    <t>48.239024988445976</t>
  </si>
  <si>
    <t>48.23899725757381</t>
  </si>
  <si>
    <t>48.23896837126888</t>
  </si>
  <si>
    <t>48.238907132370805</t>
  </si>
  <si>
    <t>48.23893832953371</t>
  </si>
  <si>
    <t>48.238874779782904</t>
  </si>
  <si>
    <t>48.23884127177274</t>
  </si>
  <si>
    <t>48.23877078949735</t>
  </si>
  <si>
    <t>48.238806608343246</t>
  </si>
  <si>
    <t>48.23873381523813</t>
  </si>
  <si>
    <t>48.23869568556878</t>
  </si>
  <si>
    <t>48.238656400492566</t>
  </si>
  <si>
    <t>48.23861596001286</t>
  </si>
  <si>
    <t>48.238574364133115</t>
  </si>
  <si>
    <t>48.238531612856946</t>
  </si>
  <si>
    <t>48.23848770618798</t>
  </si>
  <si>
    <t>48.23844264413001</t>
  </si>
  <si>
    <t>48.238396426686904</t>
  </si>
  <si>
    <t>48.23834905386261</t>
  </si>
  <si>
    <t>48.238300525661224</t>
  </si>
  <si>
    <t>48.23825084208686</t>
  </si>
  <si>
    <t>48.23820000314385</t>
  </si>
  <si>
    <t>48.238148008836525</t>
  </si>
  <si>
    <t>48.238040554146885</t>
  </si>
  <si>
    <t>48.238094859169344</t>
  </si>
  <si>
    <t>48.23798509377377</t>
  </si>
  <si>
    <t>48.23792847805482</t>
  </si>
  <si>
    <t>48.23787070699485</t>
  </si>
  <si>
    <t>48.23781178059883</t>
  </si>
  <si>
    <t>48.23769046181899</t>
  </si>
  <si>
    <t>48.23775169887182</t>
  </si>
  <si>
    <t>48.23762806944556</t>
  </si>
  <si>
    <t>48.23756452175694</t>
  </si>
  <si>
    <t>48.23749981875854</t>
  </si>
  <si>
    <t>48.23743396045595</t>
  </si>
  <si>
    <t>48.237366946854785</t>
  </si>
  <si>
    <t>48.237298777960824</t>
  </si>
  <si>
    <t>48.237229453779904</t>
  </si>
  <si>
    <t>48.23715897431798</t>
  </si>
  <si>
    <t>48.237087339581095</t>
  </si>
  <si>
    <t>48.23701454957543</t>
  </si>
  <si>
    <t>48.23694060430718</t>
  </si>
  <si>
    <t>48.23686550378273</t>
  </si>
  <si>
    <t>48.23678924800851</t>
  </si>
  <si>
    <t>48.23671183699108</t>
  </si>
  <si>
    <t>48.236633270737066</t>
  </si>
  <si>
    <t>48.23655354925324</t>
  </si>
  <si>
    <t>48.236472672546384</t>
  </si>
  <si>
    <t>48.236390640623505</t>
  </si>
  <si>
    <t>48.23630745349163</t>
  </si>
  <si>
    <t>48.236223111157855</t>
  </si>
  <si>
    <t>48.236137613629474</t>
  </si>
  <si>
    <t>48.2360509609138</t>
  </si>
  <si>
    <t>48.235963153018275</t>
  </si>
  <si>
    <t>48.23587418995042</t>
  </si>
  <si>
    <t>48.235784071717895</t>
  </si>
  <si>
    <t>48.23569279832841</t>
  </si>
  <si>
    <t>48.235600369789815</t>
  </si>
  <si>
    <t>48.235506786110044</t>
  </si>
  <si>
    <t>48.2354120472971</t>
  </si>
  <si>
    <t>48.23531615335916</t>
  </si>
  <si>
    <t>48.23521910430442</t>
  </si>
  <si>
    <t>48.235120900141204</t>
  </si>
  <si>
    <t>48.235021540877966</t>
  </si>
  <si>
    <t>48.23492102652322</t>
  </si>
  <si>
    <t>48.23175577136707</t>
  </si>
  <si>
    <t>48.231754615904556</t>
  </si>
  <si>
    <t>48.23174883859248</t>
  </si>
  <si>
    <t>48.23175230497962</t>
  </si>
  <si>
    <t>48.231744216743415</t>
  </si>
  <si>
    <t>48.23173843943283</t>
  </si>
  <si>
    <t>48.23173150666123</t>
  </si>
  <si>
    <t>48.23172341842918</t>
  </si>
  <si>
    <t>48.231714174737405</t>
  </si>
  <si>
    <t>48.231703775586716</t>
  </si>
  <si>
    <t>48.23167951091211</t>
  </si>
  <si>
    <t>48.23169222097793</t>
  </si>
  <si>
    <t>48.23166564539032</t>
  </si>
  <si>
    <t>48.23165062441377</t>
  </si>
  <si>
    <t>48.231634447983716</t>
  </si>
  <si>
    <t>48.23161711610157</t>
  </si>
  <si>
    <t>48.23159862876881</t>
  </si>
  <si>
    <t>48.231578985987035</t>
  </si>
  <si>
    <t>48.23153623408323</t>
  </si>
  <si>
    <t>48.23155818775791</t>
  </si>
  <si>
    <t>48.231513124964906</t>
  </si>
  <si>
    <t>48.2314888604049</t>
  </si>
  <si>
    <t>48.23146344040527</t>
  </si>
  <si>
    <t>48.23143686496825</t>
  </si>
  <si>
    <t>48.23140913409608</t>
  </si>
  <si>
    <t>48.23138024779116</t>
  </si>
  <si>
    <t>48.23135020605597</t>
  </si>
  <si>
    <t>48.231319008893074</t>
  </si>
  <si>
    <t>48.23128665630516</t>
  </si>
  <si>
    <t>48.23125314829501</t>
  </si>
  <si>
    <t>48.23118266601961</t>
  </si>
  <si>
    <t>48.231218484865515</t>
  </si>
  <si>
    <t>48.231145691760396</t>
  </si>
  <si>
    <t>48.23110756209105</t>
  </si>
  <si>
    <t>48.23102783653513</t>
  </si>
  <si>
    <t>48.23106827701483</t>
  </si>
  <si>
    <t>48.23098624065538</t>
  </si>
  <si>
    <t>48.230943489379214</t>
  </si>
  <si>
    <t>48.23089958271025</t>
  </si>
  <si>
    <t>48.23085452065228</t>
  </si>
  <si>
    <t>48.23080830320917</t>
  </si>
  <si>
    <t>48.23076093038487</t>
  </si>
  <si>
    <t>48.2307124021835</t>
  </si>
  <si>
    <t>48.23066271860914</t>
  </si>
  <si>
    <t>48.23061187966613</t>
  </si>
  <si>
    <t>48.2305598853588</t>
  </si>
  <si>
    <t>48.230452430669146</t>
  </si>
  <si>
    <t>48.23050673569161</t>
  </si>
  <si>
    <t>48.230396970296034</t>
  </si>
  <si>
    <t>48.23034035457709</t>
  </si>
  <si>
    <t>48.230282583517116</t>
  </si>
  <si>
    <t>48.23022365712111</t>
  </si>
  <si>
    <t>48.2301635753941</t>
  </si>
  <si>
    <t>48.230102338341254</t>
  </si>
  <si>
    <t>48.23003994596784</t>
  </si>
  <si>
    <t>48.22997639827922</t>
  </si>
  <si>
    <t>48.22991169528081</t>
  </si>
  <si>
    <t>48.22984583697823</t>
  </si>
  <si>
    <t>48.22977882337706</t>
  </si>
  <si>
    <t>48.22971065448308</t>
  </si>
  <si>
    <t>48.229570850840254</t>
  </si>
  <si>
    <t>48.22964133030218</t>
  </si>
  <si>
    <t>48.22949921610337</t>
  </si>
  <si>
    <t>48.22942642609768</t>
  </si>
  <si>
    <t>48.229352480829434</t>
  </si>
  <si>
    <t>48.229277380305</t>
  </si>
  <si>
    <t>48.22920112453078</t>
  </si>
  <si>
    <t>48.22912371351334</t>
  </si>
  <si>
    <t>48.22904514725933</t>
  </si>
  <si>
    <t>48.22896542577549</t>
  </si>
  <si>
    <t>48.22888454906865</t>
  </si>
  <si>
    <t>48.22880251714577</t>
  </si>
  <si>
    <t>48.2287193300139</t>
  </si>
  <si>
    <t>48.228634987680124</t>
  </si>
  <si>
    <t>48.22854949015175</t>
  </si>
  <si>
    <t>48.22846283743607</t>
  </si>
  <si>
    <t>48.228375029540544</t>
  </si>
  <si>
    <t>48.228286066472684</t>
  </si>
  <si>
    <t>48.228195948240156</t>
  </si>
  <si>
    <t>48.22810467485068</t>
  </si>
  <si>
    <t>48.228012246312076</t>
  </si>
  <si>
    <t>48.227918662632305</t>
  </si>
  <si>
    <t>48.22782392381938</t>
  </si>
  <si>
    <t>48.22772802988143</t>
  </si>
  <si>
    <t>48.227630980826696</t>
  </si>
  <si>
    <t>48.22753277666348</t>
  </si>
  <si>
    <t>48.22743341740024</t>
  </si>
  <si>
    <t>48.227332903045486</t>
  </si>
  <si>
    <t>48.22416764788934</t>
  </si>
  <si>
    <t>48.224166492426825</t>
  </si>
  <si>
    <t>48.22416418150189</t>
  </si>
  <si>
    <t>48.224160715114735</t>
  </si>
  <si>
    <t>48.224156093265684</t>
  </si>
  <si>
    <t>48.22415031595509</t>
  </si>
  <si>
    <t>48.22414338318349</t>
  </si>
  <si>
    <t>48.22413529495145</t>
  </si>
  <si>
    <t>48.22411565210898</t>
  </si>
  <si>
    <t>48.22412605125968</t>
  </si>
  <si>
    <t>48.22410409750021</t>
  </si>
  <si>
    <t>48.224091387434385</t>
  </si>
  <si>
    <t>48.22407752191259</t>
  </si>
  <si>
    <t>48.22406250093603</t>
  </si>
  <si>
    <t>48.22404632450599</t>
  </si>
  <si>
    <t>48.22402899262383</t>
  </si>
  <si>
    <t>48.224010505291076</t>
  </si>
  <si>
    <t>48.22399086250929</t>
  </si>
  <si>
    <t>48.223948110605505</t>
  </si>
  <si>
    <t>48.223970064280174</t>
  </si>
  <si>
    <t>48.223925001487174</t>
  </si>
  <si>
    <t>48.22390073692716</t>
  </si>
  <si>
    <t>48.22387531692755</t>
  </si>
  <si>
    <t>48.223848741490514</t>
  </si>
  <si>
    <t>48.22379212431341</t>
  </si>
  <si>
    <t>48.223821010618344</t>
  </si>
  <si>
    <t>48.22376208257825</t>
  </si>
  <si>
    <t>48.22373088541534</t>
  </si>
  <si>
    <t>48.223698532827434</t>
  </si>
  <si>
    <t>48.22366502481729</t>
  </si>
  <si>
    <t>48.22363036138778</t>
  </si>
  <si>
    <t>48.22359454254188</t>
  </si>
  <si>
    <t>48.223557568282665</t>
  </si>
  <si>
    <t>48.22351943861332</t>
  </si>
  <si>
    <t>48.223439713057395</t>
  </si>
  <si>
    <t>48.223480153537096</t>
  </si>
  <si>
    <t>48.22335536590148</t>
  </si>
  <si>
    <t>48.22339811717766</t>
  </si>
  <si>
    <t>48.22331145923252</t>
  </si>
  <si>
    <t>48.22326639717455</t>
  </si>
  <si>
    <t>48.22322017973144</t>
  </si>
  <si>
    <t>48.223172806907144</t>
  </si>
  <si>
    <t>48.22312427870576</t>
  </si>
  <si>
    <t>48.22307459513141</t>
  </si>
  <si>
    <t>48.22302375618839</t>
  </si>
  <si>
    <t>48.222971761881055</t>
  </si>
  <si>
    <t>48.22291861221388</t>
  </si>
  <si>
    <t>48.22286430719142</t>
  </si>
  <si>
    <t>48.22280884681831</t>
  </si>
  <si>
    <t>48.22275223109935</t>
  </si>
  <si>
    <t>48.22269446003938</t>
  </si>
  <si>
    <t>48.22263553364336</t>
  </si>
  <si>
    <t>48.22257545191636</t>
  </si>
  <si>
    <t>48.22251421486352</t>
  </si>
  <si>
    <t>48.222388274801474</t>
  </si>
  <si>
    <t>48.22245182249011</t>
  </si>
  <si>
    <t>48.22232357180309</t>
  </si>
  <si>
    <t>48.2222577135005</t>
  </si>
  <si>
    <t>48.22219069989932</t>
  </si>
  <si>
    <t>48.222122531005354</t>
  </si>
  <si>
    <t>48.22198272736252</t>
  </si>
  <si>
    <t>48.22205320682444</t>
  </si>
  <si>
    <t>48.22191109262564</t>
  </si>
  <si>
    <t>48.22183830261996</t>
  </si>
  <si>
    <t>48.221689256827254</t>
  </si>
  <si>
    <t>48.22176435735171</t>
  </si>
  <si>
    <t>48.22161300105305</t>
  </si>
  <si>
    <t>48.22153559003561</t>
  </si>
  <si>
    <t>48.221457023781596</t>
  </si>
  <si>
    <t>48.22137730229777</t>
  </si>
  <si>
    <t>48.221214393668035</t>
  </si>
  <si>
    <t>48.22129642559093</t>
  </si>
  <si>
    <t>48.22113120653617</t>
  </si>
  <si>
    <t>48.22104686420239</t>
  </si>
  <si>
    <t>48.22096136667401</t>
  </si>
  <si>
    <t>48.22087471395833</t>
  </si>
  <si>
    <t>48.2207869060628</t>
  </si>
  <si>
    <t>48.220697942994946</t>
  </si>
  <si>
    <t>48.22060782476242</t>
  </si>
  <si>
    <t>48.22051655137294</t>
  </si>
  <si>
    <t>48.22042412283435</t>
  </si>
  <si>
    <t>48.22033053915459</t>
  </si>
  <si>
    <t>48.22023580034164</t>
  </si>
  <si>
    <t>48.220139906403695</t>
  </si>
  <si>
    <t>48.22004285734895</t>
  </si>
  <si>
    <t>48.21994465318574</t>
  </si>
  <si>
    <t>48.21984529392251</t>
  </si>
  <si>
    <t>48.219744779567755</t>
  </si>
  <si>
    <t>48.21657836894908</t>
  </si>
  <si>
    <t>48.21657952441159</t>
  </si>
  <si>
    <t>48.21657605802415</t>
  </si>
  <si>
    <t>48.216572591637004</t>
  </si>
  <si>
    <t>48.21656796978795</t>
  </si>
  <si>
    <t>48.216562192477355</t>
  </si>
  <si>
    <t>48.21655525970576</t>
  </si>
  <si>
    <t>48.21654717147372</t>
  </si>
  <si>
    <t>48.21653792778194</t>
  </si>
  <si>
    <t>48.21652752863124</t>
  </si>
  <si>
    <t>48.21651597402247</t>
  </si>
  <si>
    <t>48.216503263956646</t>
  </si>
  <si>
    <t>48.21648939843486</t>
  </si>
  <si>
    <t>48.21647437745828</t>
  </si>
  <si>
    <t>48.216458201028246</t>
  </si>
  <si>
    <t>48.216440869146105</t>
  </si>
  <si>
    <t>48.21642238181334</t>
  </si>
  <si>
    <t>48.21640273903156</t>
  </si>
  <si>
    <t>48.21635998712777</t>
  </si>
  <si>
    <t>48.21638194080244</t>
  </si>
  <si>
    <t>48.216336878009436</t>
  </si>
  <si>
    <t>48.216312613449425</t>
  </si>
  <si>
    <t>48.21628719344981</t>
  </si>
  <si>
    <t>48.216260618012775</t>
  </si>
  <si>
    <t>48.21623288714061</t>
  </si>
  <si>
    <t>48.21620400083568</t>
  </si>
  <si>
    <t>48.21617395910051</t>
  </si>
  <si>
    <t>48.21614276193761</t>
  </si>
  <si>
    <t>48.216110409349696</t>
  </si>
  <si>
    <t>48.216076901339555</t>
  </si>
  <si>
    <t>48.21604223791003</t>
  </si>
  <si>
    <t>48.21600641906414</t>
  </si>
  <si>
    <t>48.215931315135585</t>
  </si>
  <si>
    <t>48.21596944480493</t>
  </si>
  <si>
    <t>48.21589203005936</t>
  </si>
  <si>
    <t>48.21585158957966</t>
  </si>
  <si>
    <t>48.21576724242374</t>
  </si>
  <si>
    <t>48.21580999369992</t>
  </si>
  <si>
    <t>48.21572333575478</t>
  </si>
  <si>
    <t>48.21567827369681</t>
  </si>
  <si>
    <t>48.2156320562537</t>
  </si>
  <si>
    <t>48.21558468342941</t>
  </si>
  <si>
    <t>48.21553615522802</t>
  </si>
  <si>
    <t>48.21548647165367</t>
  </si>
  <si>
    <t>48.215435632710665</t>
  </si>
  <si>
    <t>48.215383638403324</t>
  </si>
  <si>
    <t>48.21533048873615</t>
  </si>
  <si>
    <t>48.215276183713684</t>
  </si>
  <si>
    <t>48.21516410762161</t>
  </si>
  <si>
    <t>48.215220723340586</t>
  </si>
  <si>
    <t>48.215106336561654</t>
  </si>
  <si>
    <t>48.215047410165624</t>
  </si>
  <si>
    <t>48.214987328438625</t>
  </si>
  <si>
    <t>48.21492609138579</t>
  </si>
  <si>
    <t>48.21480015132374</t>
  </si>
  <si>
    <t>48.21486369901237</t>
  </si>
  <si>
    <t>48.21473544832536</t>
  </si>
  <si>
    <t>48.21466959002276</t>
  </si>
  <si>
    <t>48.21460257642158</t>
  </si>
  <si>
    <t>48.21453440752762</t>
  </si>
  <si>
    <t>48.21446508334671</t>
  </si>
  <si>
    <t>48.21439460388478</t>
  </si>
  <si>
    <t>48.2143229691479</t>
  </si>
  <si>
    <t>48.21425017914221</t>
  </si>
  <si>
    <t>48.21417623387397</t>
  </si>
  <si>
    <t>48.21410113334953</t>
  </si>
  <si>
    <t>48.21402487757531</t>
  </si>
  <si>
    <t>48.213947466557876</t>
  </si>
  <si>
    <t>48.21386890030386</t>
  </si>
  <si>
    <t>48.21378917882002</t>
  </si>
  <si>
    <t>48.21370830211318</t>
  </si>
  <si>
    <t>48.2136262701903</t>
  </si>
  <si>
    <t>48.213543083058426</t>
  </si>
  <si>
    <t>48.21345874072466</t>
  </si>
  <si>
    <t>48.21337324319628</t>
  </si>
  <si>
    <t>48.21328659048059</t>
  </si>
  <si>
    <t>48.21319878258506</t>
  </si>
  <si>
    <t>48.21310981951722</t>
  </si>
  <si>
    <t>48.21301970128468</t>
  </si>
  <si>
    <t>48.2129284278952</t>
  </si>
  <si>
    <t>48.21283599935661</t>
  </si>
  <si>
    <t>48.212742415676836</t>
  </si>
  <si>
    <t>48.212551782925956</t>
  </si>
  <si>
    <t>48.2126476768639</t>
  </si>
  <si>
    <t>48.21245473387122</t>
  </si>
  <si>
    <t>48.212356529708</t>
  </si>
  <si>
    <t>48.212156656090016</t>
  </si>
  <si>
    <t>48.21225717044478</t>
  </si>
  <si>
    <t>48.208991400933876</t>
  </si>
  <si>
    <t>48.20899024547135</t>
  </si>
  <si>
    <t>48.20898793454642</t>
  </si>
  <si>
    <t>48.20898446815927</t>
  </si>
  <si>
    <t>48.20897406899964</t>
  </si>
  <si>
    <t>48.20897984631021</t>
  </si>
  <si>
    <t>48.208967136228026</t>
  </si>
  <si>
    <t>48.20895904799599</t>
  </si>
  <si>
    <t>48.208949804304225</t>
  </si>
  <si>
    <t>48.208939405153494</t>
  </si>
  <si>
    <t>48.20892785054473</t>
  </si>
  <si>
    <t>48.208915140478915</t>
  </si>
  <si>
    <t>48.20890127495713</t>
  </si>
  <si>
    <t>48.20888625398056</t>
  </si>
  <si>
    <t>48.20887007755052</t>
  </si>
  <si>
    <t>48.208852745668366</t>
  </si>
  <si>
    <t>48.20883425833561</t>
  </si>
  <si>
    <t>48.208814615553834</t>
  </si>
  <si>
    <t>48.208771863650036</t>
  </si>
  <si>
    <t>48.20879381732472</t>
  </si>
  <si>
    <t>48.208748754531705</t>
  </si>
  <si>
    <t>48.208724489971694</t>
  </si>
  <si>
    <t>48.20869906997208</t>
  </si>
  <si>
    <t>48.208672494535044</t>
  </si>
  <si>
    <t>48.208644763662875</t>
  </si>
  <si>
    <t>48.20861587735795</t>
  </si>
  <si>
    <t>48.20858583562278</t>
  </si>
  <si>
    <t>48.20855463845987</t>
  </si>
  <si>
    <t>48.208522285871965</t>
  </si>
  <si>
    <t>48.20848877786181</t>
  </si>
  <si>
    <t>48.20845411443231</t>
  </si>
  <si>
    <t>48.20841829558641</t>
  </si>
  <si>
    <t>48.208381321327195</t>
  </si>
  <si>
    <t>48.208343191657846</t>
  </si>
  <si>
    <t>48.20830390658163</t>
  </si>
  <si>
    <t>48.20826346610193</t>
  </si>
  <si>
    <t>48.20822187022219</t>
  </si>
  <si>
    <t>48.20817911894602</t>
  </si>
  <si>
    <t>48.20809015021908</t>
  </si>
  <si>
    <t>48.20813521227705</t>
  </si>
  <si>
    <t>48.20804393277597</t>
  </si>
  <si>
    <t>48.20799655995167</t>
  </si>
  <si>
    <t>48.20794803175029</t>
  </si>
  <si>
    <t>48.20789834817594</t>
  </si>
  <si>
    <t>48.20784750923293</t>
  </si>
  <si>
    <t>48.2077955149256</t>
  </si>
  <si>
    <t>48.20774236525842</t>
  </si>
  <si>
    <t>48.20768806023596</t>
  </si>
  <si>
    <t>48.20763259986285</t>
  </si>
  <si>
    <t>48.207575984143894</t>
  </si>
  <si>
    <t>48.207518213083915</t>
  </si>
  <si>
    <t>48.2074592866879</t>
  </si>
  <si>
    <t>48.20739920496089</t>
  </si>
  <si>
    <t>48.20733796790805</t>
  </si>
  <si>
    <t>48.20727557553464</t>
  </si>
  <si>
    <t>48.207212027846005</t>
  </si>
  <si>
    <t>48.20714732484761</t>
  </si>
  <si>
    <t>48.20708146654502</t>
  </si>
  <si>
    <t>48.20701445294386</t>
  </si>
  <si>
    <t>48.2069462840499</t>
  </si>
  <si>
    <t>48.20687695986898</t>
  </si>
  <si>
    <t>48.20680648040704</t>
  </si>
  <si>
    <t>48.20673484567018</t>
  </si>
  <si>
    <t>48.20666205566448</t>
  </si>
  <si>
    <t>48.20658811039625</t>
  </si>
  <si>
    <t>48.206513009871784</t>
  </si>
  <si>
    <t>48.206436754097574</t>
  </si>
  <si>
    <t>48.20635934308014</t>
  </si>
  <si>
    <t>48.206280776826134</t>
  </si>
  <si>
    <t>48.2062010553423</t>
  </si>
  <si>
    <t>48.206120178635445</t>
  </si>
  <si>
    <t>48.20603814671257</t>
  </si>
  <si>
    <t>48.2059549595807</t>
  </si>
  <si>
    <t>48.20587061724693</t>
  </si>
  <si>
    <t>48.20578511971855</t>
  </si>
  <si>
    <t>48.20569846700287</t>
  </si>
  <si>
    <t>48.205610659107336</t>
  </si>
  <si>
    <t>48.205521696039476</t>
  </si>
  <si>
    <t>48.205340304417476</t>
  </si>
  <si>
    <t>48.205431577806955</t>
  </si>
  <si>
    <t>48.20524787587887</t>
  </si>
  <si>
    <t>48.20515429219912</t>
  </si>
  <si>
    <t>48.204963659448225</t>
  </si>
  <si>
    <t>48.20505955338618</t>
  </si>
  <si>
    <t>48.20486661039349</t>
  </si>
  <si>
    <t>48.20476840623027</t>
  </si>
  <si>
    <t>48.20466904696705</t>
  </si>
  <si>
    <t>48.204568532612285</t>
  </si>
  <si>
    <t>48.201403277456144</t>
  </si>
  <si>
    <t>48.201402121993624</t>
  </si>
  <si>
    <t>48.20139981106869</t>
  </si>
  <si>
    <t>48.20139634468154</t>
  </si>
  <si>
    <t>48.2013859455219</t>
  </si>
  <si>
    <t>48.201391722832476</t>
  </si>
  <si>
    <t>48.20137901275028</t>
  </si>
  <si>
    <t>48.20137092451826</t>
  </si>
  <si>
    <t>48.20136168082648</t>
  </si>
  <si>
    <t>48.20135128167578</t>
  </si>
  <si>
    <t>48.201339727067015</t>
  </si>
  <si>
    <t>48.20132701700118</t>
  </si>
  <si>
    <t>48.2013131514794</t>
  </si>
  <si>
    <t>48.20129813050283</t>
  </si>
  <si>
    <t>48.20128195407278</t>
  </si>
  <si>
    <t>48.20126462219063</t>
  </si>
  <si>
    <t>48.201246134857875</t>
  </si>
  <si>
    <t>48.2012264920761</t>
  </si>
  <si>
    <t>48.20120569384698</t>
  </si>
  <si>
    <t>48.20118374017231</t>
  </si>
  <si>
    <t>48.201160631053966</t>
  </si>
  <si>
    <t>48.20113636649396</t>
  </si>
  <si>
    <t>48.201110946494346</t>
  </si>
  <si>
    <t>48.20108437105731</t>
  </si>
  <si>
    <t>48.20105664018514</t>
  </si>
  <si>
    <t>48.201027753880226</t>
  </si>
  <si>
    <t>48.20099771214504</t>
  </si>
  <si>
    <t>48.20096651498214</t>
  </si>
  <si>
    <t>48.20093416239423</t>
  </si>
  <si>
    <t>48.200900654384085</t>
  </si>
  <si>
    <t>48.200865990954576</t>
  </si>
  <si>
    <t>48.20083017210868</t>
  </si>
  <si>
    <t>48.20079319784948</t>
  </si>
  <si>
    <t>48.20075506818013</t>
  </si>
  <si>
    <t>48.2007157831039</t>
  </si>
  <si>
    <t>48.2006753426242</t>
  </si>
  <si>
    <t>48.20063374674446</t>
  </si>
  <si>
    <t>48.20059099546829</t>
  </si>
  <si>
    <t>48.200547088799325</t>
  </si>
  <si>
    <t>48.20050202674134</t>
  </si>
  <si>
    <t>48.20045580929825</t>
  </si>
  <si>
    <t>48.20040843647394</t>
  </si>
  <si>
    <t>48.20035990827255</t>
  </si>
  <si>
    <t>48.20031022469821</t>
  </si>
  <si>
    <t>48.200259385755196</t>
  </si>
  <si>
    <t>48.20020739144787</t>
  </si>
  <si>
    <t>48.20015424178068</t>
  </si>
  <si>
    <t>48.200099936758214</t>
  </si>
  <si>
    <t>48.200044476385116</t>
  </si>
  <si>
    <t>48.19998786066615</t>
  </si>
  <si>
    <t>48.199930089606184</t>
  </si>
  <si>
    <t>48.19987116321016</t>
  </si>
  <si>
    <t>48.19981108148317</t>
  </si>
  <si>
    <t>48.19974984443032</t>
  </si>
  <si>
    <t>48.1996874520569</t>
  </si>
  <si>
    <t>48.19962390436828</t>
  </si>
  <si>
    <t>48.19955920136988</t>
  </si>
  <si>
    <t>48.19949334306729</t>
  </si>
  <si>
    <t>48.199426329466114</t>
  </si>
  <si>
    <t>48.19935816057216</t>
  </si>
  <si>
    <t>48.19928883639124</t>
  </si>
  <si>
    <t>48.199218356929315</t>
  </si>
  <si>
    <t>48.199146722192445</t>
  </si>
  <si>
    <t>48.19907393218675</t>
  </si>
  <si>
    <t>48.19899998691852</t>
  </si>
  <si>
    <t>48.19892488639406</t>
  </si>
  <si>
    <t>48.19884863061985</t>
  </si>
  <si>
    <t>48.19877121960241</t>
  </si>
  <si>
    <t>48.19869265334841</t>
  </si>
  <si>
    <t>48.19861293186457</t>
  </si>
  <si>
    <t>48.19853205515771</t>
  </si>
  <si>
    <t>48.19845002323484</t>
  </si>
  <si>
    <t>48.19836683610296</t>
  </si>
  <si>
    <t>48.19828249376919</t>
  </si>
  <si>
    <t>48.19819699624081</t>
  </si>
  <si>
    <t>48.19811034352513</t>
  </si>
  <si>
    <t>48.198022535629605</t>
  </si>
  <si>
    <t>48.19793357256175</t>
  </si>
  <si>
    <t>48.197843454329224</t>
  </si>
  <si>
    <t>48.197752180939744</t>
  </si>
  <si>
    <t>48.197659752401144</t>
  </si>
  <si>
    <t>48.19756616872137</t>
  </si>
  <si>
    <t>48.1973755359705</t>
  </si>
  <si>
    <t>48.19747142990844</t>
  </si>
  <si>
    <t>48.19727848691576</t>
  </si>
  <si>
    <t>48.19718028275255</t>
  </si>
  <si>
    <t>48.19708092348932</t>
  </si>
  <si>
    <t>48.19698040913456</t>
  </si>
  <si>
    <t>48.19381399851587</t>
  </si>
  <si>
    <t>48.1938151539784</t>
  </si>
  <si>
    <t>48.19381168759095</t>
  </si>
  <si>
    <t>48.19380822120381</t>
  </si>
  <si>
    <t>48.19380359935475</t>
  </si>
  <si>
    <t>48.19379782204417</t>
  </si>
  <si>
    <t>48.193790889272556</t>
  </si>
  <si>
    <t>48.19378280104052</t>
  </si>
  <si>
    <t>48.19377355734875</t>
  </si>
  <si>
    <t>48.193763158198045</t>
  </si>
  <si>
    <t>48.19373889352345</t>
  </si>
  <si>
    <t>48.19375160358927</t>
  </si>
  <si>
    <t>48.19372502800166</t>
  </si>
  <si>
    <t>48.193710007025096</t>
  </si>
  <si>
    <t>48.19369383059505</t>
  </si>
  <si>
    <t>48.1936764987129</t>
  </si>
  <si>
    <t>48.193658011380144</t>
  </si>
  <si>
    <t>48.19363836859836</t>
  </si>
  <si>
    <t>48.19361757036924</t>
  </si>
  <si>
    <t>48.193595616694566</t>
  </si>
  <si>
    <t>48.193572507576235</t>
  </si>
  <si>
    <t>48.193548243016224</t>
  </si>
  <si>
    <t>48.19352282301661</t>
  </si>
  <si>
    <t>48.193496247579574</t>
  </si>
  <si>
    <t>48.193468516707405</t>
  </si>
  <si>
    <t>48.19343963040249</t>
  </si>
  <si>
    <t>48.19340958866731</t>
  </si>
  <si>
    <t>48.1933783915044</t>
  </si>
  <si>
    <t>48.193346038916495</t>
  </si>
  <si>
    <t>48.193312530906354</t>
  </si>
  <si>
    <t>48.193277867476844</t>
  </si>
  <si>
    <t>48.19324204863095</t>
  </si>
  <si>
    <t>48.19320507437174</t>
  </si>
  <si>
    <t>48.19316694470239</t>
  </si>
  <si>
    <t>48.193127659626164</t>
  </si>
  <si>
    <t>48.193087219146456</t>
  </si>
  <si>
    <t>48.19304562326673</t>
  </si>
  <si>
    <t>48.193002871990544</t>
  </si>
  <si>
    <t>48.19295896532159</t>
  </si>
  <si>
    <t>48.19291390326361</t>
  </si>
  <si>
    <t>48.192867685820495</t>
  </si>
  <si>
    <t>48.19282031299621</t>
  </si>
  <si>
    <t>48.19277178479483</t>
  </si>
  <si>
    <t>48.19272210122047</t>
  </si>
  <si>
    <t>48.19267126227745</t>
  </si>
  <si>
    <t>48.19261926797012</t>
  </si>
  <si>
    <t>48.19256611830294</t>
  </si>
  <si>
    <t>48.19251181328048</t>
  </si>
  <si>
    <t>48.192456352907385</t>
  </si>
  <si>
    <t>48.192399737188424</t>
  </si>
  <si>
    <t>48.19234196612846</t>
  </si>
  <si>
    <t>48.19228303973242</t>
  </si>
  <si>
    <t>48.19222295800543</t>
  </si>
  <si>
    <t>48.1921617209526</t>
  </si>
  <si>
    <t>48.19209932857917</t>
  </si>
  <si>
    <t>48.19203578089055</t>
  </si>
  <si>
    <t>48.19197107789215</t>
  </si>
  <si>
    <t>48.19190521958955</t>
  </si>
  <si>
    <t>48.19183820598838</t>
  </si>
  <si>
    <t>48.19177003709442</t>
  </si>
  <si>
    <t>48.1917007129135</t>
  </si>
  <si>
    <t>48.19163023345158</t>
  </si>
  <si>
    <t>48.19148580870902</t>
  </si>
  <si>
    <t>48.1915585987147</t>
  </si>
  <si>
    <t>48.19141186344078</t>
  </si>
  <si>
    <t>48.19133676291633</t>
  </si>
  <si>
    <t>48.19126050714212</t>
  </si>
  <si>
    <t>48.19118309612467</t>
  </si>
  <si>
    <t>48.19110452987067</t>
  </si>
  <si>
    <t>48.19102480838683</t>
  </si>
  <si>
    <t>48.190943931679975</t>
  </si>
  <si>
    <t>48.19086189975711</t>
  </si>
  <si>
    <t>48.19077871262523</t>
  </si>
  <si>
    <t>48.19069437029147</t>
  </si>
  <si>
    <t>48.19060887276308</t>
  </si>
  <si>
    <t>48.1905222200474</t>
  </si>
  <si>
    <t>48.19034544908401</t>
  </si>
  <si>
    <t>48.19043441215187</t>
  </si>
  <si>
    <t>48.19025533085149</t>
  </si>
  <si>
    <t>48.19016405746202</t>
  </si>
  <si>
    <t>48.19007162892342</t>
  </si>
  <si>
    <t>48.18997804524364</t>
  </si>
  <si>
    <t>48.18978741249278</t>
  </si>
  <si>
    <t>48.18988330643071</t>
  </si>
  <si>
    <t>48.18959215927481</t>
  </si>
  <si>
    <t>48.18969036343802</t>
  </si>
  <si>
    <t>48.189492800011564</t>
  </si>
  <si>
    <t>48.18939228565681</t>
  </si>
  <si>
    <t>48.186227030500675</t>
  </si>
  <si>
    <t>48.18622587503815</t>
  </si>
  <si>
    <t>48.18622356411323</t>
  </si>
  <si>
    <t>48.18622009772608</t>
  </si>
  <si>
    <t>48.186215475877006</t>
  </si>
  <si>
    <t>48.18620969856643</t>
  </si>
  <si>
    <t>48.18620276579482</t>
  </si>
  <si>
    <t>48.18619467756279</t>
  </si>
  <si>
    <t>48.18618543387101</t>
  </si>
  <si>
    <t>48.18617503472031</t>
  </si>
  <si>
    <t>48.186163480111524</t>
  </si>
  <si>
    <t>48.18615077004571</t>
  </si>
  <si>
    <t>48.18613690452393</t>
  </si>
  <si>
    <t>48.18612188354736</t>
  </si>
  <si>
    <t>48.186105707117314</t>
  </si>
  <si>
    <t>48.186088375235165</t>
  </si>
  <si>
    <t>48.1860698879024</t>
  </si>
  <si>
    <t>48.18605024512062</t>
  </si>
  <si>
    <t>48.186029446891524</t>
  </si>
  <si>
    <t>48.186007493216835</t>
  </si>
  <si>
    <t>48.1859843840985</t>
  </si>
  <si>
    <t>48.18596011953849</t>
  </si>
  <si>
    <t>48.185934699538876</t>
  </si>
  <si>
    <t>48.18590812410184</t>
  </si>
  <si>
    <t>48.185880393229674</t>
  </si>
  <si>
    <t>48.18585150692476</t>
  </si>
  <si>
    <t>48.185821465189576</t>
  </si>
  <si>
    <t>48.18579026802667</t>
  </si>
  <si>
    <t>48.18575791543877</t>
  </si>
  <si>
    <t>48.185724407428616</t>
  </si>
  <si>
    <t>48.18568974399911</t>
  </si>
  <si>
    <t>48.18565392515321</t>
  </si>
  <si>
    <t>48.185616950894</t>
  </si>
  <si>
    <t>48.185578821224645</t>
  </si>
  <si>
    <t>48.18553953614843</t>
  </si>
  <si>
    <t>48.18549909566873</t>
  </si>
  <si>
    <t>48.18545749978898</t>
  </si>
  <si>
    <t>48.18541474851281</t>
  </si>
  <si>
    <t>48.18537084184385</t>
  </si>
  <si>
    <t>48.18532577978588</t>
  </si>
  <si>
    <t>48.18523218951847</t>
  </si>
  <si>
    <t>48.18527956234277</t>
  </si>
  <si>
    <t>48.1851836613171</t>
  </si>
  <si>
    <t>48.18513397774274</t>
  </si>
  <si>
    <t>48.1850311444924</t>
  </si>
  <si>
    <t>48.185083138799726</t>
  </si>
  <si>
    <t>48.18497799482522</t>
  </si>
  <si>
    <t>48.18492368980275</t>
  </si>
  <si>
    <t>48.184811613710686</t>
  </si>
  <si>
    <t>48.18486822942963</t>
  </si>
  <si>
    <t>48.18475384265072</t>
  </si>
  <si>
    <t>48.184694916254685</t>
  </si>
  <si>
    <t>48.18457359747485</t>
  </si>
  <si>
    <t>48.184634834527685</t>
  </si>
  <si>
    <t>48.18451120510144</t>
  </si>
  <si>
    <t>48.18444765741281</t>
  </si>
  <si>
    <t>48.18438295441442</t>
  </si>
  <si>
    <t>48.18431709611182</t>
  </si>
  <si>
    <t>48.18425008251065</t>
  </si>
  <si>
    <t>48.1841819136167</t>
  </si>
  <si>
    <t>48.18411258943577</t>
  </si>
  <si>
    <t>48.18404210997385</t>
  </si>
  <si>
    <t>48.18397047523697</t>
  </si>
  <si>
    <t>48.18389768523128</t>
  </si>
  <si>
    <t>48.18382373996304</t>
  </si>
  <si>
    <t>48.183748639438605</t>
  </si>
  <si>
    <t>48.18367238366438</t>
  </si>
  <si>
    <t>48.183594972646944</t>
  </si>
  <si>
    <t>48.18351640639292</t>
  </si>
  <si>
    <t>48.1834366849091</t>
  </si>
  <si>
    <t>48.18327377627938</t>
  </si>
  <si>
    <t>48.18335580820225</t>
  </si>
  <si>
    <t>48.183190589147486</t>
  </si>
  <si>
    <t>48.18310624681372</t>
  </si>
  <si>
    <t>48.18302074928535</t>
  </si>
  <si>
    <t>48.18293409656967</t>
  </si>
  <si>
    <t>48.18284628867415</t>
  </si>
  <si>
    <t>48.18275732560628</t>
  </si>
  <si>
    <t>48.182667207373754</t>
  </si>
  <si>
    <t>48.18257593398428</t>
  </si>
  <si>
    <t>48.18248350544569</t>
  </si>
  <si>
    <t>48.1823899217659</t>
  </si>
  <si>
    <t>48.18229518295298</t>
  </si>
  <si>
    <t>48.18219928901503</t>
  </si>
  <si>
    <t>48.182102239960294</t>
  </si>
  <si>
    <t>48.182004035797085</t>
  </si>
  <si>
    <t>48.18180416217908</t>
  </si>
  <si>
    <t>48.18190467653385</t>
  </si>
  <si>
    <t>48.178638907022936</t>
  </si>
  <si>
    <t>48.17863775156041</t>
  </si>
  <si>
    <t>48.17863544063549</t>
  </si>
  <si>
    <t>48.17863197424834</t>
  </si>
  <si>
    <t>48.17862735239928</t>
  </si>
  <si>
    <t>48.17862157508869</t>
  </si>
  <si>
    <t>48.178614642317086</t>
  </si>
  <si>
    <t>48.17860655408504</t>
  </si>
  <si>
    <t>48.17859731039328</t>
  </si>
  <si>
    <t>48.17858691124257</t>
  </si>
  <si>
    <t>48.1785753566338</t>
  </si>
  <si>
    <t>48.178562646567975</t>
  </si>
  <si>
    <t>48.178548781046196</t>
  </si>
  <si>
    <t>48.17853376006963</t>
  </si>
  <si>
    <t>48.178517583639575</t>
  </si>
  <si>
    <t>48.178500251757434</t>
  </si>
  <si>
    <t>48.178481764424674</t>
  </si>
  <si>
    <t>48.1784621216429</t>
  </si>
  <si>
    <t>48.178441323413786</t>
  </si>
  <si>
    <t>48.1784193697391</t>
  </si>
  <si>
    <t>48.17839626062077</t>
  </si>
  <si>
    <t>48.17837199606076</t>
  </si>
  <si>
    <t>48.178346576061145</t>
  </si>
  <si>
    <t>48.17832000062411</t>
  </si>
  <si>
    <t>48.17829226975195</t>
  </si>
  <si>
    <t>48.178263383447025</t>
  </si>
  <si>
    <t>48.178233341711845</t>
  </si>
  <si>
    <t>48.17820214454893</t>
  </si>
  <si>
    <t>48.17816979196103</t>
  </si>
  <si>
    <t>48.178136283950884</t>
  </si>
  <si>
    <t>48.17810162052138</t>
  </si>
  <si>
    <t>48.17806580167549</t>
  </si>
  <si>
    <t>48.17802882741626</t>
  </si>
  <si>
    <t>48.177990697746914</t>
  </si>
  <si>
    <t>48.1779514126707</t>
  </si>
  <si>
    <t>48.177910972190986</t>
  </si>
  <si>
    <t>48.17786937631125</t>
  </si>
  <si>
    <t>48.17782662503508</t>
  </si>
  <si>
    <t>48.17778271836611</t>
  </si>
  <si>
    <t>48.17773765630813</t>
  </si>
  <si>
    <t>48.17769143886505</t>
  </si>
  <si>
    <t>48.177644066040756</t>
  </si>
  <si>
    <t>48.17759553783935</t>
  </si>
  <si>
    <t>48.177545854265006</t>
  </si>
  <si>
    <t>48.177495015321995</t>
  </si>
  <si>
    <t>48.17744302101466</t>
  </si>
  <si>
    <t>48.17738987134748</t>
  </si>
  <si>
    <t>48.17733556632501</t>
  </si>
  <si>
    <t>48.17728010595191</t>
  </si>
  <si>
    <t>48.17722349023294</t>
  </si>
  <si>
    <t>48.17716571917299</t>
  </si>
  <si>
    <t>48.17710679277697</t>
  </si>
  <si>
    <t>48.17704671104995</t>
  </si>
  <si>
    <t>48.17698547399712</t>
  </si>
  <si>
    <t>48.17685953393507</t>
  </si>
  <si>
    <t>48.176923081623706</t>
  </si>
  <si>
    <t>48.176794830936686</t>
  </si>
  <si>
    <t>48.176728972634095</t>
  </si>
  <si>
    <t>48.17666195903292</t>
  </si>
  <si>
    <t>48.17659379013895</t>
  </si>
  <si>
    <t>48.176524465958046</t>
  </si>
  <si>
    <t>48.17645398649611</t>
  </si>
  <si>
    <t>48.17638235175924</t>
  </si>
  <si>
    <t>48.17630956175355</t>
  </si>
  <si>
    <t>48.1762356164853</t>
  </si>
  <si>
    <t>48.176160515960866</t>
  </si>
  <si>
    <t>48.17608426018664</t>
  </si>
  <si>
    <t>48.17600684916921</t>
  </si>
  <si>
    <t>48.17584856143137</t>
  </si>
  <si>
    <t>48.1759282829152</t>
  </si>
  <si>
    <t>48.17576768472451</t>
  </si>
  <si>
    <t>48.17568565280164</t>
  </si>
  <si>
    <t>48.17560246566976</t>
  </si>
  <si>
    <t>48.17551812333599</t>
  </si>
  <si>
    <t>48.175432625807616</t>
  </si>
  <si>
    <t>48.175345973091936</t>
  </si>
  <si>
    <t>48.17516920212855</t>
  </si>
  <si>
    <t>48.17525816519641</t>
  </si>
  <si>
    <t>48.17507908389602</t>
  </si>
  <si>
    <t>48.17498781050654</t>
  </si>
  <si>
    <t>48.17489538196794</t>
  </si>
  <si>
    <t>48.17480179828817</t>
  </si>
  <si>
    <t>48.174707059475246</t>
  </si>
  <si>
    <t>48.1746111655373</t>
  </si>
  <si>
    <t>48.17451411648256</t>
  </si>
  <si>
    <t>48.17441591231935</t>
  </si>
  <si>
    <t>48.17431655305611</t>
  </si>
  <si>
    <t>48.17421603870135</t>
  </si>
  <si>
    <t>48.17105078354519</t>
  </si>
  <si>
    <t>48.171049628082685</t>
  </si>
  <si>
    <t>48.17104731715776</t>
  </si>
  <si>
    <t>48.171043850770594</t>
  </si>
  <si>
    <t>48.17103922892155</t>
  </si>
  <si>
    <t>48.17103345161096</t>
  </si>
  <si>
    <t>48.17101843060732</t>
  </si>
  <si>
    <t>48.171026518839355</t>
  </si>
  <si>
    <t>48.17100918691555</t>
  </si>
  <si>
    <t>48.17099878776484</t>
  </si>
  <si>
    <t>48.17098723315607</t>
  </si>
  <si>
    <t>48.17097452309024</t>
  </si>
  <si>
    <t>48.17096065756845</t>
  </si>
  <si>
    <t>48.170945636591895</t>
  </si>
  <si>
    <t>48.170929460161844</t>
  </si>
  <si>
    <t>48.170912128279696</t>
  </si>
  <si>
    <t>48.170893640946936</t>
  </si>
  <si>
    <t>48.17087399816516</t>
  </si>
  <si>
    <t>48.17085319993604</t>
  </si>
  <si>
    <t>48.170831246261365</t>
  </si>
  <si>
    <t>48.170808137143034</t>
  </si>
  <si>
    <t>48.170783872583016</t>
  </si>
  <si>
    <t>48.17075845258341</t>
  </si>
  <si>
    <t>48.170731877146366</t>
  </si>
  <si>
    <t>48.17070414627421</t>
  </si>
  <si>
    <t>48.17067525996928</t>
  </si>
  <si>
    <t>48.1706452182341</t>
  </si>
  <si>
    <t>48.1706140210712</t>
  </si>
  <si>
    <t>48.170581668483294</t>
  </si>
  <si>
    <t>48.170548160473146</t>
  </si>
  <si>
    <t>48.17051349704364</t>
  </si>
  <si>
    <t>48.17047767819774</t>
  </si>
  <si>
    <t>48.17044070393854</t>
  </si>
  <si>
    <t>48.17040257426917</t>
  </si>
  <si>
    <t>48.17036328919295</t>
  </si>
  <si>
    <t>48.17032284871325</t>
  </si>
  <si>
    <t>48.170281252833526</t>
  </si>
  <si>
    <t>48.17023850155734</t>
  </si>
  <si>
    <t>48.17019459488837</t>
  </si>
  <si>
    <t>48.17014953283041</t>
  </si>
  <si>
    <t>48.17005594256301</t>
  </si>
  <si>
    <t>48.1701033153873</t>
  </si>
  <si>
    <t>48.17000741436161</t>
  </si>
  <si>
    <t>48.169957730787274</t>
  </si>
  <si>
    <t>48.169906891844256</t>
  </si>
  <si>
    <t>48.16985489753692</t>
  </si>
  <si>
    <t>48.16980174786975</t>
  </si>
  <si>
    <t>48.169747442847274</t>
  </si>
  <si>
    <t>48.16969198247418</t>
  </si>
  <si>
    <t>48.169635366755216</t>
  </si>
  <si>
    <t>48.169577595695245</t>
  </si>
  <si>
    <t>48.16951866929922</t>
  </si>
  <si>
    <t>48.16945858757222</t>
  </si>
  <si>
    <t>48.16939735051939</t>
  </si>
  <si>
    <t>48.16933495814597</t>
  </si>
  <si>
    <t>48.16927141045734</t>
  </si>
  <si>
    <t>48.169140849156356</t>
  </si>
  <si>
    <t>48.16920670745894</t>
  </si>
  <si>
    <t>48.16907383555519</t>
  </si>
  <si>
    <t>48.169005666661214</t>
  </si>
  <si>
    <t>48.1689363424803</t>
  </si>
  <si>
    <t>48.16886586301838</t>
  </si>
  <si>
    <t>48.168794228281506</t>
  </si>
  <si>
    <t>48.16872143827582</t>
  </si>
  <si>
    <t>48.168647493007576</t>
  </si>
  <si>
    <t>48.16857239248313</t>
  </si>
  <si>
    <t>48.16849613670891</t>
  </si>
  <si>
    <t>48.16841872569147</t>
  </si>
  <si>
    <t>48.16834015943746</t>
  </si>
  <si>
    <t>48.16826043795363</t>
  </si>
  <si>
    <t>48.168097529323894</t>
  </si>
  <si>
    <t>48.168179561246774</t>
  </si>
  <si>
    <t>48.16801434219202</t>
  </si>
  <si>
    <t>48.167929999858266</t>
  </si>
  <si>
    <t>48.16775784961419</t>
  </si>
  <si>
    <t>48.16784450232988</t>
  </si>
  <si>
    <t>48.167670041718665</t>
  </si>
  <si>
    <t>48.167581078650805</t>
  </si>
  <si>
    <t>48.167490960418284</t>
  </si>
  <si>
    <t>48.16739968702881</t>
  </si>
  <si>
    <t>48.16730725849021</t>
  </si>
  <si>
    <t>48.16721367481044</t>
  </si>
  <si>
    <t>48.16711893599749</t>
  </si>
  <si>
    <t>48.16702304205956</t>
  </si>
  <si>
    <t>48.166925993004824</t>
  </si>
  <si>
    <t>48.16682778884161</t>
  </si>
  <si>
    <t>48.16672842957837</t>
  </si>
  <si>
    <t>48.16662791522361</t>
  </si>
  <si>
    <t>48.16346266006747</t>
  </si>
  <si>
    <t>48.163461504604946</t>
  </si>
  <si>
    <t>48.163459193680026</t>
  </si>
  <si>
    <t>48.16345572729287</t>
  </si>
  <si>
    <t>48.163451105443826</t>
  </si>
  <si>
    <t>48.16344532813322</t>
  </si>
  <si>
    <t>48.16343839536162</t>
  </si>
  <si>
    <t>48.16343030712958</t>
  </si>
  <si>
    <t>48.16342106343781</t>
  </si>
  <si>
    <t>48.163410664287106</t>
  </si>
  <si>
    <t>48.16339910967833</t>
  </si>
  <si>
    <t>48.16338639961252</t>
  </si>
  <si>
    <t>48.16337253409072</t>
  </si>
  <si>
    <t>48.163357513114164</t>
  </si>
  <si>
    <t>48.16332400480196</t>
  </si>
  <si>
    <t>48.16334133668411</t>
  </si>
  <si>
    <t>48.163305517469205</t>
  </si>
  <si>
    <t>48.163285874687425</t>
  </si>
  <si>
    <t>48.1632650764583</t>
  </si>
  <si>
    <t>48.163243122783626</t>
  </si>
  <si>
    <t>48.16322001366531</t>
  </si>
  <si>
    <t>48.16319574910529</t>
  </si>
  <si>
    <t>48.163170329105675</t>
  </si>
  <si>
    <t>48.16314375366864</t>
  </si>
  <si>
    <t>48.16311602279648</t>
  </si>
  <si>
    <t>48.163087136491555</t>
  </si>
  <si>
    <t>48.163057094756375</t>
  </si>
  <si>
    <t>48.16302589759348</t>
  </si>
  <si>
    <t>48.16299354500557</t>
  </si>
  <si>
    <t>48.16296003699541</t>
  </si>
  <si>
    <t>48.162925373565905</t>
  </si>
  <si>
    <t>48.16288955472001</t>
  </si>
  <si>
    <t>48.16285258046079</t>
  </si>
  <si>
    <t>48.162814450791444</t>
  </si>
  <si>
    <t>48.16277516571522</t>
  </si>
  <si>
    <t>48.162734725235524</t>
  </si>
  <si>
    <t>48.162693129355794</t>
  </si>
  <si>
    <t>48.16265037807962</t>
  </si>
  <si>
    <t>48.16260647141065</t>
  </si>
  <si>
    <t>48.162561409352676</t>
  </si>
  <si>
    <t>48.16246781908528</t>
  </si>
  <si>
    <t>48.16251519190956</t>
  </si>
  <si>
    <t>48.16241929088389</t>
  </si>
  <si>
    <t>48.16236960730954</t>
  </si>
  <si>
    <t>48.16231876836652</t>
  </si>
  <si>
    <t>48.16226677405919</t>
  </si>
  <si>
    <t>48.16221362439201</t>
  </si>
  <si>
    <t>48.16215931936954</t>
  </si>
  <si>
    <t>48.16210385899644</t>
  </si>
  <si>
    <t>48.162047243277485</t>
  </si>
  <si>
    <t>48.161989472217506</t>
  </si>
  <si>
    <t>48.16193054582149</t>
  </si>
  <si>
    <t>48.16187046409449</t>
  </si>
  <si>
    <t>48.16180922704165</t>
  </si>
  <si>
    <t>48.16174683466824</t>
  </si>
  <si>
    <t>48.16168328697961</t>
  </si>
  <si>
    <t>48.161618583981216</t>
  </si>
  <si>
    <t>48.16155272567862</t>
  </si>
  <si>
    <t>48.16148571207746</t>
  </si>
  <si>
    <t>48.16141754318349</t>
  </si>
  <si>
    <t>48.161348219002576</t>
  </si>
  <si>
    <t>48.16127773954065</t>
  </si>
  <si>
    <t>48.161206104803775</t>
  </si>
  <si>
    <t>48.16113331479807</t>
  </si>
  <si>
    <t>48.1609842690054</t>
  </si>
  <si>
    <t>48.16105936952984</t>
  </si>
  <si>
    <t>48.16090801323117</t>
  </si>
  <si>
    <t>48.16083060221374</t>
  </si>
  <si>
    <t>48.160672314475896</t>
  </si>
  <si>
    <t>48.16075203595973</t>
  </si>
  <si>
    <t>48.16059143776904</t>
  </si>
  <si>
    <t>48.16050940584617</t>
  </si>
  <si>
    <t>48.16042621871429</t>
  </si>
  <si>
    <t>48.16034187638053</t>
  </si>
  <si>
    <t>48.16025637885214</t>
  </si>
  <si>
    <t>48.16016972613646</t>
  </si>
  <si>
    <t>48.16008191824094</t>
  </si>
  <si>
    <t>48.15999295517309</t>
  </si>
  <si>
    <t>48.15990283694055</t>
  </si>
  <si>
    <t>48.159811563551074</t>
  </si>
  <si>
    <t>48.15971913501247</t>
  </si>
  <si>
    <t>48.15962555133271</t>
  </si>
  <si>
    <t>48.15953081251977</t>
  </si>
  <si>
    <t>48.15943491858183</t>
  </si>
  <si>
    <t>48.159337869527086</t>
  </si>
  <si>
    <t>48.15923966536387</t>
  </si>
  <si>
    <t>48.15914030610064</t>
  </si>
  <si>
    <t>48.15903979174588</t>
  </si>
  <si>
    <t>48.155873381127215</t>
  </si>
  <si>
    <t>48.15587453658973</t>
  </si>
  <si>
    <t>48.15587107020228</t>
  </si>
  <si>
    <t>48.15586760381514</t>
  </si>
  <si>
    <t>48.1558572046555</t>
  </si>
  <si>
    <t>48.155862981966074</t>
  </si>
  <si>
    <t>48.155850271883885</t>
  </si>
  <si>
    <t>48.15584218365185</t>
  </si>
  <si>
    <t>48.15583293996008</t>
  </si>
  <si>
    <t>48.155822540809375</t>
  </si>
  <si>
    <t>48.1558109862006</t>
  </si>
  <si>
    <t>48.15579827613478</t>
  </si>
  <si>
    <t>48.15578441061299</t>
  </si>
  <si>
    <t>48.155769389636426</t>
  </si>
  <si>
    <t>48.15573588132422</t>
  </si>
  <si>
    <t>48.155753213206374</t>
  </si>
  <si>
    <t>48.15571739399148</t>
  </si>
  <si>
    <t>48.1556977512097</t>
  </si>
  <si>
    <t>48.15567695298058</t>
  </si>
  <si>
    <t>48.155654999305895</t>
  </si>
  <si>
    <t>48.155631890187564</t>
  </si>
  <si>
    <t>48.15560762562756</t>
  </si>
  <si>
    <t>48.15558220562794</t>
  </si>
  <si>
    <t>48.155555630190904</t>
  </si>
  <si>
    <t>48.15552789931874</t>
  </si>
  <si>
    <t>48.15549901301382</t>
  </si>
  <si>
    <t>48.155468971278644</t>
  </si>
  <si>
    <t>48.15543777411574</t>
  </si>
  <si>
    <t>48.15540542152784</t>
  </si>
  <si>
    <t>48.155371913517676</t>
  </si>
  <si>
    <t>48.15533725008817</t>
  </si>
  <si>
    <t>48.15530143124228</t>
  </si>
  <si>
    <t>48.15526445698306</t>
  </si>
  <si>
    <t>48.15522632731372</t>
  </si>
  <si>
    <t>48.155187042237486</t>
  </si>
  <si>
    <t>48.1551466017578</t>
  </si>
  <si>
    <t>48.15510500587805</t>
  </si>
  <si>
    <t>48.15506225460187</t>
  </si>
  <si>
    <t>48.155018347932916</t>
  </si>
  <si>
    <t>48.15497328587494</t>
  </si>
  <si>
    <t>48.15492706843183</t>
  </si>
  <si>
    <t>48.15487969560754</t>
  </si>
  <si>
    <t>48.154831167406165</t>
  </si>
  <si>
    <t>48.154781483831805</t>
  </si>
  <si>
    <t>48.154730644888794</t>
  </si>
  <si>
    <t>48.15467865058146</t>
  </si>
  <si>
    <t>48.15462550091428</t>
  </si>
  <si>
    <t>48.15457119589181</t>
  </si>
  <si>
    <t>48.1545157355187</t>
  </si>
  <si>
    <t>48.154459119799746</t>
  </si>
  <si>
    <t>48.15440134873978</t>
  </si>
  <si>
    <t>48.15434242234375</t>
  </si>
  <si>
    <t>48.15428234061675</t>
  </si>
  <si>
    <t>48.15422110356392</t>
  </si>
  <si>
    <t>48.1541587111905</t>
  </si>
  <si>
    <t>48.15409516350187</t>
  </si>
  <si>
    <t>48.15396460220089</t>
  </si>
  <si>
    <t>48.15403046050348</t>
  </si>
  <si>
    <t>48.15389758859972</t>
  </si>
  <si>
    <t>48.153829419705765</t>
  </si>
  <si>
    <t>48.15376009552484</t>
  </si>
  <si>
    <t>48.15368961606291</t>
  </si>
  <si>
    <t>48.15361798132603</t>
  </si>
  <si>
    <t>48.15354519132035</t>
  </si>
  <si>
    <t>48.153471246052106</t>
  </si>
  <si>
    <t>48.15339614552766</t>
  </si>
  <si>
    <t>48.15331988975344</t>
  </si>
  <si>
    <t>48.153242478736004</t>
  </si>
  <si>
    <t>48.15316391248199</t>
  </si>
  <si>
    <t>48.15308419099816</t>
  </si>
  <si>
    <t>48.153003314291304</t>
  </si>
  <si>
    <t>48.15292128236843</t>
  </si>
  <si>
    <t>48.15275375290279</t>
  </si>
  <si>
    <t>48.15283809523656</t>
  </si>
  <si>
    <t>48.1526682553744</t>
  </si>
  <si>
    <t>48.15258160265873</t>
  </si>
  <si>
    <t>48.1524937947632</t>
  </si>
  <si>
    <t>48.15240483169534</t>
  </si>
  <si>
    <t>48.15231471346282</t>
  </si>
  <si>
    <t>48.15222344007334</t>
  </si>
  <si>
    <t>48.15203742785497</t>
  </si>
  <si>
    <t>48.152131011534735</t>
  </si>
  <si>
    <t>48.15194268904204</t>
  </si>
  <si>
    <t>48.15184679510409</t>
  </si>
  <si>
    <t>48.15174974604935</t>
  </si>
  <si>
    <t>48.15165154188614</t>
  </si>
  <si>
    <t>48.15155218262291</t>
  </si>
  <si>
    <t>48.15145166826815</t>
  </si>
  <si>
    <t>48.148285257649476</t>
  </si>
  <si>
    <t>48.148286413112</t>
  </si>
  <si>
    <t>48.14828294672455</t>
  </si>
  <si>
    <t>48.14827948033741</t>
  </si>
  <si>
    <t>48.14827485848835</t>
  </si>
  <si>
    <t>48.148269081177766</t>
  </si>
  <si>
    <t>48.148262148406154</t>
  </si>
  <si>
    <t>48.14825406017412</t>
  </si>
  <si>
    <t>48.148234417331636</t>
  </si>
  <si>
    <t>48.14824481648234</t>
  </si>
  <si>
    <t>48.14822286272287</t>
  </si>
  <si>
    <t>48.14821015265704</t>
  </si>
  <si>
    <t>48.14819628713526</t>
  </si>
  <si>
    <t>48.14818126615869</t>
  </si>
  <si>
    <t>48.14816508972864</t>
  </si>
  <si>
    <t>48.1481477578465</t>
  </si>
  <si>
    <t>48.14812927051374</t>
  </si>
  <si>
    <t>48.14810962773196</t>
  </si>
  <si>
    <t>48.148088829502846</t>
  </si>
  <si>
    <t>48.14806687582816</t>
  </si>
  <si>
    <t>48.14804376670984</t>
  </si>
  <si>
    <t>48.14801950214983</t>
  </si>
  <si>
    <t>48.14799408215021</t>
  </si>
  <si>
    <t>48.14796750671317</t>
  </si>
  <si>
    <t>48.14793977584102</t>
  </si>
  <si>
    <t>48.147910889536085</t>
  </si>
  <si>
    <t>48.14788084780092</t>
  </si>
  <si>
    <t>48.147849650638015</t>
  </si>
  <si>
    <t>48.1478172980501</t>
  </si>
  <si>
    <t>48.14778379003995</t>
  </si>
  <si>
    <t>48.14774912661044</t>
  </si>
  <si>
    <t>48.147713307764555</t>
  </si>
  <si>
    <t>48.14767633350533</t>
  </si>
  <si>
    <t>48.14763820383598</t>
  </si>
  <si>
    <t>48.14759891875976</t>
  </si>
  <si>
    <t>48.14755847828006</t>
  </si>
  <si>
    <t>48.14751688240032</t>
  </si>
  <si>
    <t>48.14747413112415</t>
  </si>
  <si>
    <t>48.147385162397214</t>
  </si>
  <si>
    <t>48.14743022445519</t>
  </si>
  <si>
    <t>48.1473389449541</t>
  </si>
  <si>
    <t>48.14729157212981</t>
  </si>
  <si>
    <t>48.147243043928434</t>
  </si>
  <si>
    <t>48.14719336035407</t>
  </si>
  <si>
    <t>48.147142521411055</t>
  </si>
  <si>
    <t>48.14709052710373</t>
  </si>
  <si>
    <t>48.14698307241409</t>
  </si>
  <si>
    <t>48.14703737743655</t>
  </si>
  <si>
    <t>48.14692761204098</t>
  </si>
  <si>
    <t>48.146870996322015</t>
  </si>
  <si>
    <t>48.14681322526204</t>
  </si>
  <si>
    <t>48.14675429886603</t>
  </si>
  <si>
    <t>48.14669421713903</t>
  </si>
  <si>
    <t>48.14663298008619</t>
  </si>
  <si>
    <t>48.14657058771277</t>
  </si>
  <si>
    <t>48.14650704002415</t>
  </si>
  <si>
    <t>48.14644233702575</t>
  </si>
  <si>
    <t>48.146376478723155</t>
  </si>
  <si>
    <t>48.14630946512198</t>
  </si>
  <si>
    <t>48.14624129622802</t>
  </si>
  <si>
    <t>48.14617197204711</t>
  </si>
  <si>
    <t>48.14610149258519</t>
  </si>
  <si>
    <t>48.146029857848305</t>
  </si>
  <si>
    <t>48.14595706784261</t>
  </si>
  <si>
    <t>48.14580802204993</t>
  </si>
  <si>
    <t>48.145883122574375</t>
  </si>
  <si>
    <t>48.145654355258266</t>
  </si>
  <si>
    <t>48.145731766275716</t>
  </si>
  <si>
    <t>48.14557578900426</t>
  </si>
  <si>
    <t>48.145496067520426</t>
  </si>
  <si>
    <t>48.14541519081359</t>
  </si>
  <si>
    <t>48.1453331588907</t>
  </si>
  <si>
    <t>48.14524997175884</t>
  </si>
  <si>
    <t>48.14516562942506</t>
  </si>
  <si>
    <t>48.14508013189668</t>
  </si>
  <si>
    <t>48.144993479181</t>
  </si>
  <si>
    <t>48.14490567128548</t>
  </si>
  <si>
    <t>48.14481670821761</t>
  </si>
  <si>
    <t>48.14472658998509</t>
  </si>
  <si>
    <t>48.14463531659561</t>
  </si>
  <si>
    <t>48.144542888057</t>
  </si>
  <si>
    <t>48.14444930437724</t>
  </si>
  <si>
    <t>48.144354565564306</t>
  </si>
  <si>
    <t>48.14425867162637</t>
  </si>
  <si>
    <t>48.14406341840841</t>
  </si>
  <si>
    <t>48.144161622571616</t>
  </si>
  <si>
    <t>48.14396405914517</t>
  </si>
  <si>
    <t>48.14386354479042</t>
  </si>
  <si>
    <t>48.140698289634265</t>
  </si>
  <si>
    <t>48.140697134171745</t>
  </si>
  <si>
    <t>48.14069135685966</t>
  </si>
  <si>
    <t>48.14069482324682</t>
  </si>
  <si>
    <t>48.140680957700035</t>
  </si>
  <si>
    <t>48.14068673501061</t>
  </si>
  <si>
    <t>48.14067402492842</t>
  </si>
  <si>
    <t>48.14066593669638</t>
  </si>
  <si>
    <t>48.1406462938539</t>
  </si>
  <si>
    <t>48.14065669300461</t>
  </si>
  <si>
    <t>48.14063473924514</t>
  </si>
  <si>
    <t>48.14062202917931</t>
  </si>
  <si>
    <t>48.140608163657525</t>
  </si>
  <si>
    <t>48.140593142680956</t>
  </si>
  <si>
    <t>48.14057696625091</t>
  </si>
  <si>
    <t>48.14055963436876</t>
  </si>
  <si>
    <t>48.140541147036004</t>
  </si>
  <si>
    <t>48.14052150425423</t>
  </si>
  <si>
    <t>48.140500706025115</t>
  </si>
  <si>
    <t>48.14047875235043</t>
  </si>
  <si>
    <t>48.1404556432321</t>
  </si>
  <si>
    <t>48.14043137867209</t>
  </si>
  <si>
    <t>48.140405958672474</t>
  </si>
  <si>
    <t>48.14037938323544</t>
  </si>
  <si>
    <t>48.14035165236327</t>
  </si>
  <si>
    <t>48.140322766058354</t>
  </si>
  <si>
    <t>48.14029272432318</t>
  </si>
  <si>
    <t>48.14026152716028</t>
  </si>
  <si>
    <t>48.140229174572355</t>
  </si>
  <si>
    <t>48.140195666562214</t>
  </si>
  <si>
    <t>48.14016100313271</t>
  </si>
  <si>
    <t>48.14012518428681</t>
  </si>
  <si>
    <t>48.140088210027606</t>
  </si>
  <si>
    <t>48.14005008035824</t>
  </si>
  <si>
    <t>48.14001079528203</t>
  </si>
  <si>
    <t>48.13997035480232</t>
  </si>
  <si>
    <t>48.13992875892258</t>
  </si>
  <si>
    <t>48.13988600764642</t>
  </si>
  <si>
    <t>48.13984210097744</t>
  </si>
  <si>
    <t>48.139797038919475</t>
  </si>
  <si>
    <t>48.13975082147637</t>
  </si>
  <si>
    <t>48.13970344865207</t>
  </si>
  <si>
    <t>48.13965492045069</t>
  </si>
  <si>
    <t>48.139605236876335</t>
  </si>
  <si>
    <t>48.13955439793332</t>
  </si>
  <si>
    <t>48.13950240362599</t>
  </si>
  <si>
    <t>48.13939494893635</t>
  </si>
  <si>
    <t>48.13944925395881</t>
  </si>
  <si>
    <t>48.139339488563245</t>
  </si>
  <si>
    <t>48.13928287284428</t>
  </si>
  <si>
    <t>48.1391661753883</t>
  </si>
  <si>
    <t>48.13922510178431</t>
  </si>
  <si>
    <t>48.13910609366128</t>
  </si>
  <si>
    <t>48.139044856608464</t>
  </si>
  <si>
    <t>48.138982464235035</t>
  </si>
  <si>
    <t>48.1389189165464</t>
  </si>
  <si>
    <t>48.13885421354802</t>
  </si>
  <si>
    <t>48.13878835524542</t>
  </si>
  <si>
    <t>48.13872134164424</t>
  </si>
  <si>
    <t>48.13865317275029</t>
  </si>
  <si>
    <t>48.13858384856937</t>
  </si>
  <si>
    <t>48.13851336910746</t>
  </si>
  <si>
    <t>48.13844173437056</t>
  </si>
  <si>
    <t>48.138368944364885</t>
  </si>
  <si>
    <t>48.13829499909664</t>
  </si>
  <si>
    <t>48.1382198985722</t>
  </si>
  <si>
    <t>48.13814364279798</t>
  </si>
  <si>
    <t>48.138066231780535</t>
  </si>
  <si>
    <t>48.137907944042695</t>
  </si>
  <si>
    <t>48.13798766552652</t>
  </si>
  <si>
    <t>48.13782706733584</t>
  </si>
  <si>
    <t>48.13774503541296</t>
  </si>
  <si>
    <t>48.13766184828109</t>
  </si>
  <si>
    <t>48.13757750594732</t>
  </si>
  <si>
    <t>48.137405355703265</t>
  </si>
  <si>
    <t>48.137492008418945</t>
  </si>
  <si>
    <t>48.13722858473988</t>
  </si>
  <si>
    <t>48.13731754780774</t>
  </si>
  <si>
    <t>48.13713846650735</t>
  </si>
  <si>
    <t>48.13704719311788</t>
  </si>
  <si>
    <t>48.13695476457928</t>
  </si>
  <si>
    <t>48.13686118089951</t>
  </si>
  <si>
    <t>48.13676644208658</t>
  </si>
  <si>
    <t>48.136670548148636</t>
  </si>
  <si>
    <t>48.136475294930676</t>
  </si>
  <si>
    <t>48.136573499093885</t>
  </si>
  <si>
    <t>48.13637593566743</t>
  </si>
  <si>
    <t>48.13627542131268</t>
  </si>
  <si>
    <t>48.133110166156534</t>
  </si>
  <si>
    <t>48.13310901069401</t>
  </si>
  <si>
    <t>48.13310669976909</t>
  </si>
  <si>
    <t>48.13310323338194</t>
  </si>
  <si>
    <t>48.133092834222296</t>
  </si>
  <si>
    <t>48.13309861153288</t>
  </si>
  <si>
    <t>48.133085901450684</t>
  </si>
  <si>
    <t>48.13307781321865</t>
  </si>
  <si>
    <t>48.13306856952688</t>
  </si>
  <si>
    <t>48.133058170376174</t>
  </si>
  <si>
    <t>48.13304661576739</t>
  </si>
  <si>
    <t>48.13303390570157</t>
  </si>
  <si>
    <t>48.13302004017979</t>
  </si>
  <si>
    <t>48.133005019203225</t>
  </si>
  <si>
    <t>48.13298884277317</t>
  </si>
  <si>
    <t>48.13297151089103</t>
  </si>
  <si>
    <t>48.13295302355827</t>
  </si>
  <si>
    <t>48.132933380776485</t>
  </si>
  <si>
    <t>48.13291258254737</t>
  </si>
  <si>
    <t>48.132890628872694</t>
  </si>
  <si>
    <t>48.13286751975436</t>
  </si>
  <si>
    <t>48.13284325519435</t>
  </si>
  <si>
    <t>48.13281783519474</t>
  </si>
  <si>
    <t>48.1327912597577</t>
  </si>
  <si>
    <t>48.13276352888554</t>
  </si>
  <si>
    <t>48.132734642580616</t>
  </si>
  <si>
    <t>48.132704600845436</t>
  </si>
  <si>
    <t>48.13267340368253</t>
  </si>
  <si>
    <t>48.132641051094616</t>
  </si>
  <si>
    <t>48.132607543084475</t>
  </si>
  <si>
    <t>48.13257287965498</t>
  </si>
  <si>
    <t>48.13253706080907</t>
  </si>
  <si>
    <t>48.13250008654987</t>
  </si>
  <si>
    <t>48.13246195688051</t>
  </si>
  <si>
    <t>48.132422671804285</t>
  </si>
  <si>
    <t>48.13238223132458</t>
  </si>
  <si>
    <t>48.13234063544485</t>
  </si>
  <si>
    <t>48.13229788416867</t>
  </si>
  <si>
    <t>48.13225397749971</t>
  </si>
  <si>
    <t>48.13220891544174</t>
  </si>
  <si>
    <t>48.13216269799862</t>
  </si>
  <si>
    <t>48.13211532517433</t>
  </si>
  <si>
    <t>48.13206679697295</t>
  </si>
  <si>
    <t>48.132017113398604</t>
  </si>
  <si>
    <t>48.13196627445558</t>
  </si>
  <si>
    <t>48.13191428014826</t>
  </si>
  <si>
    <t>48.13186113048107</t>
  </si>
  <si>
    <t>48.131806825458604</t>
  </si>
  <si>
    <t>48.1317513650855</t>
  </si>
  <si>
    <t>48.131694749366545</t>
  </si>
  <si>
    <t>48.13157805191056</t>
  </si>
  <si>
    <t>48.13163697830658</t>
  </si>
  <si>
    <t>48.13151797018355</t>
  </si>
  <si>
    <t>48.13145673313071</t>
  </si>
  <si>
    <t>48.131394340757296</t>
  </si>
  <si>
    <t>48.13133079306867</t>
  </si>
  <si>
    <t>48.131266090070284</t>
  </si>
  <si>
    <t>48.13120023176769</t>
  </si>
  <si>
    <t>48.13113321816651</t>
  </si>
  <si>
    <t>48.13106504927254</t>
  </si>
  <si>
    <t>48.13092524562971</t>
  </si>
  <si>
    <t>48.13099572509163</t>
  </si>
  <si>
    <t>48.13085361089283</t>
  </si>
  <si>
    <t>48.13078082088714</t>
  </si>
  <si>
    <t>48.1307068756189</t>
  </si>
  <si>
    <t>48.13063177509446</t>
  </si>
  <si>
    <t>48.13055551932023</t>
  </si>
  <si>
    <t>48.1304781083028</t>
  </si>
  <si>
    <t>48.130399542048785</t>
  </si>
  <si>
    <t>48.13031982056495</t>
  </si>
  <si>
    <t>48.13023894385812</t>
  </si>
  <si>
    <t>48.13015691193523</t>
  </si>
  <si>
    <t>48.130073724803346</t>
  </si>
  <si>
    <t>48.12998938246959</t>
  </si>
  <si>
    <t>48.129903884941214</t>
  </si>
  <si>
    <t>48.12981723222553</t>
  </si>
  <si>
    <t>48.129729424329994</t>
  </si>
  <si>
    <t>48.12964046126214</t>
  </si>
  <si>
    <t>48.12955034302962</t>
  </si>
  <si>
    <t>48.12945906964014</t>
  </si>
  <si>
    <t>48.12936664110154</t>
  </si>
  <si>
    <t>48.12927305742177</t>
  </si>
  <si>
    <t>48.12917831860884</t>
  </si>
  <si>
    <t>48.12908242467089</t>
  </si>
  <si>
    <t>48.128985375616146</t>
  </si>
  <si>
    <t>48.12888717145294</t>
  </si>
  <si>
    <t>48.1287878121897</t>
  </si>
  <si>
    <t>48.128687297834944</t>
  </si>
  <si>
    <t>48.1255220426788</t>
  </si>
  <si>
    <t>48.125520887216275</t>
  </si>
  <si>
    <t>48.125518576291356</t>
  </si>
  <si>
    <t>48.125515109904214</t>
  </si>
  <si>
    <t>48.125504710744565</t>
  </si>
  <si>
    <t>48.12551048805515</t>
  </si>
  <si>
    <t>48.12549777797295</t>
  </si>
  <si>
    <t>48.125489689740924</t>
  </si>
  <si>
    <t>48.12548044604914</t>
  </si>
  <si>
    <t>48.125470046898435</t>
  </si>
  <si>
    <t>48.12545849228966</t>
  </si>
  <si>
    <t>48.125445782223835</t>
  </si>
  <si>
    <t>48.12543191670206</t>
  </si>
  <si>
    <t>48.12541689572549</t>
  </si>
  <si>
    <t>48.12540071929545</t>
  </si>
  <si>
    <t>48.125383387413294</t>
  </si>
  <si>
    <t>48.125364900080534</t>
  </si>
  <si>
    <t>48.12534525729876</t>
  </si>
  <si>
    <t>48.12532445906964</t>
  </si>
  <si>
    <t>48.12530250539496</t>
  </si>
  <si>
    <t>48.12527939627664</t>
  </si>
  <si>
    <t>48.12525513171662</t>
  </si>
  <si>
    <t>48.125229711717</t>
  </si>
  <si>
    <t>48.125203136279964</t>
  </si>
  <si>
    <t>48.12517540540781</t>
  </si>
  <si>
    <t>48.12514651910288</t>
  </si>
  <si>
    <t>48.125116477367705</t>
  </si>
  <si>
    <t>48.1250852802048</t>
  </si>
  <si>
    <t>48.1250529276169</t>
  </si>
  <si>
    <t>48.12501941960675</t>
  </si>
  <si>
    <t>48.12498475617724</t>
  </si>
  <si>
    <t>48.12494893733134</t>
  </si>
  <si>
    <t>48.12491196307213</t>
  </si>
  <si>
    <t>48.12487383340278</t>
  </si>
  <si>
    <t>48.124834548326554</t>
  </si>
  <si>
    <t>48.12479410784686</t>
  </si>
  <si>
    <t>48.12475251196712</t>
  </si>
  <si>
    <t>48.12470976069095</t>
  </si>
  <si>
    <t>48.12466585402197</t>
  </si>
  <si>
    <t>48.12462079196401</t>
  </si>
  <si>
    <t>48.1245745745209</t>
  </si>
  <si>
    <t>48.1245272016966</t>
  </si>
  <si>
    <t>48.12442898992087</t>
  </si>
  <si>
    <t>48.12447867349522</t>
  </si>
  <si>
    <t>48.12437815097785</t>
  </si>
  <si>
    <t>48.12432615667053</t>
  </si>
  <si>
    <t>48.12427300700334</t>
  </si>
  <si>
    <t>48.12421870198088</t>
  </si>
  <si>
    <t>48.12416324160777</t>
  </si>
  <si>
    <t>48.12410662588881</t>
  </si>
  <si>
    <t>48.12404885482885</t>
  </si>
  <si>
    <t>48.12398992843282</t>
  </si>
  <si>
    <t>48.12392984670583</t>
  </si>
  <si>
    <t>48.12386860965298</t>
  </si>
  <si>
    <t>48.123806217279565</t>
  </si>
  <si>
    <t>48.123742669590946</t>
  </si>
  <si>
    <t>48.123677966592545</t>
  </si>
  <si>
    <t>48.12361210828996</t>
  </si>
  <si>
    <t>48.12354509468879</t>
  </si>
  <si>
    <t>48.12347692579481</t>
  </si>
  <si>
    <t>48.12333712215197</t>
  </si>
  <si>
    <t>48.123407601613906</t>
  </si>
  <si>
    <t>48.1232654874151</t>
  </si>
  <si>
    <t>48.123192697409415</t>
  </si>
  <si>
    <t>48.12311875214117</t>
  </si>
  <si>
    <t>48.123043651616726</t>
  </si>
  <si>
    <t>48.12288998482508</t>
  </si>
  <si>
    <t>48.12296739584251</t>
  </si>
  <si>
    <t>48.12281141857106</t>
  </si>
  <si>
    <t>48.122731697087225</t>
  </si>
  <si>
    <t>48.12265082038038</t>
  </si>
  <si>
    <t>48.1225687884575</t>
  </si>
  <si>
    <t>48.12248560132562</t>
  </si>
  <si>
    <t>48.12240125899186</t>
  </si>
  <si>
    <t>48.12231576146348</t>
  </si>
  <si>
    <t>48.12222910874779</t>
  </si>
  <si>
    <t>48.1220523377844</t>
  </si>
  <si>
    <t>48.12214130085228</t>
  </si>
  <si>
    <t>48.121962219551875</t>
  </si>
  <si>
    <t>48.1218709461624</t>
  </si>
  <si>
    <t>48.121778517623795</t>
  </si>
  <si>
    <t>48.121684933944046</t>
  </si>
  <si>
    <t>48.1215901951311</t>
  </si>
  <si>
    <t>48.12149430119315</t>
  </si>
  <si>
    <t>48.121397252138415</t>
  </si>
  <si>
    <t>48.12129904797521</t>
  </si>
  <si>
    <t>48.12119968871197</t>
  </si>
  <si>
    <t>48.12109917435722</t>
  </si>
  <si>
    <t>48.117933919201064</t>
  </si>
  <si>
    <t>48.11793276373855</t>
  </si>
  <si>
    <t>48.117930452813624</t>
  </si>
  <si>
    <t>48.117926986426475</t>
  </si>
  <si>
    <t>48.11792236457742</t>
  </si>
  <si>
    <t>48.11791658726682</t>
  </si>
  <si>
    <t>48.11790965449522</t>
  </si>
  <si>
    <t>48.11790156626318</t>
  </si>
  <si>
    <t>48.117892322571414</t>
  </si>
  <si>
    <t>48.117881923420704</t>
  </si>
  <si>
    <t>48.11787036881193</t>
  </si>
  <si>
    <t>48.11785765874612</t>
  </si>
  <si>
    <t>48.11784379322433</t>
  </si>
  <si>
    <t>48.11782877224776</t>
  </si>
  <si>
    <t>48.11779526393556</t>
  </si>
  <si>
    <t>48.11781259581771</t>
  </si>
  <si>
    <t>48.11777677660281</t>
  </si>
  <si>
    <t>48.11775713382102</t>
  </si>
  <si>
    <t>48.1177363355919</t>
  </si>
  <si>
    <t>48.11771438191724</t>
  </si>
  <si>
    <t>48.11769127279891</t>
  </si>
  <si>
    <t>48.11766700823889</t>
  </si>
  <si>
    <t>48.11764158823927</t>
  </si>
  <si>
    <t>48.11761501280223</t>
  </si>
  <si>
    <t>48.11758728193008</t>
  </si>
  <si>
    <t>48.11755839562515</t>
  </si>
  <si>
    <t>48.11752835388997</t>
  </si>
  <si>
    <t>48.11749715672707</t>
  </si>
  <si>
    <t>48.11746480413916</t>
  </si>
  <si>
    <t>48.11743129612901</t>
  </si>
  <si>
    <t>48.1173966326995</t>
  </si>
  <si>
    <t>48.117360813853615</t>
  </si>
  <si>
    <t>48.117323839594405</t>
  </si>
  <si>
    <t>48.11728570992504</t>
  </si>
  <si>
    <t>48.11724642484882</t>
  </si>
  <si>
    <t>48.11720598436912</t>
  </si>
  <si>
    <t>48.117164388489385</t>
  </si>
  <si>
    <t>48.11712163721321</t>
  </si>
  <si>
    <t>48.11707773054424</t>
  </si>
  <si>
    <t>48.11703266848627</t>
  </si>
  <si>
    <t>48.11698645104317</t>
  </si>
  <si>
    <t>48.11693907821888</t>
  </si>
  <si>
    <t>48.11684086644314</t>
  </si>
  <si>
    <t>48.116890550017494</t>
  </si>
  <si>
    <t>48.11679002750012</t>
  </si>
  <si>
    <t>48.11673803319279</t>
  </si>
  <si>
    <t>48.116684883525615</t>
  </si>
  <si>
    <t>48.11663057850315</t>
  </si>
  <si>
    <t>48.116575118130044</t>
  </si>
  <si>
    <t>48.11651850241108</t>
  </si>
  <si>
    <t>48.11646073135111</t>
  </si>
  <si>
    <t>48.11640180495509</t>
  </si>
  <si>
    <t>48.11634172322809</t>
  </si>
  <si>
    <t>48.11628048617525</t>
  </si>
  <si>
    <t>48.116218093801834</t>
  </si>
  <si>
    <t>48.1161545461132</t>
  </si>
  <si>
    <t>48.11608984311482</t>
  </si>
  <si>
    <t>48.11602398481223</t>
  </si>
  <si>
    <t>48.115956971211055</t>
  </si>
  <si>
    <t>48.11588880231708</t>
  </si>
  <si>
    <t>48.11574899867424</t>
  </si>
  <si>
    <t>48.11581947813618</t>
  </si>
  <si>
    <t>48.11560457393168</t>
  </si>
  <si>
    <t>48.115677363937365</t>
  </si>
  <si>
    <t>48.11545552813899</t>
  </si>
  <si>
    <t>48.11553062866344</t>
  </si>
  <si>
    <t>48.11537927236477</t>
  </si>
  <si>
    <t>48.11530186134734</t>
  </si>
  <si>
    <t>48.11522329509333</t>
  </si>
  <si>
    <t>48.115143573609494</t>
  </si>
  <si>
    <t>48.11506269690264</t>
  </si>
  <si>
    <t>48.11498066497976</t>
  </si>
  <si>
    <t>48.11489747784789</t>
  </si>
  <si>
    <t>48.114813135514126</t>
  </si>
  <si>
    <t>48.11472763798573</t>
  </si>
  <si>
    <t>48.11464098527007</t>
  </si>
  <si>
    <t>48.11455317737453</t>
  </si>
  <si>
    <t>48.11446421430668</t>
  </si>
  <si>
    <t>48.11437409607415</t>
  </si>
  <si>
    <t>48.11428282268467</t>
  </si>
  <si>
    <t>48.11419039414607</t>
  </si>
  <si>
    <t>48.11409681046631</t>
  </si>
  <si>
    <t>48.11400207165337</t>
  </si>
  <si>
    <t>48.11390617771542</t>
  </si>
  <si>
    <t>48.11371092449747</t>
  </si>
  <si>
    <t>48.11380912866068</t>
  </si>
  <si>
    <t>48.113611565234244</t>
  </si>
  <si>
    <t>48.11351105087949</t>
  </si>
  <si>
    <t>48.110345795723326</t>
  </si>
  <si>
    <t>48.110344640260806</t>
  </si>
  <si>
    <t>48.11033886294874</t>
  </si>
  <si>
    <t>48.110342329335886</t>
  </si>
  <si>
    <t>48.11033424109968</t>
  </si>
  <si>
    <t>48.11032846378908</t>
  </si>
  <si>
    <t>48.11032153101749</t>
  </si>
  <si>
    <t>48.11031344278545</t>
  </si>
  <si>
    <t>48.110304199093676</t>
  </si>
  <si>
    <t>48.11029379994296</t>
  </si>
  <si>
    <t>48.11026953526838</t>
  </si>
  <si>
    <t>48.1102822453342</t>
  </si>
  <si>
    <t>48.110255669746586</t>
  </si>
  <si>
    <t>48.11024064877003</t>
  </si>
  <si>
    <t>48.110207140457824</t>
  </si>
  <si>
    <t>48.11022447233998</t>
  </si>
  <si>
    <t>48.11018865312507</t>
  </si>
  <si>
    <t>48.11016901034329</t>
  </si>
  <si>
    <t>48.110148212114176</t>
  </si>
  <si>
    <t>48.1101262584395</t>
  </si>
  <si>
    <t>48.11010314932117</t>
  </si>
  <si>
    <t>48.11007888476115</t>
  </si>
  <si>
    <t>48.110053464761535</t>
  </si>
  <si>
    <t>48.110026889324494</t>
  </si>
  <si>
    <t>48.10999915845234</t>
  </si>
  <si>
    <t>48.109970272147415</t>
  </si>
  <si>
    <t>48.10994023041224</t>
  </si>
  <si>
    <t>48.10990903324934</t>
  </si>
  <si>
    <t>48.109876680661436</t>
  </si>
  <si>
    <t>48.109843172651274</t>
  </si>
  <si>
    <t>48.109808509221764</t>
  </si>
  <si>
    <t>48.10977269037588</t>
  </si>
  <si>
    <t>48.10973571611666</t>
  </si>
  <si>
    <t>48.10969758644731</t>
  </si>
  <si>
    <t>48.10965830137109</t>
  </si>
  <si>
    <t>48.10961786089139</t>
  </si>
  <si>
    <t>48.109576265011654</t>
  </si>
  <si>
    <t>48.10953351373548</t>
  </si>
  <si>
    <t>48.109489607066514</t>
  </si>
  <si>
    <t>48.10944454500854</t>
  </si>
  <si>
    <t>48.10939832756543</t>
  </si>
  <si>
    <t>48.109350954741146</t>
  </si>
  <si>
    <t>48.109302426539756</t>
  </si>
  <si>
    <t>48.1092527429654</t>
  </si>
  <si>
    <t>48.109201904022385</t>
  </si>
  <si>
    <t>48.10914990971505</t>
  </si>
  <si>
    <t>48.109096760047876</t>
  </si>
  <si>
    <t>48.10904245502542</t>
  </si>
  <si>
    <t>48.108986994652305</t>
  </si>
  <si>
    <t>48.108930378933344</t>
  </si>
  <si>
    <t>48.108813681477365</t>
  </si>
  <si>
    <t>48.10887260787338</t>
  </si>
  <si>
    <t>48.10875359975036</t>
  </si>
  <si>
    <t>48.10869236269752</t>
  </si>
  <si>
    <t>48.10862997032411</t>
  </si>
  <si>
    <t>48.10856642263547</t>
  </si>
  <si>
    <t>48.108501719637076</t>
  </si>
  <si>
    <t>48.10843586133448</t>
  </si>
  <si>
    <t>48.108368847733324</t>
  </si>
  <si>
    <t>48.10830067883934</t>
  </si>
  <si>
    <t>48.10823135465842</t>
  </si>
  <si>
    <t>48.10816087519651</t>
  </si>
  <si>
    <t>48.10808924045963</t>
  </si>
  <si>
    <t>48.10801645045393</t>
  </si>
  <si>
    <t>48.107942505185704</t>
  </si>
  <si>
    <t>48.10786740466126</t>
  </si>
  <si>
    <t>48.107791148887046</t>
  </si>
  <si>
    <t>48.1077137378696</t>
  </si>
  <si>
    <t>48.1076351716156</t>
  </si>
  <si>
    <t>48.107555450131755</t>
  </si>
  <si>
    <t>48.10747457342491</t>
  </si>
  <si>
    <t>48.10739254150203</t>
  </si>
  <si>
    <t>48.107309354370166</t>
  </si>
  <si>
    <t>48.107225012036395</t>
  </si>
  <si>
    <t>48.107139514508006</t>
  </si>
  <si>
    <t>48.107052861792326</t>
  </si>
  <si>
    <t>48.10696505389679</t>
  </si>
  <si>
    <t>48.10687609082895</t>
  </si>
  <si>
    <t>48.10678597259641</t>
  </si>
  <si>
    <t>48.10669469920694</t>
  </si>
  <si>
    <t>48.10660227066833</t>
  </si>
  <si>
    <t>48.10650868698857</t>
  </si>
  <si>
    <t>48.106413948175636</t>
  </si>
  <si>
    <t>48.10631805423769</t>
  </si>
  <si>
    <t>48.10622100518295</t>
  </si>
  <si>
    <t>48.10612280101974</t>
  </si>
  <si>
    <t>48.106023441756506</t>
  </si>
  <si>
    <t>48.10592292740175</t>
  </si>
  <si>
    <t>48.10275767224559</t>
  </si>
  <si>
    <t>48.102756516783074</t>
  </si>
  <si>
    <t>48.102754205858155</t>
  </si>
  <si>
    <t>48.102750739471006</t>
  </si>
  <si>
    <t>48.10274611762194</t>
  </si>
  <si>
    <t>48.10274034031136</t>
  </si>
  <si>
    <t>48.102733407539745</t>
  </si>
  <si>
    <t>48.102725319307716</t>
  </si>
  <si>
    <t>48.102716075615945</t>
  </si>
  <si>
    <t>48.102705676465234</t>
  </si>
  <si>
    <t>48.10269412185646</t>
  </si>
  <si>
    <t>48.10268141179065</t>
  </si>
  <si>
    <t>48.102667546268854</t>
  </si>
  <si>
    <t>48.10265252529229</t>
  </si>
  <si>
    <t>48.10263634886224</t>
  </si>
  <si>
    <t>48.1026190169801</t>
  </si>
  <si>
    <t>48.10260052964734</t>
  </si>
  <si>
    <t>48.10258088686556</t>
  </si>
  <si>
    <t>48.10256008863644</t>
  </si>
  <si>
    <t>48.10253813496176</t>
  </si>
  <si>
    <t>48.10251502584344</t>
  </si>
  <si>
    <t>48.10249076128342</t>
  </si>
  <si>
    <t>48.10246534128381</t>
  </si>
  <si>
    <t>48.10243876584677</t>
  </si>
  <si>
    <t>48.1024110349746</t>
  </si>
  <si>
    <t>48.10238214866968</t>
  </si>
  <si>
    <t>48.102352106934504</t>
  </si>
  <si>
    <t>48.102320909771606</t>
  </si>
  <si>
    <t>48.1022885571837</t>
  </si>
  <si>
    <t>48.10225504917355</t>
  </si>
  <si>
    <t>48.10222038574403</t>
  </si>
  <si>
    <t>48.102184566898146</t>
  </si>
  <si>
    <t>48.10214759263893</t>
  </si>
  <si>
    <t>48.10210946296957</t>
  </si>
  <si>
    <t>48.10207017789336</t>
  </si>
  <si>
    <t>48.10202973741365</t>
  </si>
  <si>
    <t>48.101988141533916</t>
  </si>
  <si>
    <t>48.10194539025774</t>
  </si>
  <si>
    <t>48.10190148358878</t>
  </si>
  <si>
    <t>48.10185642153081</t>
  </si>
  <si>
    <t>48.1018102040877</t>
  </si>
  <si>
    <t>48.1017628312634</t>
  </si>
  <si>
    <t>48.10171430306202</t>
  </si>
  <si>
    <t>48.10166461948767</t>
  </si>
  <si>
    <t>48.10161378054465</t>
  </si>
  <si>
    <t>48.10156178623732</t>
  </si>
  <si>
    <t>48.10150863657014</t>
  </si>
  <si>
    <t>48.101454331547686</t>
  </si>
  <si>
    <t>48.101398871174574</t>
  </si>
  <si>
    <t>48.10134225545561</t>
  </si>
  <si>
    <t>48.101225557999626</t>
  </si>
  <si>
    <t>48.101284484395656</t>
  </si>
  <si>
    <t>48.10116547627262</t>
  </si>
  <si>
    <t>48.10110423921979</t>
  </si>
  <si>
    <t>48.101041846846364</t>
  </si>
  <si>
    <t>48.10097829915774</t>
  </si>
  <si>
    <t>48.10091359615935</t>
  </si>
  <si>
    <t>48.10084773785675</t>
  </si>
  <si>
    <t>48.10078072425558</t>
  </si>
  <si>
    <t>48.10071255536162</t>
  </si>
  <si>
    <t>48.1006432311807</t>
  </si>
  <si>
    <t>48.10057275171878</t>
  </si>
  <si>
    <t>48.100501116981896</t>
  </si>
  <si>
    <t>48.10042832697621</t>
  </si>
  <si>
    <t>48.10035438170797</t>
  </si>
  <si>
    <t>48.10027928118352</t>
  </si>
  <si>
    <t>48.10012561439187</t>
  </si>
  <si>
    <t>48.10020302540931</t>
  </si>
  <si>
    <t>48.10004704813787</t>
  </si>
  <si>
    <t>48.09996732665402</t>
  </si>
  <si>
    <t>48.09988644994718</t>
  </si>
  <si>
    <t>48.0998044180243</t>
  </si>
  <si>
    <t>48.09972123089243</t>
  </si>
  <si>
    <t>48.09963688855865</t>
  </si>
  <si>
    <t>48.09955139103027</t>
  </si>
  <si>
    <t>48.09946473831459</t>
  </si>
  <si>
    <t>48.09928796735121</t>
  </si>
  <si>
    <t>48.09937693041906</t>
  </si>
  <si>
    <t>48.09919784911868</t>
  </si>
  <si>
    <t>48.0991065757292</t>
  </si>
  <si>
    <t>48.0990141471906</t>
  </si>
  <si>
    <t>48.09892056351083</t>
  </si>
  <si>
    <t>48.098825824697904</t>
  </si>
  <si>
    <t>48.098729930759966</t>
  </si>
  <si>
    <t>48.098632881705214</t>
  </si>
  <si>
    <t>48.09853467754201</t>
  </si>
  <si>
    <t>48.09843531827877</t>
  </si>
  <si>
    <t>48.09833480392401</t>
  </si>
  <si>
    <t>48.095169548767856</t>
  </si>
  <si>
    <t>48.09516839330534</t>
  </si>
  <si>
    <t>48.095166082380416</t>
  </si>
  <si>
    <t>48.09516261599327</t>
  </si>
  <si>
    <t>48.095157994144216</t>
  </si>
  <si>
    <t>48.09515221683363</t>
  </si>
  <si>
    <t>48.09514528406201</t>
  </si>
  <si>
    <t>48.095137195829984</t>
  </si>
  <si>
    <t>48.095127952138206</t>
  </si>
  <si>
    <t>48.0951175529875</t>
  </si>
  <si>
    <t>48.09510599837873</t>
  </si>
  <si>
    <t>48.09509328831292</t>
  </si>
  <si>
    <t>48.09507942279112</t>
  </si>
  <si>
    <t>48.09506440181456</t>
  </si>
  <si>
    <t>48.09504822538452</t>
  </si>
  <si>
    <t>48.095030893502354</t>
  </si>
  <si>
    <t>48.095012406169616</t>
  </si>
  <si>
    <t>48.094992763387836</t>
  </si>
  <si>
    <t>48.09495001148402</t>
  </si>
  <si>
    <t>48.09497196515872</t>
  </si>
  <si>
    <t>48.0949269023657</t>
  </si>
  <si>
    <t>48.094902637805696</t>
  </si>
  <si>
    <t>48.09487721780608</t>
  </si>
  <si>
    <t>48.09485064236904</t>
  </si>
  <si>
    <t>48.094822911496884</t>
  </si>
  <si>
    <t>48.09479402519195</t>
  </si>
  <si>
    <t>48.09476398345677</t>
  </si>
  <si>
    <t>48.094732786293875</t>
  </si>
  <si>
    <t>48.09470043370597</t>
  </si>
  <si>
    <t>48.09466692569582</t>
  </si>
  <si>
    <t>48.0946322622663</t>
  </si>
  <si>
    <t>48.09459644342042</t>
  </si>
  <si>
    <t>48.094559469161204</t>
  </si>
  <si>
    <t>48.094521339491834</t>
  </si>
  <si>
    <t>48.09448205441562</t>
  </si>
  <si>
    <t>48.09444161393593</t>
  </si>
  <si>
    <t>48.094400018056184</t>
  </si>
  <si>
    <t>48.09435726678001</t>
  </si>
  <si>
    <t>48.094313360111045</t>
  </si>
  <si>
    <t>48.09426829805307</t>
  </si>
  <si>
    <t>48.09422208060997</t>
  </si>
  <si>
    <t>48.094174707785676</t>
  </si>
  <si>
    <t>48.094076496009926</t>
  </si>
  <si>
    <t>48.0941261795843</t>
  </si>
  <si>
    <t>48.094025657066915</t>
  </si>
  <si>
    <t>48.09397366275959</t>
  </si>
  <si>
    <t>48.09392051309241</t>
  </si>
  <si>
    <t>48.093866208069954</t>
  </si>
  <si>
    <t>48.093810747696836</t>
  </si>
  <si>
    <t>48.09375413197789</t>
  </si>
  <si>
    <t>48.09369636091791</t>
  </si>
  <si>
    <t>48.09363743452189</t>
  </si>
  <si>
    <t>48.093577352794895</t>
  </si>
  <si>
    <t>48.093516115742055</t>
  </si>
  <si>
    <t>48.093453723368626</t>
  </si>
  <si>
    <t>48.093390175680014</t>
  </si>
  <si>
    <t>48.09332547268162</t>
  </si>
  <si>
    <t>48.09325961437902</t>
  </si>
  <si>
    <t>48.09319260077785</t>
  </si>
  <si>
    <t>48.09312443188388</t>
  </si>
  <si>
    <t>48.09305510770297</t>
  </si>
  <si>
    <t>48.09298462824105</t>
  </si>
  <si>
    <t>48.092912993504164</t>
  </si>
  <si>
    <t>48.092840203498476</t>
  </si>
  <si>
    <t>48.09276625823024</t>
  </si>
  <si>
    <t>48.092691157705794</t>
  </si>
  <si>
    <t>48.09261490193158</t>
  </si>
  <si>
    <t>48.09253749091413</t>
  </si>
  <si>
    <t>48.09245892466012</t>
  </si>
  <si>
    <t>48.09237920317629</t>
  </si>
  <si>
    <t>48.09221629454657</t>
  </si>
  <si>
    <t>48.09229832646945</t>
  </si>
  <si>
    <t>48.092133107414696</t>
  </si>
  <si>
    <t>48.092048765080925</t>
  </si>
  <si>
    <t>48.09196326755254</t>
  </si>
  <si>
    <t>48.09187661483686</t>
  </si>
  <si>
    <t>48.09178880694134</t>
  </si>
  <si>
    <t>48.091699843873485</t>
  </si>
  <si>
    <t>48.09160972564095</t>
  </si>
  <si>
    <t>48.09151845225147</t>
  </si>
  <si>
    <t>48.09142602371288</t>
  </si>
  <si>
    <t>48.091332440033106</t>
  </si>
  <si>
    <t>48.09114180728222</t>
  </si>
  <si>
    <t>48.091237701220166</t>
  </si>
  <si>
    <t>48.091044758227476</t>
  </si>
  <si>
    <t>48.090946554064274</t>
  </si>
  <si>
    <t>48.09084719480103</t>
  </si>
  <si>
    <t>48.09074668044627</t>
  </si>
  <si>
    <t>48.087581425290125</t>
  </si>
  <si>
    <t>48.08758026982761</t>
  </si>
  <si>
    <t>48.087574492515536</t>
  </si>
  <si>
    <t>48.08757795890268</t>
  </si>
  <si>
    <t>48.08756987066648</t>
  </si>
  <si>
    <t>48.0875640933559</t>
  </si>
  <si>
    <t>48.08755716058429</t>
  </si>
  <si>
    <t>48.087549072352246</t>
  </si>
  <si>
    <t>48.087539828660475</t>
  </si>
  <si>
    <t>48.087529429509765</t>
  </si>
  <si>
    <t>48.08750516483517</t>
  </si>
  <si>
    <t>48.087517874901</t>
  </si>
  <si>
    <t>48.0874912993134</t>
  </si>
  <si>
    <t>48.08747627833682</t>
  </si>
  <si>
    <t>48.08746010190677</t>
  </si>
  <si>
    <t>48.08744277002463</t>
  </si>
  <si>
    <t>48.08742428269188</t>
  </si>
  <si>
    <t>48.0874046399101</t>
  </si>
  <si>
    <t>48.087383841680975</t>
  </si>
  <si>
    <t>48.0873618880063</t>
  </si>
  <si>
    <t>48.08733877888797</t>
  </si>
  <si>
    <t>48.08731451432796</t>
  </si>
  <si>
    <t>48.087289094328334</t>
  </si>
  <si>
    <t>48.0872625188913</t>
  </si>
  <si>
    <t>48.087234788019146</t>
  </si>
  <si>
    <t>48.087205901714206</t>
  </si>
  <si>
    <t>48.087175859979034</t>
  </si>
  <si>
    <t>48.08714466281614</t>
  </si>
  <si>
    <t>48.087112310228235</t>
  </si>
  <si>
    <t>48.08707880221809</t>
  </si>
  <si>
    <t>48.087008319942676</t>
  </si>
  <si>
    <t>48.08704413878857</t>
  </si>
  <si>
    <t>48.086971345683466</t>
  </si>
  <si>
    <t>48.0869332160141</t>
  </si>
  <si>
    <t>48.0868939309379</t>
  </si>
  <si>
    <t>48.08685349045819</t>
  </si>
  <si>
    <t>48.08681189457846</t>
  </si>
  <si>
    <t>48.08676914330227</t>
  </si>
  <si>
    <t>48.086725236633306</t>
  </si>
  <si>
    <t>48.08668017457534</t>
  </si>
  <si>
    <t>48.086633957132236</t>
  </si>
  <si>
    <t>48.086586584307945</t>
  </si>
  <si>
    <t>48.08653805610655</t>
  </si>
  <si>
    <t>48.0864883725322</t>
  </si>
  <si>
    <t>48.08643753358918</t>
  </si>
  <si>
    <t>48.08638553928186</t>
  </si>
  <si>
    <t>48.08633238961468</t>
  </si>
  <si>
    <t>48.086278084592216</t>
  </si>
  <si>
    <t>48.0862226242191</t>
  </si>
  <si>
    <t>48.08616600850014</t>
  </si>
  <si>
    <t>48.08610823744018</t>
  </si>
  <si>
    <t>48.086049311044164</t>
  </si>
  <si>
    <t>48.08598922931715</t>
  </si>
  <si>
    <t>48.08592799226431</t>
  </si>
  <si>
    <t>48.085865599890894</t>
  </si>
  <si>
    <t>48.085802052202276</t>
  </si>
  <si>
    <t>48.08573734920389</t>
  </si>
  <si>
    <t>48.085671490901284</t>
  </si>
  <si>
    <t>48.085604477300116</t>
  </si>
  <si>
    <t>48.085536308406155</t>
  </si>
  <si>
    <t>48.08546698422524</t>
  </si>
  <si>
    <t>48.08539650476331</t>
  </si>
  <si>
    <t>48.08525208002075</t>
  </si>
  <si>
    <t>48.08532487002643</t>
  </si>
  <si>
    <t>48.0851781347525</t>
  </si>
  <si>
    <t>48.08510303422806</t>
  </si>
  <si>
    <t>48.085026778453845</t>
  </si>
  <si>
    <t>48.0849493674364</t>
  </si>
  <si>
    <t>48.0848708011824</t>
  </si>
  <si>
    <t>48.08479107969856</t>
  </si>
  <si>
    <t>48.08471020299171</t>
  </si>
  <si>
    <t>48.08462817106883</t>
  </si>
  <si>
    <t>48.084544983936965</t>
  </si>
  <si>
    <t>48.08446064160319</t>
  </si>
  <si>
    <t>48.084375144074805</t>
  </si>
  <si>
    <t>48.084288491359125</t>
  </si>
  <si>
    <t>48.084200683463614</t>
  </si>
  <si>
    <t>48.08411172039575</t>
  </si>
  <si>
    <t>48.08402160216322</t>
  </si>
  <si>
    <t>48.08393032877374</t>
  </si>
  <si>
    <t>48.083837900235146</t>
  </si>
  <si>
    <t>48.083744316555375</t>
  </si>
  <si>
    <t>48.083553683804496</t>
  </si>
  <si>
    <t>48.08364957774244</t>
  </si>
  <si>
    <t>48.08345663474975</t>
  </si>
  <si>
    <t>48.08335843058654</t>
  </si>
  <si>
    <t>48.0832590713233</t>
  </si>
  <si>
    <t>48.08315855696855</t>
  </si>
  <si>
    <t>48.07999214634988</t>
  </si>
  <si>
    <t>48.0799933018124</t>
  </si>
  <si>
    <t>48.079989835424946</t>
  </si>
  <si>
    <t>48.079986369037805</t>
  </si>
  <si>
    <t>48.07998174718874</t>
  </si>
  <si>
    <t>48.07997596987816</t>
  </si>
  <si>
    <t>48.07996903710655</t>
  </si>
  <si>
    <t>48.07996094887452</t>
  </si>
  <si>
    <t>48.07994130603204</t>
  </si>
  <si>
    <t>48.07995170518274</t>
  </si>
  <si>
    <t>48.079929751423265</t>
  </si>
  <si>
    <t>48.07991704135745</t>
  </si>
  <si>
    <t>48.07990317583565</t>
  </si>
  <si>
    <t>48.07988815485909</t>
  </si>
  <si>
    <t>48.07987197842905</t>
  </si>
  <si>
    <t>48.07985464654689</t>
  </si>
  <si>
    <t>48.07983615921414</t>
  </si>
  <si>
    <t>48.07981651643235</t>
  </si>
  <si>
    <t>48.07977376452856</t>
  </si>
  <si>
    <t>48.07979571820323</t>
  </si>
  <si>
    <t>48.07972639085021</t>
  </si>
  <si>
    <t>48.07975065541023</t>
  </si>
  <si>
    <t>48.0797009708506</t>
  </si>
  <si>
    <t>48.07967439541357</t>
  </si>
  <si>
    <t>48.079646664541414</t>
  </si>
  <si>
    <t>48.079617778236475</t>
  </si>
  <si>
    <t>48.07958773650131</t>
  </si>
  <si>
    <t>48.07955653933839</t>
  </si>
  <si>
    <t>48.07952418675049</t>
  </si>
  <si>
    <t>48.07949067874034</t>
  </si>
  <si>
    <t>48.079420196464945</t>
  </si>
  <si>
    <t>48.07945601531084</t>
  </si>
  <si>
    <t>48.079383222205735</t>
  </si>
  <si>
    <t>48.07934509253638</t>
  </si>
  <si>
    <t>48.07930580746015</t>
  </si>
  <si>
    <t>48.07926536698045</t>
  </si>
  <si>
    <t>48.079223771100715</t>
  </si>
  <si>
    <t>48.079181019824546</t>
  </si>
  <si>
    <t>48.079137113155575</t>
  </si>
  <si>
    <t>48.07909205109761</t>
  </si>
  <si>
    <t>48.079045833654504</t>
  </si>
  <si>
    <t>48.078998460830206</t>
  </si>
  <si>
    <t>48.07894993262882</t>
  </si>
  <si>
    <t>48.07890024905447</t>
  </si>
  <si>
    <t>48.07884941011145</t>
  </si>
  <si>
    <t>48.07879741580413</t>
  </si>
  <si>
    <t>48.078744266136944</t>
  </si>
  <si>
    <t>48.078689961114485</t>
  </si>
  <si>
    <t>48.07863450074137</t>
  </si>
  <si>
    <t>48.078577885022405</t>
  </si>
  <si>
    <t>48.078461187566425</t>
  </si>
  <si>
    <t>48.07852011396245</t>
  </si>
  <si>
    <t>48.07840110583942</t>
  </si>
  <si>
    <t>48.07833986878658</t>
  </si>
  <si>
    <t>48.07827747641317</t>
  </si>
  <si>
    <t>48.07821392872453</t>
  </si>
  <si>
    <t>48.07814922572615</t>
  </si>
  <si>
    <t>48.07808336742355</t>
  </si>
  <si>
    <t>48.07801635382238</t>
  </si>
  <si>
    <t>48.07794818492842</t>
  </si>
  <si>
    <t>48.07780838128557</t>
  </si>
  <si>
    <t>48.077878860747504</t>
  </si>
  <si>
    <t>48.0777367465487</t>
  </si>
  <si>
    <t>48.07766395654301</t>
  </si>
  <si>
    <t>48.07759001127477</t>
  </si>
  <si>
    <t>48.077514910750324</t>
  </si>
  <si>
    <t>48.077438654976106</t>
  </si>
  <si>
    <t>48.07736124395867</t>
  </si>
  <si>
    <t>48.07728267770465</t>
  </si>
  <si>
    <t>48.077202956220816</t>
  </si>
  <si>
    <t>48.077122079513984</t>
  </si>
  <si>
    <t>48.0770400475911</t>
  </si>
  <si>
    <t>48.07695686045923</t>
  </si>
  <si>
    <t>48.076872518125455</t>
  </si>
  <si>
    <t>48.076787020597074</t>
  </si>
  <si>
    <t>48.0767003678814</t>
  </si>
  <si>
    <t>48.07661255998587</t>
  </si>
  <si>
    <t>48.07652359691801</t>
  </si>
  <si>
    <t>48.07643347868548</t>
  </si>
  <si>
    <t>48.07634220529601</t>
  </si>
  <si>
    <t>48.07624977675741</t>
  </si>
  <si>
    <t>48.07615619307763</t>
  </si>
  <si>
    <t>48.076061454264696</t>
  </si>
  <si>
    <t>48.07596556032676</t>
  </si>
  <si>
    <t>48.07586851127202</t>
  </si>
  <si>
    <t>48.0757703071088</t>
  </si>
  <si>
    <t>48.07557043349081</t>
  </si>
  <si>
    <t>48.075670947845566</t>
  </si>
  <si>
    <t>48.07240402287214</t>
  </si>
  <si>
    <t>48.07240517833466</t>
  </si>
  <si>
    <t>48.07240171194722</t>
  </si>
  <si>
    <t>48.07239824556007</t>
  </si>
  <si>
    <t>48.072393623711</t>
  </si>
  <si>
    <t>48.07238784640042</t>
  </si>
  <si>
    <t>48.072372825396776</t>
  </si>
  <si>
    <t>48.07238091362881</t>
  </si>
  <si>
    <t>48.072363581705005</t>
  </si>
  <si>
    <t>48.07235318255429</t>
  </si>
  <si>
    <t>48.07234162794553</t>
  </si>
  <si>
    <t>48.072328917879695</t>
  </si>
  <si>
    <t>48.07231505235792</t>
  </si>
  <si>
    <t>48.07230003138135</t>
  </si>
  <si>
    <t>48.07228385495131</t>
  </si>
  <si>
    <t>48.07226652306916</t>
  </si>
  <si>
    <t>48.07224803573639</t>
  </si>
  <si>
    <t>48.072228392954614</t>
  </si>
  <si>
    <t>48.0722075947255</t>
  </si>
  <si>
    <t>48.07218564105082</t>
  </si>
  <si>
    <t>48.07213826737249</t>
  </si>
  <si>
    <t>48.0721625319325</t>
  </si>
  <si>
    <t>48.072112847372864</t>
  </si>
  <si>
    <t>48.07208627193583</t>
  </si>
  <si>
    <t>48.072058541063676</t>
  </si>
  <si>
    <t>48.072029654758744</t>
  </si>
  <si>
    <t>48.07199961302358</t>
  </si>
  <si>
    <t>48.07196841586067</t>
  </si>
  <si>
    <t>48.07193606327275</t>
  </si>
  <si>
    <t>48.07190255526261</t>
  </si>
  <si>
    <t>48.071832072987206</t>
  </si>
  <si>
    <t>48.0718678918331</t>
  </si>
  <si>
    <t>48.071795098727996</t>
  </si>
  <si>
    <t>48.07175696905864</t>
  </si>
  <si>
    <t>48.07171768398243</t>
  </si>
  <si>
    <t>48.07167724350272</t>
  </si>
  <si>
    <t>48.07163564762298</t>
  </si>
  <si>
    <t>48.0715928963468</t>
  </si>
  <si>
    <t>48.07154898967784</t>
  </si>
  <si>
    <t>48.07150392761987</t>
  </si>
  <si>
    <t>48.071457710176766</t>
  </si>
  <si>
    <t>48.07141033735247</t>
  </si>
  <si>
    <t>48.07136180915108</t>
  </si>
  <si>
    <t>48.071312125576725</t>
  </si>
  <si>
    <t>48.07120929232639</t>
  </si>
  <si>
    <t>48.071261286633714</t>
  </si>
  <si>
    <t>48.07115614265921</t>
  </si>
  <si>
    <t>48.071101837636746</t>
  </si>
  <si>
    <t>48.071046377263634</t>
  </si>
  <si>
    <t>48.07098976154467</t>
  </si>
  <si>
    <t>48.07087306408868</t>
  </si>
  <si>
    <t>48.07093199048471</t>
  </si>
  <si>
    <t>48.07081298236169</t>
  </si>
  <si>
    <t>48.07075174530885</t>
  </si>
  <si>
    <t>48.07068935293543</t>
  </si>
  <si>
    <t>48.07062580524679</t>
  </si>
  <si>
    <t>48.070561102248405</t>
  </si>
  <si>
    <t>48.07049524394581</t>
  </si>
  <si>
    <t>48.070428230344646</t>
  </si>
  <si>
    <t>48.07036006145068</t>
  </si>
  <si>
    <t>48.07022025780784</t>
  </si>
  <si>
    <t>48.070290737269765</t>
  </si>
  <si>
    <t>48.07014862307096</t>
  </si>
  <si>
    <t>48.070075833065275</t>
  </si>
  <si>
    <t>48.07000188779703</t>
  </si>
  <si>
    <t>48.069926787272585</t>
  </si>
  <si>
    <t>48.06985053149836</t>
  </si>
  <si>
    <t>48.06977312048093</t>
  </si>
  <si>
    <t>48.06969455422692</t>
  </si>
  <si>
    <t>48.06961483274308</t>
  </si>
  <si>
    <t>48.06945192411336</t>
  </si>
  <si>
    <t>48.06953395603624</t>
  </si>
  <si>
    <t>48.06936873698148</t>
  </si>
  <si>
    <t>48.069284394647724</t>
  </si>
  <si>
    <t>48.06919889711934</t>
  </si>
  <si>
    <t>48.069112244403655</t>
  </si>
  <si>
    <t>48.06902443650813</t>
  </si>
  <si>
    <t>48.06893547344028</t>
  </si>
  <si>
    <t>48.06875408181827</t>
  </si>
  <si>
    <t>48.068845355207756</t>
  </si>
  <si>
    <t>48.06866165327967</t>
  </si>
  <si>
    <t>48.0685680695999</t>
  </si>
  <si>
    <t>48.06847333078697</t>
  </si>
  <si>
    <t>48.06837743684902</t>
  </si>
  <si>
    <t>48.06828038779428</t>
  </si>
  <si>
    <t>48.06818218363107</t>
  </si>
  <si>
    <t>48.06798231001308</t>
  </si>
  <si>
    <t>48.068082824367835</t>
  </si>
  <si>
    <t>48.06481705485693</t>
  </si>
  <si>
    <t>48.064815899394404</t>
  </si>
  <si>
    <t>48.064813588469484</t>
  </si>
  <si>
    <t>48.06481012208233</t>
  </si>
  <si>
    <t>48.06480550023328</t>
  </si>
  <si>
    <t>48.06479972292269</t>
  </si>
  <si>
    <t>48.06478470191905</t>
  </si>
  <si>
    <t>48.06479279015108</t>
  </si>
  <si>
    <t>48.064775458227274</t>
  </si>
  <si>
    <t>48.064765059076564</t>
  </si>
  <si>
    <t>48.064753504467795</t>
  </si>
  <si>
    <t>48.06474079440197</t>
  </si>
  <si>
    <t>48.06472692888019</t>
  </si>
  <si>
    <t>48.064711907903614</t>
  </si>
  <si>
    <t>48.06469573147358</t>
  </si>
  <si>
    <t>48.06467839959142</t>
  </si>
  <si>
    <t>48.06465991225866</t>
  </si>
  <si>
    <t>48.06464026947689</t>
  </si>
  <si>
    <t>48.06461947124777</t>
  </si>
  <si>
    <t>48.06459751757309</t>
  </si>
  <si>
    <t>48.06457440845477</t>
  </si>
  <si>
    <t>48.064550143894756</t>
  </si>
  <si>
    <t>48.06452472389514</t>
  </si>
  <si>
    <t>48.06449814845809</t>
  </si>
  <si>
    <t>48.06447041758593</t>
  </si>
  <si>
    <t>48.06444153128101</t>
  </si>
  <si>
    <t>48.06441148954583</t>
  </si>
  <si>
    <t>48.064380292382936</t>
  </si>
  <si>
    <t>48.06434793979503</t>
  </si>
  <si>
    <t>48.06431443178488</t>
  </si>
  <si>
    <t>48.06427976835537</t>
  </si>
  <si>
    <t>48.06424394950947</t>
  </si>
  <si>
    <t>48.06420697525027</t>
  </si>
  <si>
    <t>48.0641688455809</t>
  </si>
  <si>
    <t>48.06412956050469</t>
  </si>
  <si>
    <t>48.06408912002499</t>
  </si>
  <si>
    <t>48.064047524145245</t>
  </si>
  <si>
    <t>48.06400477286907</t>
  </si>
  <si>
    <t>48.063960866200105</t>
  </si>
  <si>
    <t>48.063915804142134</t>
  </si>
  <si>
    <t>48.063869586699035</t>
  </si>
  <si>
    <t>48.06382221387474</t>
  </si>
  <si>
    <t>48.06377368567335</t>
  </si>
  <si>
    <t>48.063724002099</t>
  </si>
  <si>
    <t>48.063673163155975</t>
  </si>
  <si>
    <t>48.063621168848655</t>
  </si>
  <si>
    <t>48.06356801918147</t>
  </si>
  <si>
    <t>48.06351371415901</t>
  </si>
  <si>
    <t>48.063458253785896</t>
  </si>
  <si>
    <t>48.06340163806694</t>
  </si>
  <si>
    <t>48.06328494061095</t>
  </si>
  <si>
    <t>48.06334386700697</t>
  </si>
  <si>
    <t>48.06316362183111</t>
  </si>
  <si>
    <t>48.063224858883956</t>
  </si>
  <si>
    <t>48.06310122945769</t>
  </si>
  <si>
    <t>48.06303768176907</t>
  </si>
  <si>
    <t>48.06290712046808</t>
  </si>
  <si>
    <t>48.06297297877067</t>
  </si>
  <si>
    <t>48.062840106866915</t>
  </si>
  <si>
    <t>48.062771937972954</t>
  </si>
  <si>
    <t>48.06270261379203</t>
  </si>
  <si>
    <t>48.0626321343301</t>
  </si>
  <si>
    <t>48.062487709587536</t>
  </si>
  <si>
    <t>48.06256049959323</t>
  </si>
  <si>
    <t>48.062413764319295</t>
  </si>
  <si>
    <t>48.062338663794854</t>
  </si>
  <si>
    <t>48.0621849970032</t>
  </si>
  <si>
    <t>48.062262408020636</t>
  </si>
  <si>
    <t>48.062106430749196</t>
  </si>
  <si>
    <t>48.06202670926535</t>
  </si>
  <si>
    <t>48.06194583255851</t>
  </si>
  <si>
    <t>48.06186380063562</t>
  </si>
  <si>
    <t>48.06178061350376</t>
  </si>
  <si>
    <t>48.06169627116999</t>
  </si>
  <si>
    <t>48.06152412092592</t>
  </si>
  <si>
    <t>48.061610773641604</t>
  </si>
  <si>
    <t>48.061436313030384</t>
  </si>
  <si>
    <t>48.061347349962546</t>
  </si>
  <si>
    <t>48.06116595834054</t>
  </si>
  <si>
    <t>48.06125723173001</t>
  </si>
  <si>
    <t>48.06107352980194</t>
  </si>
  <si>
    <t>48.06097994612217</t>
  </si>
  <si>
    <t>48.06088520730923</t>
  </si>
  <si>
    <t>48.06078931337128</t>
  </si>
  <si>
    <t>48.06069226431654</t>
  </si>
  <si>
    <t>48.060594060153335</t>
  </si>
  <si>
    <t>48.0604947008901</t>
  </si>
  <si>
    <t>48.06039418653535</t>
  </si>
  <si>
    <t>48.057228931379186</t>
  </si>
  <si>
    <t>48.057227775916665</t>
  </si>
  <si>
    <t>48.057225464991745</t>
  </si>
  <si>
    <t>48.05722199860459</t>
  </si>
  <si>
    <t>48.05721737675554</t>
  </si>
  <si>
    <t>48.05721159944496</t>
  </si>
  <si>
    <t>48.057196578441314</t>
  </si>
  <si>
    <t>48.05720466667334</t>
  </si>
  <si>
    <t>48.057187334749536</t>
  </si>
  <si>
    <t>48.057176935598825</t>
  </si>
  <si>
    <t>48.05715267092423</t>
  </si>
  <si>
    <t>48.05716538099005</t>
  </si>
  <si>
    <t>48.05713880540245</t>
  </si>
  <si>
    <t>48.05712378442588</t>
  </si>
  <si>
    <t>48.05710760799584</t>
  </si>
  <si>
    <t>48.057090276113684</t>
  </si>
  <si>
    <t>48.05707178878094</t>
  </si>
  <si>
    <t>48.05705214599916</t>
  </si>
  <si>
    <t>48.057031347770035</t>
  </si>
  <si>
    <t>48.05700939409535</t>
  </si>
  <si>
    <t>48.05698628497703</t>
  </si>
  <si>
    <t>48.056962020417025</t>
  </si>
  <si>
    <t>48.0569366004174</t>
  </si>
  <si>
    <t>48.05691002498037</t>
  </si>
  <si>
    <t>48.056882294108206</t>
  </si>
  <si>
    <t>48.056853407803274</t>
  </si>
  <si>
    <t>48.05682336606811</t>
  </si>
  <si>
    <t>48.056792168905204</t>
  </si>
  <si>
    <t>48.05675981631728</t>
  </si>
  <si>
    <t>48.05672630830714</t>
  </si>
  <si>
    <t>48.05669164487763</t>
  </si>
  <si>
    <t>48.056655826031744</t>
  </si>
  <si>
    <t>48.05661885177252</t>
  </si>
  <si>
    <t>48.05658072210318</t>
  </si>
  <si>
    <t>48.05654143702695</t>
  </si>
  <si>
    <t>48.05650099654725</t>
  </si>
  <si>
    <t>48.056459400667514</t>
  </si>
  <si>
    <t>48.05641664939134</t>
  </si>
  <si>
    <t>48.056372742722374</t>
  </si>
  <si>
    <t>48.0563276806644</t>
  </si>
  <si>
    <t>48.0562814632213</t>
  </si>
  <si>
    <t>48.05623409039699</t>
  </si>
  <si>
    <t>48.05618556219562</t>
  </si>
  <si>
    <t>48.05613587862126</t>
  </si>
  <si>
    <t>48.056085039678244</t>
  </si>
  <si>
    <t>48.05603304537092</t>
  </si>
  <si>
    <t>48.05597989570373</t>
  </si>
  <si>
    <t>48.05592559068128</t>
  </si>
  <si>
    <t>48.055870130308165</t>
  </si>
  <si>
    <t>48.05581351458921</t>
  </si>
  <si>
    <t>48.05575574352925</t>
  </si>
  <si>
    <t>48.055696817133224</t>
  </si>
  <si>
    <t>48.055575498353384</t>
  </si>
  <si>
    <t>48.05563673540622</t>
  </si>
  <si>
    <t>48.05551310597996</t>
  </si>
  <si>
    <t>48.055449558291336</t>
  </si>
  <si>
    <t>48.05538485529294</t>
  </si>
  <si>
    <t>48.055318996990344</t>
  </si>
  <si>
    <t>48.05525198338918</t>
  </si>
  <si>
    <t>48.05518381449522</t>
  </si>
  <si>
    <t>48.05504401085237</t>
  </si>
  <si>
    <t>48.05511449031429</t>
  </si>
  <si>
    <t>48.0549723761155</t>
  </si>
  <si>
    <t>48.054899586109805</t>
  </si>
  <si>
    <t>48.054825640841564</t>
  </si>
  <si>
    <t>48.05475054031712</t>
  </si>
  <si>
    <t>48.05459687352547</t>
  </si>
  <si>
    <t>48.0546742845429</t>
  </si>
  <si>
    <t>48.05451830727146</t>
  </si>
  <si>
    <t>48.05443858578762</t>
  </si>
  <si>
    <t>48.05435770908076</t>
  </si>
  <si>
    <t>48.0542756771579</t>
  </si>
  <si>
    <t>48.05419249002603</t>
  </si>
  <si>
    <t>48.054108147692254</t>
  </si>
  <si>
    <t>48.05393599744819</t>
  </si>
  <si>
    <t>48.054022650163866</t>
  </si>
  <si>
    <t>48.05384818955266</t>
  </si>
  <si>
    <t>48.0537592264848</t>
  </si>
  <si>
    <t>48.05366910825227</t>
  </si>
  <si>
    <t>48.0535778348628</t>
  </si>
  <si>
    <t>48.0534854063242</t>
  </si>
  <si>
    <t>48.05339182264443</t>
  </si>
  <si>
    <t>48.0532970838315</t>
  </si>
  <si>
    <t>48.05320118989356</t>
  </si>
  <si>
    <t>48.05310414083881</t>
  </si>
  <si>
    <t>48.053005936675596</t>
  </si>
  <si>
    <t>48.05290657741237</t>
  </si>
  <si>
    <t>48.0528060630576</t>
  </si>
  <si>
    <t>48.04964080790146</t>
  </si>
  <si>
    <t>48.04963965243894</t>
  </si>
  <si>
    <t>48.04963734151402</t>
  </si>
  <si>
    <t>48.04963387512687</t>
  </si>
  <si>
    <t>48.04962925327782</t>
  </si>
  <si>
    <t>48.04962347596723</t>
  </si>
  <si>
    <t>48.04961654319562</t>
  </si>
  <si>
    <t>48.04960845496359</t>
  </si>
  <si>
    <t>48.04959921127181</t>
  </si>
  <si>
    <t>48.0495888121211</t>
  </si>
  <si>
    <t>48.04957725751233</t>
  </si>
  <si>
    <t>48.04956454744651</t>
  </si>
  <si>
    <t>48.04955068192473</t>
  </si>
  <si>
    <t>48.04953566094816</t>
  </si>
  <si>
    <t>48.04951948451811</t>
  </si>
  <si>
    <t>48.04950215263595</t>
  </si>
  <si>
    <t>48.04948366530321</t>
  </si>
  <si>
    <t>48.04946402252143</t>
  </si>
  <si>
    <t>48.04944322429231</t>
  </si>
  <si>
    <t>48.049421270617636</t>
  </si>
  <si>
    <t>48.0493981614993</t>
  </si>
  <si>
    <t>48.049373896939294</t>
  </si>
  <si>
    <t>48.049348476939684</t>
  </si>
  <si>
    <t>48.04932190150264</t>
  </si>
  <si>
    <t>48.04929417063047</t>
  </si>
  <si>
    <t>48.04926528432554</t>
  </si>
  <si>
    <t>48.04923524259037</t>
  </si>
  <si>
    <t>48.04920404542747</t>
  </si>
  <si>
    <t>48.049171692839565</t>
  </si>
  <si>
    <t>48.04913818482942</t>
  </si>
  <si>
    <t>48.04906770255401</t>
  </si>
  <si>
    <t>48.049103521399914</t>
  </si>
  <si>
    <t>48.049030728294795</t>
  </si>
  <si>
    <t>48.048992598625446</t>
  </si>
  <si>
    <t>48.04895331354922</t>
  </si>
  <si>
    <t>48.04891287306953</t>
  </si>
  <si>
    <t>48.04887127718978</t>
  </si>
  <si>
    <t>48.048828525913606</t>
  </si>
  <si>
    <t>48.04878461924465</t>
  </si>
  <si>
    <t>48.04873955718668</t>
  </si>
  <si>
    <t>48.04869333974356</t>
  </si>
  <si>
    <t>48.04864596691927</t>
  </si>
  <si>
    <t>48.0485974387179</t>
  </si>
  <si>
    <t>48.048547755143545</t>
  </si>
  <si>
    <t>48.04849691620052</t>
  </si>
  <si>
    <t>48.04844492189319</t>
  </si>
  <si>
    <t>48.04839177222601</t>
  </si>
  <si>
    <t>48.048337467203545</t>
  </si>
  <si>
    <t>48.04828200683044</t>
  </si>
  <si>
    <t>48.04822539111148</t>
  </si>
  <si>
    <t>48.0481086936555</t>
  </si>
  <si>
    <t>48.048167620051515</t>
  </si>
  <si>
    <t>48.048048611928486</t>
  </si>
  <si>
    <t>48.04798737487566</t>
  </si>
  <si>
    <t>48.04792498250223</t>
  </si>
  <si>
    <t>48.04786143481361</t>
  </si>
  <si>
    <t>48.04779673181521</t>
  </si>
  <si>
    <t>48.04773087351261</t>
  </si>
  <si>
    <t>48.047663859911445</t>
  </si>
  <si>
    <t>48.047595691017484</t>
  </si>
  <si>
    <t>48.04752636683657</t>
  </si>
  <si>
    <t>48.047455887374646</t>
  </si>
  <si>
    <t>48.04738425263777</t>
  </si>
  <si>
    <t>48.047311462632074</t>
  </si>
  <si>
    <t>48.04723751736385</t>
  </si>
  <si>
    <t>48.047162416839384</t>
  </si>
  <si>
    <t>48.04700875004774</t>
  </si>
  <si>
    <t>48.047086161065174</t>
  </si>
  <si>
    <t>48.04693018379372</t>
  </si>
  <si>
    <t>48.04685046230989</t>
  </si>
  <si>
    <t>48.04676958560304</t>
  </si>
  <si>
    <t>48.046687553680165</t>
  </si>
  <si>
    <t>48.0466043665483</t>
  </si>
  <si>
    <t>48.04652002421452</t>
  </si>
  <si>
    <t>48.04634787397046</t>
  </si>
  <si>
    <t>48.046434526686134</t>
  </si>
  <si>
    <t>48.046260066074936</t>
  </si>
  <si>
    <t>48.046171103007076</t>
  </si>
  <si>
    <t>48.046080984774555</t>
  </si>
  <si>
    <t>48.045989711385076</t>
  </si>
  <si>
    <t>48.045897282846475</t>
  </si>
  <si>
    <t>48.04580369916671</t>
  </si>
  <si>
    <t>48.04570896035378</t>
  </si>
  <si>
    <t>48.04561306641583</t>
  </si>
  <si>
    <t>48.04541781319787</t>
  </si>
  <si>
    <t>48.04551601736109</t>
  </si>
  <si>
    <t>48.045318453934634</t>
  </si>
  <si>
    <t>48.045217939579885</t>
  </si>
  <si>
    <t>48.04205268442372</t>
  </si>
  <si>
    <t>48.0420515289612</t>
  </si>
  <si>
    <t>48.04204921803628</t>
  </si>
  <si>
    <t>48.042045751649134</t>
  </si>
  <si>
    <t>48.042041129800076</t>
  </si>
  <si>
    <t>48.04203535248949</t>
  </si>
  <si>
    <t>48.04202033148586</t>
  </si>
  <si>
    <t>48.04202841971789</t>
  </si>
  <si>
    <t>48.04201108779407</t>
  </si>
  <si>
    <t>48.04200068864336</t>
  </si>
  <si>
    <t>48.041989134034594</t>
  </si>
  <si>
    <t>48.04197642396878</t>
  </si>
  <si>
    <t>48.04196255844699</t>
  </si>
  <si>
    <t>48.04194753747042</t>
  </si>
  <si>
    <t>48.041931361040376</t>
  </si>
  <si>
    <t>48.04191402915823</t>
  </si>
  <si>
    <t>48.041895541825475</t>
  </si>
  <si>
    <t>48.041875899043696</t>
  </si>
  <si>
    <t>48.04185510081457</t>
  </si>
  <si>
    <t>48.0418331471399</t>
  </si>
  <si>
    <t>48.04181003802156</t>
  </si>
  <si>
    <t>48.04178577346156</t>
  </si>
  <si>
    <t>48.04173377802491</t>
  </si>
  <si>
    <t>48.041760353461925</t>
  </si>
  <si>
    <t>48.04170604715273</t>
  </si>
  <si>
    <t>48.04167716084781</t>
  </si>
  <si>
    <t>48.041647119112646</t>
  </si>
  <si>
    <t>48.041615921949735</t>
  </si>
  <si>
    <t>48.041550061351685</t>
  </si>
  <si>
    <t>48.04158356936182</t>
  </si>
  <si>
    <t>48.041479579076274</t>
  </si>
  <si>
    <t>48.041515397922176</t>
  </si>
  <si>
    <t>48.04144260481707</t>
  </si>
  <si>
    <t>48.04140447514771</t>
  </si>
  <si>
    <t>48.04136519007149</t>
  </si>
  <si>
    <t>48.04132474959179</t>
  </si>
  <si>
    <t>48.041283153712044</t>
  </si>
  <si>
    <t>48.041240402435875</t>
  </si>
  <si>
    <t>48.04119649576691</t>
  </si>
  <si>
    <t>48.04115143370894</t>
  </si>
  <si>
    <t>48.041057843441536</t>
  </si>
  <si>
    <t>48.04110521626583</t>
  </si>
  <si>
    <t>48.04100931524015</t>
  </si>
  <si>
    <t>48.0409596316658</t>
  </si>
  <si>
    <t>48.04090879272278</t>
  </si>
  <si>
    <t>48.040856798415454</t>
  </si>
  <si>
    <t>48.040749343725814</t>
  </si>
  <si>
    <t>48.040803648748266</t>
  </si>
  <si>
    <t>48.0406938833527</t>
  </si>
  <si>
    <t>48.04063726763374</t>
  </si>
  <si>
    <t>48.040579496573784</t>
  </si>
  <si>
    <t>48.04052057017776</t>
  </si>
  <si>
    <t>48.040460488450755</t>
  </si>
  <si>
    <t>48.04039925139792</t>
  </si>
  <si>
    <t>48.0403368590245</t>
  </si>
  <si>
    <t>48.04027331133588</t>
  </si>
  <si>
    <t>48.04020860833748</t>
  </si>
  <si>
    <t>48.04014275003488</t>
  </si>
  <si>
    <t>48.040075736433714</t>
  </si>
  <si>
    <t>48.040007567539746</t>
  </si>
  <si>
    <t>48.03993824335883</t>
  </si>
  <si>
    <t>48.03986776389691</t>
  </si>
  <si>
    <t>48.03979612916004</t>
  </si>
  <si>
    <t>48.03972333915434</t>
  </si>
  <si>
    <t>48.03964939388611</t>
  </si>
  <si>
    <t>48.03957429336166</t>
  </si>
  <si>
    <t>48.03942062656999</t>
  </si>
  <si>
    <t>48.039498037587435</t>
  </si>
  <si>
    <t>48.03934206031599</t>
  </si>
  <si>
    <t>48.03926233883215</t>
  </si>
  <si>
    <t>48.03918146212531</t>
  </si>
  <si>
    <t>48.039099430202434</t>
  </si>
  <si>
    <t>48.039016243070556</t>
  </si>
  <si>
    <t>48.038931900736785</t>
  </si>
  <si>
    <t>48.0388464032084</t>
  </si>
  <si>
    <t>48.03875975049272</t>
  </si>
  <si>
    <t>48.0386719425972</t>
  </si>
  <si>
    <t>48.038582979529345</t>
  </si>
  <si>
    <t>48.03849286129681</t>
  </si>
  <si>
    <t>48.03840158790735</t>
  </si>
  <si>
    <t>48.03821557568897</t>
  </si>
  <si>
    <t>48.03830915936873</t>
  </si>
  <si>
    <t>48.03812083687604</t>
  </si>
  <si>
    <t>48.038024942938094</t>
  </si>
  <si>
    <t>48.03792789388335</t>
  </si>
  <si>
    <t>48.03782968972014</t>
  </si>
  <si>
    <t>48.03762981610214</t>
  </si>
  <si>
    <t>48.0377303304569</t>
  </si>
  <si>
    <t>48.03446456094599</t>
  </si>
  <si>
    <t>48.03446340548348</t>
  </si>
  <si>
    <t>48.03446109455855</t>
  </si>
  <si>
    <t>48.034457628171396</t>
  </si>
  <si>
    <t>48.03445300632235</t>
  </si>
  <si>
    <t>48.03444722901176</t>
  </si>
  <si>
    <t>48.03443220800812</t>
  </si>
  <si>
    <t>48.03444029624015</t>
  </si>
  <si>
    <t>48.034422964316335</t>
  </si>
  <si>
    <t>48.03441256516564</t>
  </si>
  <si>
    <t>48.03438830049104</t>
  </si>
  <si>
    <t>48.034401010556856</t>
  </si>
  <si>
    <t>48.03437443496926</t>
  </si>
  <si>
    <t>48.03435941399269</t>
  </si>
  <si>
    <t>48.03434323756264</t>
  </si>
  <si>
    <t>48.03432590568049</t>
  </si>
  <si>
    <t>48.034307418347744</t>
  </si>
  <si>
    <t>48.03428777556596</t>
  </si>
  <si>
    <t>48.034266977336834</t>
  </si>
  <si>
    <t>48.03424502366216</t>
  </si>
  <si>
    <t>48.034221914543835</t>
  </si>
  <si>
    <t>48.03419764998383</t>
  </si>
  <si>
    <t>48.034145654547174</t>
  </si>
  <si>
    <t>48.0341722299842</t>
  </si>
  <si>
    <t>48.034117923675005</t>
  </si>
  <si>
    <t>48.03408903737009</t>
  </si>
  <si>
    <t>48.034058995634894</t>
  </si>
  <si>
    <t>48.034027798472</t>
  </si>
  <si>
    <t>48.03396193787394</t>
  </si>
  <si>
    <t>48.03399544588409</t>
  </si>
  <si>
    <t>48.03392727444444</t>
  </si>
  <si>
    <t>48.03389145559854</t>
  </si>
  <si>
    <t>48.03385448133934</t>
  </si>
  <si>
    <t>48.03381635166997</t>
  </si>
  <si>
    <t>48.033777066593764</t>
  </si>
  <si>
    <t>48.033736626114056</t>
  </si>
  <si>
    <t>48.03365227895814</t>
  </si>
  <si>
    <t>48.03369503023431</t>
  </si>
  <si>
    <t>48.03360837228917</t>
  </si>
  <si>
    <t>48.03356331023121</t>
  </si>
  <si>
    <t>48.0334697199638</t>
  </si>
  <si>
    <t>48.033517092788095</t>
  </si>
  <si>
    <t>48.033421191762415</t>
  </si>
  <si>
    <t>48.03337150818807</t>
  </si>
  <si>
    <t>48.033320669245036</t>
  </si>
  <si>
    <t>48.03326867493773</t>
  </si>
  <si>
    <t>48.033161220248076</t>
  </si>
  <si>
    <t>48.03321552527054</t>
  </si>
  <si>
    <t>48.03310575987497</t>
  </si>
  <si>
    <t>48.033049144156</t>
  </si>
  <si>
    <t>48.032991373096046</t>
  </si>
  <si>
    <t>48.032932446700016</t>
  </si>
  <si>
    <t>48.032872364973024</t>
  </si>
  <si>
    <t>48.032811127920176</t>
  </si>
  <si>
    <t>48.03268518785814</t>
  </si>
  <si>
    <t>48.03274873554676</t>
  </si>
  <si>
    <t>48.03262048485974</t>
  </si>
  <si>
    <t>48.03255462655715</t>
  </si>
  <si>
    <t>48.03248761295599</t>
  </si>
  <si>
    <t>48.032419444062015</t>
  </si>
  <si>
    <t>48.0323501198811</t>
  </si>
  <si>
    <t>48.032279640419176</t>
  </si>
  <si>
    <t>48.03213521567662</t>
  </si>
  <si>
    <t>48.0322080056823</t>
  </si>
  <si>
    <t>48.03198616988393</t>
  </si>
  <si>
    <t>48.03206127040838</t>
  </si>
  <si>
    <t>48.031832503092275</t>
  </si>
  <si>
    <t>48.031909914109704</t>
  </si>
  <si>
    <t>48.03175393683825</t>
  </si>
  <si>
    <t>48.03167421535442</t>
  </si>
  <si>
    <t>48.031593338647575</t>
  </si>
  <si>
    <t>48.0315113067247</t>
  </si>
  <si>
    <t>48.03142811959283</t>
  </si>
  <si>
    <t>48.03134377725905</t>
  </si>
  <si>
    <t>48.03125827973067</t>
  </si>
  <si>
    <t>48.031171627015</t>
  </si>
  <si>
    <t>48.031083819119466</t>
  </si>
  <si>
    <t>48.030994856051606</t>
  </si>
  <si>
    <t>48.03090473781909</t>
  </si>
  <si>
    <t>48.030813464429606</t>
  </si>
  <si>
    <t>48.03072103589101</t>
  </si>
  <si>
    <t>48.030627452211235</t>
  </si>
  <si>
    <t>48.03043681946036</t>
  </si>
  <si>
    <t>48.030532713398294</t>
  </si>
  <si>
    <t>48.03033977040562</t>
  </si>
  <si>
    <t>48.03024156624241</t>
  </si>
  <si>
    <t>48.030142206979164</t>
  </si>
  <si>
    <t>48.03004169262441</t>
  </si>
  <si>
    <t>48.02687643746825</t>
  </si>
  <si>
    <t>48.02687528200575</t>
  </si>
  <si>
    <t>48.02687297108081</t>
  </si>
  <si>
    <t>48.02686950469367</t>
  </si>
  <si>
    <t>48.026864882844606</t>
  </si>
  <si>
    <t>48.02685910553402</t>
  </si>
  <si>
    <t>48.026844084530374</t>
  </si>
  <si>
    <t>48.02685217276241</t>
  </si>
  <si>
    <t>48.0268348408386</t>
  </si>
  <si>
    <t>48.0268244416879</t>
  </si>
  <si>
    <t>48.02680017701331</t>
  </si>
  <si>
    <t>48.026812887079124</t>
  </si>
  <si>
    <t>48.02678631149151</t>
  </si>
  <si>
    <t>48.02677129051495</t>
  </si>
  <si>
    <t>48.02675511408491</t>
  </si>
  <si>
    <t>48.02673778220276</t>
  </si>
  <si>
    <t>48.02671929487</t>
  </si>
  <si>
    <t>48.02669965208821</t>
  </si>
  <si>
    <t>48.026678853859096</t>
  </si>
  <si>
    <t>48.02665690018442</t>
  </si>
  <si>
    <t>48.02663379106609</t>
  </si>
  <si>
    <t>48.026609526506086</t>
  </si>
  <si>
    <t>48.02658410650646</t>
  </si>
  <si>
    <t>48.026557531069436</t>
  </si>
  <si>
    <t>48.02652980019728</t>
  </si>
  <si>
    <t>48.02650091389235</t>
  </si>
  <si>
    <t>48.02647087215717</t>
  </si>
  <si>
    <t>48.026439674994265</t>
  </si>
  <si>
    <t>48.0263738143962</t>
  </si>
  <si>
    <t>48.02640732240636</t>
  </si>
  <si>
    <t>48.0263391509667</t>
  </si>
  <si>
    <t>48.026303332120804</t>
  </si>
  <si>
    <t>48.026266357861594</t>
  </si>
  <si>
    <t>48.02622822819224</t>
  </si>
  <si>
    <t>48.026188943116026</t>
  </si>
  <si>
    <t>48.02614850263632</t>
  </si>
  <si>
    <t>48.02610690675658</t>
  </si>
  <si>
    <t>48.02606415548041</t>
  </si>
  <si>
    <t>48.026020248811434</t>
  </si>
  <si>
    <t>48.02597518675348</t>
  </si>
  <si>
    <t>48.02592896931036</t>
  </si>
  <si>
    <t>48.02588159648607</t>
  </si>
  <si>
    <t>48.02583306828469</t>
  </si>
  <si>
    <t>48.02578338471034</t>
  </si>
  <si>
    <t>48.02573254576731</t>
  </si>
  <si>
    <t>48.02568055145998</t>
  </si>
  <si>
    <t>48.02562740179281</t>
  </si>
  <si>
    <t>48.02557309677035</t>
  </si>
  <si>
    <t>48.02546102067827</t>
  </si>
  <si>
    <t>48.02551763639724</t>
  </si>
  <si>
    <t>48.02540324961831</t>
  </si>
  <si>
    <t>48.025344323222285</t>
  </si>
  <si>
    <t>48.02528424149529</t>
  </si>
  <si>
    <t>48.02522300444245</t>
  </si>
  <si>
    <t>48.02516061206904</t>
  </si>
  <si>
    <t>48.02509706438041</t>
  </si>
  <si>
    <t>48.02503236138201</t>
  </si>
  <si>
    <t>48.02496650307941</t>
  </si>
  <si>
    <t>48.024899489478244</t>
  </si>
  <si>
    <t>48.02483132058428</t>
  </si>
  <si>
    <t>48.024761996403356</t>
  </si>
  <si>
    <t>48.024691516941445</t>
  </si>
  <si>
    <t>48.02454709219889</t>
  </si>
  <si>
    <t>48.02461988220456</t>
  </si>
  <si>
    <t>48.02439804640618</t>
  </si>
  <si>
    <t>48.02447314693063</t>
  </si>
  <si>
    <t>48.02432179063197</t>
  </si>
  <si>
    <t>48.02424437961454</t>
  </si>
  <si>
    <t>48.024165813360526</t>
  </si>
  <si>
    <t>48.02408609187668</t>
  </si>
  <si>
    <t>48.024005215169836</t>
  </si>
  <si>
    <t>48.02392318324697</t>
  </si>
  <si>
    <t>48.02383999611509</t>
  </si>
  <si>
    <t>48.02375565378132</t>
  </si>
  <si>
    <t>48.02367015625294</t>
  </si>
  <si>
    <t>48.02358350353726</t>
  </si>
  <si>
    <t>48.023495695641735</t>
  </si>
  <si>
    <t>48.02340673257387</t>
  </si>
  <si>
    <t>48.02331661434135</t>
  </si>
  <si>
    <t>48.02322534095187</t>
  </si>
  <si>
    <t>48.0230393287335</t>
  </si>
  <si>
    <t>48.02313291241327</t>
  </si>
  <si>
    <t>48.02294458992056</t>
  </si>
  <si>
    <t>48.02284869598262</t>
  </si>
  <si>
    <t>48.02275164692789</t>
  </si>
  <si>
    <t>48.022653442764664</t>
  </si>
  <si>
    <t>48.02255408350143</t>
  </si>
  <si>
    <t>48.02245356914668</t>
  </si>
  <si>
    <t>48.01928831399052</t>
  </si>
  <si>
    <t>48.01928715852801</t>
  </si>
  <si>
    <t>48.01928484760309</t>
  </si>
  <si>
    <t>48.01928138121594</t>
  </si>
  <si>
    <t>48.019276759366875</t>
  </si>
  <si>
    <t>48.01927098205629</t>
  </si>
  <si>
    <t>48.01925596105266</t>
  </si>
  <si>
    <t>48.01926404928468</t>
  </si>
  <si>
    <t>48.01924671736088</t>
  </si>
  <si>
    <t>48.01923631821017</t>
  </si>
  <si>
    <t>48.0192247636014</t>
  </si>
  <si>
    <t>48.019212053535576</t>
  </si>
  <si>
    <t>48.019198188013796</t>
  </si>
  <si>
    <t>48.01918316703723</t>
  </si>
  <si>
    <t>48.019166990607175</t>
  </si>
  <si>
    <t>48.01914965872503</t>
  </si>
  <si>
    <t>48.01913117139227</t>
  </si>
  <si>
    <t>48.01911152861048</t>
  </si>
  <si>
    <t>48.01909073038138</t>
  </si>
  <si>
    <t>48.019068776706696</t>
  </si>
  <si>
    <t>48.01902140302836</t>
  </si>
  <si>
    <t>48.019045667588365</t>
  </si>
  <si>
    <t>48.01899598302873</t>
  </si>
  <si>
    <t>48.018969407591705</t>
  </si>
  <si>
    <t>48.01891279041462</t>
  </si>
  <si>
    <t>48.01894167671955</t>
  </si>
  <si>
    <t>48.01888274867943</t>
  </si>
  <si>
    <t>48.01885155151655</t>
  </si>
  <si>
    <t>48.01878569091848</t>
  </si>
  <si>
    <t>48.018819198928625</t>
  </si>
  <si>
    <t>48.01875102748897</t>
  </si>
  <si>
    <t>48.01871520864307</t>
  </si>
  <si>
    <t>48.01867823438386</t>
  </si>
  <si>
    <t>48.01864010471451</t>
  </si>
  <si>
    <t>48.018600819638294</t>
  </si>
  <si>
    <t>48.01856037915859</t>
  </si>
  <si>
    <t>48.01851878327886</t>
  </si>
  <si>
    <t>48.01847603200268</t>
  </si>
  <si>
    <t>48.01843212533371</t>
  </si>
  <si>
    <t>48.01838706327574</t>
  </si>
  <si>
    <t>48.01834084583263</t>
  </si>
  <si>
    <t>48.01829347300835</t>
  </si>
  <si>
    <t>48.01824494480695</t>
  </si>
  <si>
    <t>48.018195261232606</t>
  </si>
  <si>
    <t>48.01814442228959</t>
  </si>
  <si>
    <t>48.01809242798225</t>
  </si>
  <si>
    <t>48.01803927831508</t>
  </si>
  <si>
    <t>48.01798497329261</t>
  </si>
  <si>
    <t>48.01787289720054</t>
  </si>
  <si>
    <t>48.01792951291951</t>
  </si>
  <si>
    <t>48.01781512614058</t>
  </si>
  <si>
    <t>48.017756199744554</t>
  </si>
  <si>
    <t>48.017696118017554</t>
  </si>
  <si>
    <t>48.01763488096473</t>
  </si>
  <si>
    <t>48.017572488591306</t>
  </si>
  <si>
    <t>48.017508940902665</t>
  </si>
  <si>
    <t>48.01737837960169</t>
  </si>
  <si>
    <t>48.01744423790428</t>
  </si>
  <si>
    <t>48.01731136600052</t>
  </si>
  <si>
    <t>48.01724319710655</t>
  </si>
  <si>
    <t>48.01717387292563</t>
  </si>
  <si>
    <t>48.017103393463714</t>
  </si>
  <si>
    <t>48.01703175872683</t>
  </si>
  <si>
    <t>48.01695896872114</t>
  </si>
  <si>
    <t>48.0168850234529</t>
  </si>
  <si>
    <t>48.01680992292846</t>
  </si>
  <si>
    <t>48.01673366715424</t>
  </si>
  <si>
    <t>48.016656256136805</t>
  </si>
  <si>
    <t>48.016577689882794</t>
  </si>
  <si>
    <t>48.01649796839896</t>
  </si>
  <si>
    <t>48.016417091692105</t>
  </si>
  <si>
    <t>48.01633505976924</t>
  </si>
  <si>
    <t>48.01625187263736</t>
  </si>
  <si>
    <t>48.01616753030359</t>
  </si>
  <si>
    <t>48.01599538005953</t>
  </si>
  <si>
    <t>48.01608203277521</t>
  </si>
  <si>
    <t>48.015907572164004</t>
  </si>
  <si>
    <t>48.01581860909615</t>
  </si>
  <si>
    <t>48.015637217474136</t>
  </si>
  <si>
    <t>48.015728490863616</t>
  </si>
  <si>
    <t>48.01554478893554</t>
  </si>
  <si>
    <t>48.015451205255765</t>
  </si>
  <si>
    <t>48.01535646644284</t>
  </si>
  <si>
    <t>48.0152605725049</t>
  </si>
  <si>
    <t>48.01516352345015</t>
  </si>
  <si>
    <t>48.01506531928695</t>
  </si>
  <si>
    <t>48.01496596002371</t>
  </si>
  <si>
    <t>48.01486544566895</t>
  </si>
  <si>
    <t>48.01170019051279</t>
  </si>
  <si>
    <t>48.01169903505028</t>
  </si>
  <si>
    <t>48.01169672412534</t>
  </si>
  <si>
    <t>48.01169325773819</t>
  </si>
  <si>
    <t>48.011688635889136</t>
  </si>
  <si>
    <t>48.011682858578546</t>
  </si>
  <si>
    <t>48.011675925806934</t>
  </si>
  <si>
    <t>48.011667837574905</t>
  </si>
  <si>
    <t>48.01165859388314</t>
  </si>
  <si>
    <t>48.01164819473243</t>
  </si>
  <si>
    <t>48.011636640123655</t>
  </si>
  <si>
    <t>48.01162393005783</t>
  </si>
  <si>
    <t>48.01161006453604</t>
  </si>
  <si>
    <t>48.011595043559474</t>
  </si>
  <si>
    <t>48.01157886712944</t>
  </si>
  <si>
    <t>48.01156153524728</t>
  </si>
  <si>
    <t>48.01154304791453</t>
  </si>
  <si>
    <t>48.011523405132756</t>
  </si>
  <si>
    <t>48.01150260690363</t>
  </si>
  <si>
    <t>48.01148065322896</t>
  </si>
  <si>
    <t>48.011457544110634</t>
  </si>
  <si>
    <t>48.011433279550616</t>
  </si>
  <si>
    <t>48.011381284113966</t>
  </si>
  <si>
    <t>48.01140785955099</t>
  </si>
  <si>
    <t>48.011353553241804</t>
  </si>
  <si>
    <t>48.01132466693687</t>
  </si>
  <si>
    <t>48.0112946252017</t>
  </si>
  <si>
    <t>48.011263428038795</t>
  </si>
  <si>
    <t>48.01123107545089</t>
  </si>
  <si>
    <t>48.01119756744074</t>
  </si>
  <si>
    <t>48.011162904011236</t>
  </si>
  <si>
    <t>48.011127085165334</t>
  </si>
  <si>
    <t>48.01109011090613</t>
  </si>
  <si>
    <t>48.011051981236776</t>
  </si>
  <si>
    <t>48.01101269616055</t>
  </si>
  <si>
    <t>48.01097225568085</t>
  </si>
  <si>
    <t>48.01093065980111</t>
  </si>
  <si>
    <t>48.01088790852493</t>
  </si>
  <si>
    <t>48.01084400185597</t>
  </si>
  <si>
    <t>48.010798939798</t>
  </si>
  <si>
    <t>48.010752722354894</t>
  </si>
  <si>
    <t>48.0107053495306</t>
  </si>
  <si>
    <t>48.01065682132921</t>
  </si>
  <si>
    <t>48.01060713775486</t>
  </si>
  <si>
    <t>48.01055629881185</t>
  </si>
  <si>
    <t>48.01050430450452</t>
  </si>
  <si>
    <t>48.010451154837334</t>
  </si>
  <si>
    <t>48.010396849814875</t>
  </si>
  <si>
    <t>48.01034138944176</t>
  </si>
  <si>
    <t>48.0102847737228</t>
  </si>
  <si>
    <t>48.010227002662845</t>
  </si>
  <si>
    <t>48.01016807626682</t>
  </si>
  <si>
    <t>48.010107994539815</t>
  </si>
  <si>
    <t>48.01004675748698</t>
  </si>
  <si>
    <t>48.00998436511355</t>
  </si>
  <si>
    <t>48.009920817424934</t>
  </si>
  <si>
    <t>48.00979025612395</t>
  </si>
  <si>
    <t>48.00985611442653</t>
  </si>
  <si>
    <t>48.009723242522774</t>
  </si>
  <si>
    <t>48.00965507362882</t>
  </si>
  <si>
    <t>48.00958574944789</t>
  </si>
  <si>
    <t>48.009515269985975</t>
  </si>
  <si>
    <t>48.0093708452434</t>
  </si>
  <si>
    <t>48.00944363524909</t>
  </si>
  <si>
    <t>48.00929689997516</t>
  </si>
  <si>
    <t>48.00922179945071</t>
  </si>
  <si>
    <t>48.009145543676496</t>
  </si>
  <si>
    <t>48.00906813265906</t>
  </si>
  <si>
    <t>48.00898956640506</t>
  </si>
  <si>
    <t>48.00890984492122</t>
  </si>
  <si>
    <t>48.00874693629149</t>
  </si>
  <si>
    <t>48.00882896821437</t>
  </si>
  <si>
    <t>48.00866374915962</t>
  </si>
  <si>
    <t>48.00857940682585</t>
  </si>
  <si>
    <t>48.008493909297464</t>
  </si>
  <si>
    <t>48.00840725658178</t>
  </si>
  <si>
    <t>48.008319448686265</t>
  </si>
  <si>
    <t>48.0082304856184</t>
  </si>
  <si>
    <t>48.00814036738587</t>
  </si>
  <si>
    <t>48.008049093996405</t>
  </si>
  <si>
    <t>48.0079566654578</t>
  </si>
  <si>
    <t>48.00786308177803</t>
  </si>
  <si>
    <t>48.00776834296509</t>
  </si>
  <si>
    <t>48.007672449027154</t>
  </si>
  <si>
    <t>48.00757539997241</t>
  </si>
  <si>
    <t>48.0074771958092</t>
  </si>
  <si>
    <t>48.00727732219121</t>
  </si>
  <si>
    <t>48.007377836545956</t>
  </si>
  <si>
    <t>48.00411206703505</t>
  </si>
  <si>
    <t>48.00411091157254</t>
  </si>
  <si>
    <t>48.00410513426046</t>
  </si>
  <si>
    <t>48.00410860064761</t>
  </si>
  <si>
    <t>48.0041005124114</t>
  </si>
  <si>
    <t>48.00409473510082</t>
  </si>
  <si>
    <t>48.00408780232921</t>
  </si>
  <si>
    <t>48.00407971409718</t>
  </si>
  <si>
    <t>48.004070470405395</t>
  </si>
  <si>
    <t>48.00406007125469</t>
  </si>
  <si>
    <t>48.00404851664593</t>
  </si>
  <si>
    <t>48.004035806580106</t>
  </si>
  <si>
    <t>48.004021941058305</t>
  </si>
  <si>
    <t>48.00400692008174</t>
  </si>
  <si>
    <t>48.003990743651705</t>
  </si>
  <si>
    <t>48.00397341176954</t>
  </si>
  <si>
    <t>48.0039549244368</t>
  </si>
  <si>
    <t>48.00393528165502</t>
  </si>
  <si>
    <t>48.0039144834259</t>
  </si>
  <si>
    <t>48.00389252975123</t>
  </si>
  <si>
    <t>48.003869420632896</t>
  </si>
  <si>
    <t>48.003845156072884</t>
  </si>
  <si>
    <t>48.003793160636235</t>
  </si>
  <si>
    <t>48.00381973607327</t>
  </si>
  <si>
    <t>48.003765429764066</t>
  </si>
  <si>
    <t>48.00373654345915</t>
  </si>
  <si>
    <t>48.003706501723975</t>
  </si>
  <si>
    <t>48.003675304561064</t>
  </si>
  <si>
    <t>48.003642951973156</t>
  </si>
  <si>
    <t>48.00360944396301</t>
  </si>
  <si>
    <t>48.00353896168761</t>
  </si>
  <si>
    <t>48.0035747805335</t>
  </si>
  <si>
    <t>48.00350198742839</t>
  </si>
  <si>
    <t>48.00346385775904</t>
  </si>
  <si>
    <t>48.00338413220311</t>
  </si>
  <si>
    <t>48.00342457268281</t>
  </si>
  <si>
    <t>48.003299785047204</t>
  </si>
  <si>
    <t>48.00334253632337</t>
  </si>
  <si>
    <t>48.00325587837825</t>
  </si>
  <si>
    <t>48.00321081632027</t>
  </si>
  <si>
    <t>48.00316459887716</t>
  </si>
  <si>
    <t>48.003117226052865</t>
  </si>
  <si>
    <t>48.00306869785149</t>
  </si>
  <si>
    <t>48.00301901427712</t>
  </si>
  <si>
    <t>48.00296817533412</t>
  </si>
  <si>
    <t>48.002916181026784</t>
  </si>
  <si>
    <t>48.002863031359595</t>
  </si>
  <si>
    <t>48.00280872633714</t>
  </si>
  <si>
    <t>48.00269665024507</t>
  </si>
  <si>
    <t>48.00275326596403</t>
  </si>
  <si>
    <t>48.00263887918511</t>
  </si>
  <si>
    <t>48.00257995278908</t>
  </si>
  <si>
    <t>48.002458634009244</t>
  </si>
  <si>
    <t>48.002519871062084</t>
  </si>
  <si>
    <t>48.00239624163583</t>
  </si>
  <si>
    <t>48.0023326939472</t>
  </si>
  <si>
    <t>48.0022679909488</t>
  </si>
  <si>
    <t>48.00220213264621</t>
  </si>
  <si>
    <t>48.00213511904504</t>
  </si>
  <si>
    <t>48.002066950151075</t>
  </si>
  <si>
    <t>48.001997625970155</t>
  </si>
  <si>
    <t>48.00192714650824</t>
  </si>
  <si>
    <t>48.00185551177136</t>
  </si>
  <si>
    <t>48.001782721765665</t>
  </si>
  <si>
    <t>48.00170877649744</t>
  </si>
  <si>
    <t>48.001633675972975</t>
  </si>
  <si>
    <t>48.00148000918133</t>
  </si>
  <si>
    <t>48.00155742019877</t>
  </si>
  <si>
    <t>48.001401442927325</t>
  </si>
  <si>
    <t>48.00132172144349</t>
  </si>
  <si>
    <t>48.00115881281376</t>
  </si>
  <si>
    <t>48.00124084473663</t>
  </si>
  <si>
    <t>48.00107562568189</t>
  </si>
  <si>
    <t>48.000991283348114</t>
  </si>
  <si>
    <t>48.00090578581973</t>
  </si>
  <si>
    <t>48.00081913310405</t>
  </si>
  <si>
    <t>48.00064236214067</t>
  </si>
  <si>
    <t>48.00073132520853</t>
  </si>
  <si>
    <t>48.00055224390814</t>
  </si>
  <si>
    <t>48.00046097051867</t>
  </si>
  <si>
    <t>48.000368541980066</t>
  </si>
  <si>
    <t>48.000274958300295</t>
  </si>
  <si>
    <t>48.00018021948736</t>
  </si>
  <si>
    <t>48.000084325549416</t>
  </si>
  <si>
    <t>47.99998727649468</t>
  </si>
  <si>
    <t>47.99988907233146</t>
  </si>
  <si>
    <t>47.999789713068225</t>
  </si>
  <si>
    <t>47.99968919871347</t>
  </si>
  <si>
    <t>47.996523943557314</t>
  </si>
  <si>
    <t>47.9965227880948</t>
  </si>
  <si>
    <t>47.996517010782725</t>
  </si>
  <si>
    <t>47.99652047716989</t>
  </si>
  <si>
    <t>47.99651238893367</t>
  </si>
  <si>
    <t>47.9965066116231</t>
  </si>
  <si>
    <t>47.99649159061945</t>
  </si>
  <si>
    <t>47.99649967885148</t>
  </si>
  <si>
    <t>47.996482346927664</t>
  </si>
  <si>
    <t>47.99647194777695</t>
  </si>
  <si>
    <t>47.996460393168185</t>
  </si>
  <si>
    <t>47.996447683102375</t>
  </si>
  <si>
    <t>47.99643381758058</t>
  </si>
  <si>
    <t>47.99641879660402</t>
  </si>
  <si>
    <t>47.99638528829182</t>
  </si>
  <si>
    <t>47.99640262017397</t>
  </si>
  <si>
    <t>47.996366800959066</t>
  </si>
  <si>
    <t>47.99634715817729</t>
  </si>
  <si>
    <t>47.99630440627348</t>
  </si>
  <si>
    <t>47.99632635994817</t>
  </si>
  <si>
    <t>47.99628129715516</t>
  </si>
  <si>
    <t>47.99625703259515</t>
  </si>
  <si>
    <t>47.9962050371585</t>
  </si>
  <si>
    <t>47.99623161259554</t>
  </si>
  <si>
    <t>47.99617730628634</t>
  </si>
  <si>
    <t>47.99614841998141</t>
  </si>
  <si>
    <t>47.99611837824624</t>
  </si>
  <si>
    <t>47.99608718108333</t>
  </si>
  <si>
    <t>47.99605482849543</t>
  </si>
  <si>
    <t>47.996021320485276</t>
  </si>
  <si>
    <t>47.995986657055774</t>
  </si>
  <si>
    <t>47.99595083820987</t>
  </si>
  <si>
    <t>47.995913863950655</t>
  </si>
  <si>
    <t>47.9958757342813</t>
  </si>
  <si>
    <t>47.99579600872538</t>
  </si>
  <si>
    <t>47.995836449205086</t>
  </si>
  <si>
    <t>47.99575441284564</t>
  </si>
  <si>
    <t>47.99571166156947</t>
  </si>
  <si>
    <t>47.995667754900495</t>
  </si>
  <si>
    <t>47.99562269284254</t>
  </si>
  <si>
    <t>47.995529102575134</t>
  </si>
  <si>
    <t>47.995576475399425</t>
  </si>
  <si>
    <t>47.995480574373744</t>
  </si>
  <si>
    <t>47.99543089079939</t>
  </si>
  <si>
    <t>47.99538005185638</t>
  </si>
  <si>
    <t>47.99532805754905</t>
  </si>
  <si>
    <t>47.995274907881864</t>
  </si>
  <si>
    <t>47.995220602859405</t>
  </si>
  <si>
    <t>47.99516514248631</t>
  </si>
  <si>
    <t>47.99510852676733</t>
  </si>
  <si>
    <t>47.99499182931136</t>
  </si>
  <si>
    <t>47.995050755707375</t>
  </si>
  <si>
    <t>47.99493174758435</t>
  </si>
  <si>
    <t>47.994870510531506</t>
  </si>
  <si>
    <t>47.99480811815808</t>
  </si>
  <si>
    <t>47.994744570469464</t>
  </si>
  <si>
    <t>47.99467986747108</t>
  </si>
  <si>
    <t>47.99461400916848</t>
  </si>
  <si>
    <t>47.99454699556731</t>
  </si>
  <si>
    <t>47.994478826673344</t>
  </si>
  <si>
    <t>47.99440950249243</t>
  </si>
  <si>
    <t>47.99433902303051</t>
  </si>
  <si>
    <t>47.99426738829362</t>
  </si>
  <si>
    <t>47.99419459828794</t>
  </si>
  <si>
    <t>47.994120653019706</t>
  </si>
  <si>
    <t>47.99404555249525</t>
  </si>
  <si>
    <t>47.99396929672104</t>
  </si>
  <si>
    <t>47.9938918857036</t>
  </si>
  <si>
    <t>47.993813319449586</t>
  </si>
  <si>
    <t>47.99373359796576</t>
  </si>
  <si>
    <t>47.99365272125891</t>
  </si>
  <si>
    <t>47.99357068933603</t>
  </si>
  <si>
    <t>47.99348750220416</t>
  </si>
  <si>
    <t>47.99340315987038</t>
  </si>
  <si>
    <t>47.993317662341994</t>
  </si>
  <si>
    <t>47.993231009626314</t>
  </si>
  <si>
    <t>47.993054238662936</t>
  </si>
  <si>
    <t>47.993143201730796</t>
  </si>
  <si>
    <t>47.992964120430415</t>
  </si>
  <si>
    <t>47.99287284704093</t>
  </si>
  <si>
    <t>47.99268683482257</t>
  </si>
  <si>
    <t>47.99278041850234</t>
  </si>
  <si>
    <t>47.99259209600963</t>
  </si>
  <si>
    <t>47.9924962020717</t>
  </si>
  <si>
    <t>47.99239915301694</t>
  </si>
  <si>
    <t>47.99230094885374</t>
  </si>
  <si>
    <t>47.99220158959049</t>
  </si>
  <si>
    <t>47.99210107523573</t>
  </si>
  <si>
    <t>47.98893466461706</t>
  </si>
  <si>
    <t>47.98893582007959</t>
  </si>
  <si>
    <t>47.98893235369215</t>
  </si>
  <si>
    <t>47.988928887305</t>
  </si>
  <si>
    <t>47.98892426545594</t>
  </si>
  <si>
    <t>47.988918488145366</t>
  </si>
  <si>
    <t>47.98891155537375</t>
  </si>
  <si>
    <t>47.98890346714171</t>
  </si>
  <si>
    <t>47.988894223449925</t>
  </si>
  <si>
    <t>47.98888382429923</t>
  </si>
  <si>
    <t>47.98887226969046</t>
  </si>
  <si>
    <t>47.98885955962464</t>
  </si>
  <si>
    <t>47.98884569410286</t>
  </si>
  <si>
    <t>47.98883067312628</t>
  </si>
  <si>
    <t>47.988814496696236</t>
  </si>
  <si>
    <t>47.988797164814095</t>
  </si>
  <si>
    <t>47.988778677481335</t>
  </si>
  <si>
    <t>47.988759034699555</t>
  </si>
  <si>
    <t>47.98873823647044</t>
  </si>
  <si>
    <t>47.988716282795764</t>
  </si>
  <si>
    <t>47.988693173677426</t>
  </si>
  <si>
    <t>47.98866890911742</t>
  </si>
  <si>
    <t>47.988643489117806</t>
  </si>
  <si>
    <t>47.98861691368078</t>
  </si>
  <si>
    <t>47.9885891828086</t>
  </si>
  <si>
    <t>47.988560296503685</t>
  </si>
  <si>
    <t>47.988530254768506</t>
  </si>
  <si>
    <t>47.988499057605594</t>
  </si>
  <si>
    <t>47.988433197007545</t>
  </si>
  <si>
    <t>47.988466705017686</t>
  </si>
  <si>
    <t>47.98839853357804</t>
  </si>
  <si>
    <t>47.98836271473214</t>
  </si>
  <si>
    <t>47.98832574047294</t>
  </si>
  <si>
    <t>47.988287610803575</t>
  </si>
  <si>
    <t>47.988207885247654</t>
  </si>
  <si>
    <t>47.98824832572736</t>
  </si>
  <si>
    <t>47.98816628936792</t>
  </si>
  <si>
    <t>47.988123538091735</t>
  </si>
  <si>
    <t>47.98807963142278</t>
  </si>
  <si>
    <t>47.9880345693648</t>
  </si>
  <si>
    <t>47.9879883519217</t>
  </si>
  <si>
    <t>47.9879409790974</t>
  </si>
  <si>
    <t>47.98789245089602</t>
  </si>
  <si>
    <t>47.987842767321666</t>
  </si>
  <si>
    <t>47.98779192837865</t>
  </si>
  <si>
    <t>47.98773993407132</t>
  </si>
  <si>
    <t>47.98768678440413</t>
  </si>
  <si>
    <t>47.98763247938168</t>
  </si>
  <si>
    <t>47.98757701900857</t>
  </si>
  <si>
    <t>47.98752040328961</t>
  </si>
  <si>
    <t>47.987462632229644</t>
  </si>
  <si>
    <t>47.98740370583362</t>
  </si>
  <si>
    <t>47.98734362410662</t>
  </si>
  <si>
    <t>47.98728238705378</t>
  </si>
  <si>
    <t>47.98721999468035</t>
  </si>
  <si>
    <t>47.98715644699173</t>
  </si>
  <si>
    <t>47.987091743993346</t>
  </si>
  <si>
    <t>47.98702588569075</t>
  </si>
  <si>
    <t>47.98689070319561</t>
  </si>
  <si>
    <t>47.98695887208958</t>
  </si>
  <si>
    <t>47.9868213790147</t>
  </si>
  <si>
    <t>47.98675089955278</t>
  </si>
  <si>
    <t>47.9866792648159</t>
  </si>
  <si>
    <t>47.98660647481021</t>
  </si>
  <si>
    <t>47.98653252954197</t>
  </si>
  <si>
    <t>47.98645742901752</t>
  </si>
  <si>
    <t>47.986381173243295</t>
  </si>
  <si>
    <t>47.986303762225866</t>
  </si>
  <si>
    <t>47.98622519597186</t>
  </si>
  <si>
    <t>47.98614547448802</t>
  </si>
  <si>
    <t>47.98606459778117</t>
  </si>
  <si>
    <t>47.98598256585829</t>
  </si>
  <si>
    <t>47.985899378726415</t>
  </si>
  <si>
    <t>47.985815036392644</t>
  </si>
  <si>
    <t>47.98572953886427</t>
  </si>
  <si>
    <t>47.98564288614859</t>
  </si>
  <si>
    <t>47.98546611518521</t>
  </si>
  <si>
    <t>47.985555078253064</t>
  </si>
  <si>
    <t>47.98537599695268</t>
  </si>
  <si>
    <t>47.98528472356321</t>
  </si>
  <si>
    <t>47.98519229502461</t>
  </si>
  <si>
    <t>47.98509871134484</t>
  </si>
  <si>
    <t>47.9850039725319</t>
  </si>
  <si>
    <t>47.98490807859396</t>
  </si>
  <si>
    <t>47.984811029539216</t>
  </si>
  <si>
    <t>47.984712825376</t>
  </si>
  <si>
    <t>47.984512951758006</t>
  </si>
  <si>
    <t>47.984613466112755</t>
  </si>
  <si>
    <t>47.981347696601865</t>
  </si>
  <si>
    <t>47.98134654113934</t>
  </si>
  <si>
    <t>47.98134423021441</t>
  </si>
  <si>
    <t>47.98134076382726</t>
  </si>
  <si>
    <t>47.981336141978204</t>
  </si>
  <si>
    <t>47.98133036466763</t>
  </si>
  <si>
    <t>47.98132343189602</t>
  </si>
  <si>
    <t>47.98131534366399</t>
  </si>
  <si>
    <t>47.9813060999722</t>
  </si>
  <si>
    <t>47.981295700821505</t>
  </si>
  <si>
    <t>47.98127143614691</t>
  </si>
  <si>
    <t>47.98128414621272</t>
  </si>
  <si>
    <t>47.981257570625125</t>
  </si>
  <si>
    <t>47.98124254964856</t>
  </si>
  <si>
    <t>47.981226373218504</t>
  </si>
  <si>
    <t>47.98120904133636</t>
  </si>
  <si>
    <t>47.981190554003604</t>
  </si>
  <si>
    <t>47.98117091122183</t>
  </si>
  <si>
    <t>47.98115011299271</t>
  </si>
  <si>
    <t>47.98112815931803</t>
  </si>
  <si>
    <t>47.9811050501997</t>
  </si>
  <si>
    <t>47.98108078563969</t>
  </si>
  <si>
    <t>47.981028790203034</t>
  </si>
  <si>
    <t>47.981055365640074</t>
  </si>
  <si>
    <t>47.981001059330865</t>
  </si>
  <si>
    <t>47.98097217302595</t>
  </si>
  <si>
    <t>47.98094213129078</t>
  </si>
  <si>
    <t>47.98091093412786</t>
  </si>
  <si>
    <t>47.980845073529814</t>
  </si>
  <si>
    <t>47.98087858153996</t>
  </si>
  <si>
    <t>47.980810410100304</t>
  </si>
  <si>
    <t>47.98077459125441</t>
  </si>
  <si>
    <t>47.98073761699521</t>
  </si>
  <si>
    <t>47.98069948732584</t>
  </si>
  <si>
    <t>47.980660202249624</t>
  </si>
  <si>
    <t>47.980619761769915</t>
  </si>
  <si>
    <t>47.980578165890186</t>
  </si>
  <si>
    <t>47.980535414614</t>
  </si>
  <si>
    <t>47.98049150794504</t>
  </si>
  <si>
    <t>47.980446445887075</t>
  </si>
  <si>
    <t>47.98040022844396</t>
  </si>
  <si>
    <t>47.98035285561968</t>
  </si>
  <si>
    <t>47.980304327418295</t>
  </si>
  <si>
    <t>47.980254643843935</t>
  </si>
  <si>
    <t>47.98020380490092</t>
  </si>
  <si>
    <t>47.98015181059358</t>
  </si>
  <si>
    <t>47.9800986609264</t>
  </si>
  <si>
    <t>47.98004435590395</t>
  </si>
  <si>
    <t>47.97998889553084</t>
  </si>
  <si>
    <t>47.97993227981188</t>
  </si>
  <si>
    <t>47.979874508751905</t>
  </si>
  <si>
    <t>47.97981558235589</t>
  </si>
  <si>
    <t>47.97969426357605</t>
  </si>
  <si>
    <t>47.97975550062888</t>
  </si>
  <si>
    <t>47.97963187120263</t>
  </si>
  <si>
    <t>47.97956832351401</t>
  </si>
  <si>
    <t>47.97950362051562</t>
  </si>
  <si>
    <t>47.97943776221302</t>
  </si>
  <si>
    <t>47.97937074861184</t>
  </si>
  <si>
    <t>47.97930257971789</t>
  </si>
  <si>
    <t>47.97923325553697</t>
  </si>
  <si>
    <t>47.979162776075036</t>
  </si>
  <si>
    <t>47.979091141338166</t>
  </si>
  <si>
    <t>47.979018351332485</t>
  </si>
  <si>
    <t>47.978944406064244</t>
  </si>
  <si>
    <t>47.978869305539796</t>
  </si>
  <si>
    <t>47.97879304976557</t>
  </si>
  <si>
    <t>47.978715638748135</t>
  </si>
  <si>
    <t>47.978637072494124</t>
  </si>
  <si>
    <t>47.97855735101029</t>
  </si>
  <si>
    <t>47.97847647430345</t>
  </si>
  <si>
    <t>47.97839444238057</t>
  </si>
  <si>
    <t>47.978311255248684</t>
  </si>
  <si>
    <t>47.97822691291492</t>
  </si>
  <si>
    <t>47.97814141538653</t>
  </si>
  <si>
    <t>47.97805476267085</t>
  </si>
  <si>
    <t>47.97787799170748</t>
  </si>
  <si>
    <t>47.97796695477533</t>
  </si>
  <si>
    <t>47.97778787347495</t>
  </si>
  <si>
    <t>47.97769660008548</t>
  </si>
  <si>
    <t>47.97751058786711</t>
  </si>
  <si>
    <t>47.97760417154688</t>
  </si>
  <si>
    <t>47.97741584905417</t>
  </si>
  <si>
    <t>47.97731995511623</t>
  </si>
  <si>
    <t>47.97722290606149</t>
  </si>
  <si>
    <t>47.97712470189828</t>
  </si>
  <si>
    <t>47.97702534263503</t>
  </si>
  <si>
    <t>47.97692482828028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</si>
</sst>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46" fontId="0" fillId="2" borderId="0" xfId="0" applyNumberFormat="1" applyFill="1" applyAlignment="1">
      <alignment horizontal="left"/>
    </xf>
    <xf numFmtId="46" fontId="0" fillId="3" borderId="0" xfId="0" applyNumberFormat="1" applyFill="1" applyAlignment="1">
      <alignment horizontal="left"/>
    </xf>
    <xf numFmtId="46" fontId="0" fillId="4" borderId="0" xfId="0" applyNumberFormat="1" applyFill="1" applyAlignment="1">
      <alignment horizontal="left"/>
    </xf>
    <xf numFmtId="46" fontId="0" fillId="5" borderId="0" xfId="0" applyNumberFormat="1" applyFill="1" applyAlignment="1">
      <alignment horizontal="left"/>
    </xf>
    <xf numFmtId="0" fontId="2" fillId="0" borderId="3" xfId="0" applyFont="1" applyBorder="1"/>
    <xf numFmtId="0" fontId="3" fillId="5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oogle.com/maps/dir/?api=1&amp;origin=Gymnasium+Kirchheim,+Heimstettner+Str.+3,+85551+Kirchheim+bei+M&#252;nchen&amp;destination=48.13055551932023,11.997320130001427&amp;travelmode=car" TargetMode="External"/><Relationship Id="rId3182" Type="http://schemas.openxmlformats.org/officeDocument/2006/relationships/hyperlink" Target="https://www.google.com/maps/dir/?api=1&amp;origin=Gymnasium+Kirchheim,+Heimstettner+Str.+3,+85551+Kirchheim+bei+M&#252;nchen&amp;destination=48.011595043559474,11.385468600664204&amp;travelmode=car" TargetMode="External"/><Relationship Id="rId3042" Type="http://schemas.openxmlformats.org/officeDocument/2006/relationships/hyperlink" Target="https://www.google.com/maps/dir/?api=1&amp;origin=Gymnasium+Kirchheim,+Heimstettner+Str.+3,+85551+Kirchheim+bei+M&#252;nchen&amp;destination=48.02551763639724,11.789528545213775&amp;travelmode=car" TargetMode="External"/><Relationship Id="rId170" Type="http://schemas.openxmlformats.org/officeDocument/2006/relationships/hyperlink" Target="https://www.google.com/maps/dir/?api=1&amp;origin=Gymnasium+Kirchheim,+Heimstettner+Str.+3,+85551+Kirchheim+bei+M&#252;nchen&amp;destination=48.27344740349871,12.170471317116936&amp;travelmode=car" TargetMode="External"/><Relationship Id="rId987" Type="http://schemas.openxmlformats.org/officeDocument/2006/relationships/hyperlink" Target="https://www.google.com/maps/dir/?api=1&amp;origin=Gymnasium+Kirchheim,+Heimstettner+Str.+3,+85551+Kirchheim+bei+M&#252;nchen&amp;destination=48.20120569384698,11.44319250119349&amp;travelmode=car" TargetMode="External"/><Relationship Id="rId2668" Type="http://schemas.openxmlformats.org/officeDocument/2006/relationships/hyperlink" Target="https://www.google.com/maps/dir/?api=1&amp;origin=Gymnasium+Kirchheim,+Heimstettner+Str.+3,+85551+Kirchheim+bei+M&#252;nchen&amp;destination=48.056792168905204,11.547094869402834&amp;travelmode=car" TargetMode="External"/><Relationship Id="rId2875" Type="http://schemas.openxmlformats.org/officeDocument/2006/relationships/hyperlink" Target="https://www.google.com/maps/dir/?api=1&amp;origin=Gymnasium+Kirchheim,+Heimstettner+Str.+3,+85551+Kirchheim+bei+M&#252;nchen&amp;destination=48.040075736433714,11.90496952282889&amp;travelmode=car" TargetMode="External"/><Relationship Id="rId847" Type="http://schemas.openxmlformats.org/officeDocument/2006/relationships/hyperlink" Target="https://www.google.com/maps/dir/?api=1&amp;origin=Gymnasium+Kirchheim,+Heimstettner+Str.+3,+85551+Kirchheim+bei+M&#252;nchen&amp;destination=48.21480015132374,11.870337526618448&amp;travelmode=car" TargetMode="External"/><Relationship Id="rId1477" Type="http://schemas.openxmlformats.org/officeDocument/2006/relationships/hyperlink" Target="https://www.google.com/maps/dir/?api=1&amp;origin=Gymnasium+Kirchheim,+Heimstettner+Str.+3,+85551+Kirchheim+bei+M&#252;nchen&amp;destination=48.160672314475896,12.031951048971356&amp;travelmode=car" TargetMode="External"/><Relationship Id="rId1684" Type="http://schemas.openxmlformats.org/officeDocument/2006/relationships/hyperlink" Target="https://www.google.com/maps/dir/?api=1&amp;origin=Gymnasium+Kirchheim,+Heimstettner+Str.+3,+85551+Kirchheim+bei+M&#252;nchen&amp;destination=48.14062202917931,11.362378987427904&amp;travelmode=car" TargetMode="External"/><Relationship Id="rId1891" Type="http://schemas.openxmlformats.org/officeDocument/2006/relationships/hyperlink" Target="https://www.google.com/maps/dir/?api=1&amp;origin=Gymnasium+Kirchheim,+Heimstettner+Str.+3,+85551+Kirchheim+bei+M&#252;nchen&amp;destination=48.12442898992087,11.731807073753979&amp;travelmode=car" TargetMode="External"/><Relationship Id="rId2528" Type="http://schemas.openxmlformats.org/officeDocument/2006/relationships/hyperlink" Target="https://www.google.com/maps/dir/?api=1&amp;origin=Gymnasium+Kirchheim,+Heimstettner+Str.+3,+85551+Kirchheim+bei+M&#252;nchen&amp;destination=48.070075833065275,11.962688898444616&amp;travelmode=car" TargetMode="External"/><Relationship Id="rId2735" Type="http://schemas.openxmlformats.org/officeDocument/2006/relationships/hyperlink" Target="https://www.google.com/maps/dir/?api=1&amp;origin=Gymnasium+Kirchheim,+Heimstettner+Str.+3,+85551+Kirchheim+bei+M&#252;nchen&amp;destination=48.04961654319562,11.304654858343824&amp;travelmode=car" TargetMode="External"/><Relationship Id="rId2942" Type="http://schemas.openxmlformats.org/officeDocument/2006/relationships/hyperlink" Target="https://www.google.com/maps/dir/?api=1&amp;origin=Gymnasium+Kirchheim,+Heimstettner+Str.+3,+85551+Kirchheim+bei+M&#252;nchen&amp;destination=48.03369503023431,11.650996073983201&amp;travelmode=car" TargetMode="External"/><Relationship Id="rId707" Type="http://schemas.openxmlformats.org/officeDocument/2006/relationships/hyperlink" Target="https://www.google.com/maps/dir/?api=1&amp;origin=Gymnasium+Kirchheim,+Heimstettner+Str.+3,+85551+Kirchheim+bei+M&#252;nchen&amp;destination=48.22416418150189,11.258475490819581&amp;travelmode=car" TargetMode="External"/><Relationship Id="rId914" Type="http://schemas.openxmlformats.org/officeDocument/2006/relationships/hyperlink" Target="https://www.google.com/maps/dir/?api=1&amp;origin=Gymnasium+Kirchheim,+Heimstettner+Str.+3,+85551+Kirchheim+bei+M&#252;nchen&amp;destination=48.208343191657846,11.616362491920484&amp;travelmode=car" TargetMode="External"/><Relationship Id="rId1337" Type="http://schemas.openxmlformats.org/officeDocument/2006/relationships/hyperlink" Target="https://www.google.com/maps/dir/?api=1&amp;origin=Gymnasium+Kirchheim,+Heimstettner+Str.+3,+85551+Kirchheim+bei+M&#252;nchen&amp;destination=48.170893640946936,11.420102966318577&amp;travelmode=car" TargetMode="External"/><Relationship Id="rId1544" Type="http://schemas.openxmlformats.org/officeDocument/2006/relationships/hyperlink" Target="https://www.google.com/maps/dir/?api=1&amp;origin=Gymnasium+Kirchheim,+Heimstettner+Str.+3,+85551+Kirchheim+bei+M&#252;nchen&amp;destination=48.15457119589181,11.777984299500497&amp;travelmode=car" TargetMode="External"/><Relationship Id="rId1751" Type="http://schemas.openxmlformats.org/officeDocument/2006/relationships/hyperlink" Target="https://www.google.com/maps/dir/?api=1&amp;origin=Gymnasium+Kirchheim,+Heimstettner+Str.+3,+85551+Kirchheim+bei+M&#252;nchen&amp;destination=48.13713846650735,12.135841789424584&amp;travelmode=car" TargetMode="External"/><Relationship Id="rId2802" Type="http://schemas.openxmlformats.org/officeDocument/2006/relationships/hyperlink" Target="https://www.google.com/maps/dir/?api=1&amp;origin=Gymnasium+Kirchheim,+Heimstettner+Str.+3,+85551+Kirchheim+bei+M&#252;nchen&amp;destination=48.04652002421452,12.078125096991752&amp;travelmode=car" TargetMode="External"/><Relationship Id="rId43" Type="http://schemas.openxmlformats.org/officeDocument/2006/relationships/hyperlink" Target="https://www.google.com/maps/dir/?api=1&amp;origin=Gymnasium+Kirchheim,+Heimstettner+Str.+3,+85551+Kirchheim+bei+M&#252;nchen&amp;destination=48.283829266527626,11.720262709205143&amp;travelmode=car" TargetMode="External"/><Relationship Id="rId1404" Type="http://schemas.openxmlformats.org/officeDocument/2006/relationships/hyperlink" Target="https://www.google.com/maps/dir/?api=1&amp;origin=Gymnasium+Kirchheim,+Heimstettner+Str.+3,+85551+Kirchheim+bei+M&#252;nchen&amp;destination=48.16702304205956,12.193557456977898&amp;travelmode=car" TargetMode="External"/><Relationship Id="rId1611" Type="http://schemas.openxmlformats.org/officeDocument/2006/relationships/hyperlink" Target="https://www.google.com/maps/dir/?api=1&amp;origin=Gymnasium+Kirchheim,+Heimstettner+Str.+3,+85551+Kirchheim+bei+M&#252;nchen&amp;destination=48.14788084780092,11.535550212322528&amp;travelmode=car" TargetMode="External"/><Relationship Id="rId3369" Type="http://schemas.openxmlformats.org/officeDocument/2006/relationships/hyperlink" Target="https://www.google.com/maps/dir/?api=1&amp;origin=Gymnasium+Kirchheim,+Heimstettner+Str.+3,+85551+Kirchheim+bei+M&#252;nchen&amp;destination=47.99617730628634,11.512460857153851&amp;travelmode=car" TargetMode="External"/><Relationship Id="rId3576" Type="http://schemas.openxmlformats.org/officeDocument/2006/relationships/hyperlink" Target="https://www.google.com/maps/dir/?api=1&amp;origin=Gymnasium+Kirchheim,+Heimstettner+Str.+3,+85551+Kirchheim+bei+M&#252;nchen&amp;destination=47.97956832351401,11.870337526618448&amp;travelmode=car" TargetMode="External"/><Relationship Id="rId497" Type="http://schemas.openxmlformats.org/officeDocument/2006/relationships/hyperlink" Target="https://www.google.com/maps/dir/?api=1&amp;origin=Gymnasium+Kirchheim,+Heimstettner+Str.+3,+85551+Kirchheim+bei+M&#252;nchen&amp;destination=48.24508794223629,11.881881555040426&amp;travelmode=car" TargetMode="External"/><Relationship Id="rId2178" Type="http://schemas.openxmlformats.org/officeDocument/2006/relationships/hyperlink" Target="https://www.google.com/maps/dir/?api=1&amp;origin=Gymnasium+Kirchheim,+Heimstettner+Str.+3,+85551+Kirchheim+bei+M&#252;nchen&amp;destination=48.10027928118352,11.985776420185003&amp;travelmode=car" TargetMode="External"/><Relationship Id="rId2385" Type="http://schemas.openxmlformats.org/officeDocument/2006/relationships/hyperlink" Target="https://www.google.com/maps/dir/?api=1&amp;origin=Gymnasium+Kirchheim,+Heimstettner+Str.+3,+85551+Kirchheim+bei+M&#252;nchen&amp;destination=48.07994130603204,11.339289350160644&amp;travelmode=car" TargetMode="External"/><Relationship Id="rId3229" Type="http://schemas.openxmlformats.org/officeDocument/2006/relationships/hyperlink" Target="https://www.google.com/maps/dir/?api=1&amp;origin=Gymnasium+Kirchheim,+Heimstettner+Str.+3,+85551+Kirchheim+bei+M&#252;nchen&amp;destination=48.00958574944789,11.928057368395926&amp;travelmode=car" TargetMode="External"/><Relationship Id="rId357" Type="http://schemas.openxmlformats.org/officeDocument/2006/relationships/hyperlink" Target="https://www.google.com/maps/dir/?api=1&amp;origin=Gymnasium+Kirchheim,+Heimstettner+Str.+3,+85551+Kirchheim+bei+M&#252;nchen&amp;destination=48.254508587176616,11.281565179283442&amp;travelmode=car" TargetMode="External"/><Relationship Id="rId1194" Type="http://schemas.openxmlformats.org/officeDocument/2006/relationships/hyperlink" Target="https://www.google.com/maps/dir/?api=1&amp;origin=Gymnasium+Kirchheim,+Heimstettner+Str.+3,+85551+Kirchheim+bei+M&#252;nchen&amp;destination=48.18486822942963,11.789528545213775&amp;travelmode=car" TargetMode="External"/><Relationship Id="rId2038" Type="http://schemas.openxmlformats.org/officeDocument/2006/relationships/hyperlink" Target="https://www.google.com/maps/dir/?api=1&amp;origin=Gymnasium+Kirchheim,+Heimstettner+Str.+3,+85551+Kirchheim+bei+M&#252;nchen&amp;destination=48.11024064877003,11.385468600664204&amp;travelmode=car" TargetMode="External"/><Relationship Id="rId2592" Type="http://schemas.openxmlformats.org/officeDocument/2006/relationships/hyperlink" Target="https://www.google.com/maps/dir/?api=1&amp;origin=Gymnasium+Kirchheim,+Heimstettner+Str.+3,+85551+Kirchheim+bei+M&#252;nchen&amp;destination=48.063915804142134,11.685629484445332&amp;travelmode=car" TargetMode="External"/><Relationship Id="rId3436" Type="http://schemas.openxmlformats.org/officeDocument/2006/relationships/hyperlink" Target="https://www.google.com/maps/dir/?api=1&amp;origin=Gymnasium+Kirchheim,+Heimstettner+Str.+3,+85551+Kirchheim+bei+M&#252;nchen&amp;destination=47.988928887305,11.27002033596574&amp;travelmode=car" TargetMode="External"/><Relationship Id="rId217" Type="http://schemas.openxmlformats.org/officeDocument/2006/relationships/hyperlink" Target="https://www.google.com/maps/dir/?api=1&amp;origin=Gymnasium+Kirchheim,+Heimstettner+Str.+3,+85551+Kirchheim+bei+M&#252;nchen&amp;destination=48.26874892059784,11.69717391402856&amp;travelmode=car" TargetMode="External"/><Relationship Id="rId564" Type="http://schemas.openxmlformats.org/officeDocument/2006/relationships/hyperlink" Target="https://www.google.com/maps/dir/?api=1&amp;origin=Gymnasium+Kirchheim,+Heimstettner+Str.+3,+85551+Kirchheim+bei+M&#252;nchen&amp;destination=48.23861596001286,11.639451564999296&amp;travelmode=car" TargetMode="External"/><Relationship Id="rId771" Type="http://schemas.openxmlformats.org/officeDocument/2006/relationships/hyperlink" Target="https://www.google.com/maps/dir/?api=1&amp;origin=Gymnasium+Kirchheim,+Heimstettner+Str.+3,+85551+Kirchheim+bei+M&#252;nchen&amp;destination=48.22161300105305,11.997320130001427&amp;travelmode=car" TargetMode="External"/><Relationship Id="rId2245" Type="http://schemas.openxmlformats.org/officeDocument/2006/relationships/hyperlink" Target="https://www.google.com/maps/dir/?api=1&amp;origin=Gymnasium+Kirchheim,+Heimstettner+Str.+3,+85551+Kirchheim+bei+M&#252;nchen&amp;destination=48.094025657066915,11.743351415580166&amp;travelmode=car" TargetMode="External"/><Relationship Id="rId2452" Type="http://schemas.openxmlformats.org/officeDocument/2006/relationships/hyperlink" Target="https://www.google.com/maps/dir/?api=1&amp;origin=Gymnasium+Kirchheim,+Heimstettner+Str.+3,+85551+Kirchheim+bei+M&#252;nchen&amp;destination=48.0767003678814,12.101211892775435&amp;travelmode=car" TargetMode="External"/><Relationship Id="rId3503" Type="http://schemas.openxmlformats.org/officeDocument/2006/relationships/hyperlink" Target="https://www.google.com/maps/dir/?api=1&amp;origin=Gymnasium+Kirchheim,+Heimstettner+Str.+3,+85551+Kirchheim+bei+M&#252;nchen&amp;destination=47.98606459778117,12.043494616728212&amp;travelmode=car" TargetMode="External"/><Relationship Id="rId424" Type="http://schemas.openxmlformats.org/officeDocument/2006/relationships/hyperlink" Target="https://www.google.com/maps/dir/?api=1&amp;origin=Gymnasium+Kirchheim,+Heimstettner+Str.+3,+85551+Kirchheim+bei+M&#252;nchen&amp;destination=48.25156688757897,12.055038147665204&amp;travelmode=car" TargetMode="External"/><Relationship Id="rId631" Type="http://schemas.openxmlformats.org/officeDocument/2006/relationships/hyperlink" Target="https://www.google.com/maps/dir/?api=1&amp;origin=Gymnasium+Kirchheim,+Heimstettner+Str.+3,+85551+Kirchheim+bei+M&#252;nchen&amp;destination=48.231634447983716,11.397013396964736&amp;travelmode=car" TargetMode="External"/><Relationship Id="rId1054" Type="http://schemas.openxmlformats.org/officeDocument/2006/relationships/hyperlink" Target="https://www.google.com/maps/dir/?api=1&amp;origin=Gymnasium+Kirchheim,+Heimstettner+Str.+3,+85551+Kirchheim+bei+M&#252;nchen&amp;destination=48.19718028275255,12.21664342242148&amp;travelmode=car" TargetMode="External"/><Relationship Id="rId1261" Type="http://schemas.openxmlformats.org/officeDocument/2006/relationships/hyperlink" Target="https://www.google.com/maps/dir/?api=1&amp;origin=Gymnasium+Kirchheim,+Heimstettner+Str.+3,+85551+Kirchheim+bei+M&#252;nchen&amp;destination=48.17816979196103,11.55863951211732&amp;travelmode=car" TargetMode="External"/><Relationship Id="rId2105" Type="http://schemas.openxmlformats.org/officeDocument/2006/relationships/hyperlink" Target="https://www.google.com/maps/dir/?api=1&amp;origin=Gymnasium+Kirchheim,+Heimstettner+Str.+3,+85551+Kirchheim+bei+M&#252;nchen&amp;destination=48.10660227066833,12.158928183084447&amp;travelmode=car" TargetMode="External"/><Relationship Id="rId2312" Type="http://schemas.openxmlformats.org/officeDocument/2006/relationships/hyperlink" Target="https://www.google.com/maps/dir/?api=1&amp;origin=Gymnasium+Kirchheim,+Heimstettner+Str.+3,+85551+Kirchheim+bei+M&#252;nchen&amp;destination=48.0872625188913,11.500916160110199&amp;travelmode=car" TargetMode="External"/><Relationship Id="rId1121" Type="http://schemas.openxmlformats.org/officeDocument/2006/relationships/hyperlink" Target="https://www.google.com/maps/dir/?api=1&amp;origin=Gymnasium+Kirchheim,+Heimstettner+Str.+3,+85551+Kirchheim+bei+M&#252;nchen&amp;destination=48.19141186344078,11.97423267615872&amp;travelmode=car" TargetMode="External"/><Relationship Id="rId3086" Type="http://schemas.openxmlformats.org/officeDocument/2006/relationships/hyperlink" Target="https://www.google.com/maps/dir/?api=1&amp;origin=Gymnasium+Kirchheim,+Heimstettner+Str.+3,+85551+Kirchheim+bei+M&#252;nchen&amp;destination=48.01927098205629,11.293110020250275&amp;travelmode=car" TargetMode="External"/><Relationship Id="rId3293" Type="http://schemas.openxmlformats.org/officeDocument/2006/relationships/hyperlink" Target="https://www.google.com/maps/dir/?api=1&amp;origin=Gymnasium+Kirchheim,+Heimstettner+Str.+3,+85551+Kirchheim+bei+M&#252;nchen&amp;destination=48.003299785047204,11.66254056390037&amp;travelmode=car" TargetMode="External"/><Relationship Id="rId1938" Type="http://schemas.openxmlformats.org/officeDocument/2006/relationships/hyperlink" Target="https://www.google.com/maps/dir/?api=1&amp;origin=Gymnasium+Kirchheim,+Heimstettner+Str.+3,+85551+Kirchheim+bei+M&#252;nchen&amp;destination=48.11793276373855,11.246930644367383&amp;travelmode=car" TargetMode="External"/><Relationship Id="rId3153" Type="http://schemas.openxmlformats.org/officeDocument/2006/relationships/hyperlink" Target="https://www.google.com/maps/dir/?api=1&amp;origin=Gymnasium+Kirchheim,+Heimstettner+Str.+3,+85551+Kirchheim+bei+M&#252;nchen&amp;destination=48.01625187263736,12.066581641260367&amp;travelmode=car" TargetMode="External"/><Relationship Id="rId3360" Type="http://schemas.openxmlformats.org/officeDocument/2006/relationships/hyperlink" Target="https://www.google.com/maps/dir/?api=1&amp;origin=Gymnasium+Kirchheim,+Heimstettner+Str.+3,+85551+Kirchheim+bei+M&#252;nchen&amp;destination=47.99640262017397,11.397013396964736&amp;travelmode=car" TargetMode="External"/><Relationship Id="rId281" Type="http://schemas.openxmlformats.org/officeDocument/2006/relationships/hyperlink" Target="https://www.google.com/maps/dir/?api=1&amp;origin=Gymnasium+Kirchheim,+Heimstettner+Str.+3,+85551+Kirchheim+bei+M&#252;nchen&amp;destination=48.26195112267975,11.420102966318577&amp;travelmode=car" TargetMode="External"/><Relationship Id="rId3013" Type="http://schemas.openxmlformats.org/officeDocument/2006/relationships/hyperlink" Target="https://www.google.com/maps/dir/?api=1&amp;origin=Gymnasium+Kirchheim,+Heimstettner+Str.+3,+85551+Kirchheim+bei+M&#252;nchen&amp;destination=48.02663379106609,11.466281997410366&amp;travelmode=car" TargetMode="External"/><Relationship Id="rId141" Type="http://schemas.openxmlformats.org/officeDocument/2006/relationships/hyperlink" Target="https://www.google.com/maps/dir/?api=1&amp;origin=Gymnasium+Kirchheim,+Heimstettner+Str.+3,+85551+Kirchheim+bei+M&#252;nchen&amp;destination=48.2756923162605,11.835705269507187&amp;travelmode=car" TargetMode="External"/><Relationship Id="rId3220" Type="http://schemas.openxmlformats.org/officeDocument/2006/relationships/hyperlink" Target="https://www.google.com/maps/dir/?api=1&amp;origin=Gymnasium+Kirchheim,+Heimstettner+Str.+3,+85551+Kirchheim+bei+M&#252;nchen&amp;destination=48.01016807626682,11.824161128262173&amp;travelmode=car" TargetMode="External"/><Relationship Id="rId7" Type="http://schemas.openxmlformats.org/officeDocument/2006/relationships/hyperlink" Target="https://www.google.com/maps/dir/?api=1&amp;origin=Gymnasium+Kirchheim,+Heimstettner+Str.+3,+85551+Kirchheim+bei+M&#252;nchen&amp;destination=48.28484837100537,11.304654858343824&amp;travelmode=car" TargetMode="External"/><Relationship Id="rId2779" Type="http://schemas.openxmlformats.org/officeDocument/2006/relationships/hyperlink" Target="https://www.google.com/maps/dir/?api=1&amp;origin=Gymnasium+Kirchheim,+Heimstettner+Str.+3,+85551+Kirchheim+bei+M&#252;nchen&amp;destination=48.0481086936555,11.824161128262173&amp;travelmode=car" TargetMode="External"/><Relationship Id="rId2986" Type="http://schemas.openxmlformats.org/officeDocument/2006/relationships/hyperlink" Target="https://www.google.com/maps/dir/?api=1&amp;origin=Gymnasium+Kirchheim,+Heimstettner+Str.+3,+85551+Kirchheim+bei+M&#252;nchen&amp;destination=48.030627452211235,12.170471317116936&amp;travelmode=car" TargetMode="External"/><Relationship Id="rId958" Type="http://schemas.openxmlformats.org/officeDocument/2006/relationships/hyperlink" Target="https://www.google.com/maps/dir/?api=1&amp;origin=Gymnasium+Kirchheim,+Heimstettner+Str.+3,+85551+Kirchheim+bei+M&#252;nchen&amp;destination=48.205521696039476,12.12429853084091&amp;travelmode=car" TargetMode="External"/><Relationship Id="rId1588" Type="http://schemas.openxmlformats.org/officeDocument/2006/relationships/hyperlink" Target="https://www.google.com/maps/dir/?api=1&amp;origin=Gymnasium+Kirchheim,+Heimstettner+Str.+3,+85551+Kirchheim+bei+M&#252;nchen&amp;destination=48.14827948033741,11.27002033596574&amp;travelmode=car" TargetMode="External"/><Relationship Id="rId1795" Type="http://schemas.openxmlformats.org/officeDocument/2006/relationships/hyperlink" Target="https://www.google.com/maps/dir/?api=1&amp;origin=Gymnasium+Kirchheim,+Heimstettner+Str.+3,+85551+Kirchheim+bei+M&#252;nchen&amp;destination=48.132422671804285,11.627907037470955&amp;travelmode=car" TargetMode="External"/><Relationship Id="rId2639" Type="http://schemas.openxmlformats.org/officeDocument/2006/relationships/hyperlink" Target="https://www.google.com/maps/dir/?api=1&amp;origin=Gymnasium+Kirchheim,+Heimstettner+Str.+3,+85551+Kirchheim+bei+M&#252;nchen&amp;destination=48.0604947008901,12.228186338432307&amp;travelmode=car" TargetMode="External"/><Relationship Id="rId2846" Type="http://schemas.openxmlformats.org/officeDocument/2006/relationships/hyperlink" Target="https://www.google.com/maps/dir/?api=1&amp;origin=Gymnasium+Kirchheim,+Heimstettner+Str.+3,+85551+Kirchheim+bei+M&#252;nchen&amp;destination=48.04158356936182,11.55863951211732&amp;travelmode=car" TargetMode="External"/><Relationship Id="rId87" Type="http://schemas.openxmlformats.org/officeDocument/2006/relationships/hyperlink" Target="https://www.google.com/maps/dir/?api=1&amp;origin=Gymnasium+Kirchheim,+Heimstettner+Str.+3,+85551+Kirchheim+bei+M&#252;nchen&amp;destination=48.28055028174437,12.228186338432307&amp;travelmode=car" TargetMode="External"/><Relationship Id="rId818" Type="http://schemas.openxmlformats.org/officeDocument/2006/relationships/hyperlink" Target="https://www.google.com/maps/dir/?api=1&amp;origin=Gymnasium+Kirchheim,+Heimstettner+Str.+3,+85551+Kirchheim+bei+M&#252;nchen&amp;destination=48.21620400083568,11.524005541398747&amp;travelmode=car" TargetMode="External"/><Relationship Id="rId1448" Type="http://schemas.openxmlformats.org/officeDocument/2006/relationships/hyperlink" Target="https://www.google.com/maps/dir/?api=1&amp;origin=Gymnasium+Kirchheim,+Heimstettner+Str.+3,+85551+Kirchheim+bei+M&#252;nchen&amp;destination=48.162561409352676,11.685629484445332&amp;travelmode=car" TargetMode="External"/><Relationship Id="rId1655" Type="http://schemas.openxmlformats.org/officeDocument/2006/relationships/hyperlink" Target="https://www.google.com/maps/dir/?api=1&amp;origin=Gymnasium+Kirchheim,+Heimstettner+Str.+3,+85551+Kirchheim+bei+M&#252;nchen&amp;destination=48.14541519081359,12.043494616728212&amp;travelmode=car" TargetMode="External"/><Relationship Id="rId2706" Type="http://schemas.openxmlformats.org/officeDocument/2006/relationships/hyperlink" Target="https://www.google.com/maps/dir/?api=1&amp;origin=Gymnasium+Kirchheim,+Heimstettner+Str.+3,+85551+Kirchheim+bei+M&#252;nchen&amp;destination=48.05475054031712,11.985776420185003&amp;travelmode=car" TargetMode="External"/><Relationship Id="rId1308" Type="http://schemas.openxmlformats.org/officeDocument/2006/relationships/hyperlink" Target="https://www.google.com/maps/dir/?api=1&amp;origin=Gymnasium+Kirchheim,+Heimstettner+Str.+3,+85551+Kirchheim+bei+M&#252;nchen&amp;destination=48.175345973091936,12.101211892775435&amp;travelmode=car" TargetMode="External"/><Relationship Id="rId1862" Type="http://schemas.openxmlformats.org/officeDocument/2006/relationships/hyperlink" Target="https://www.google.com/maps/dir/?api=1&amp;origin=Gymnasium+Kirchheim,+Heimstettner+Str.+3,+85551+Kirchheim+bei+M&#252;nchen&amp;destination=48.12541689572549,11.385468600664204&amp;travelmode=car" TargetMode="External"/><Relationship Id="rId2913" Type="http://schemas.openxmlformats.org/officeDocument/2006/relationships/hyperlink" Target="https://www.google.com/maps/dir/?api=1&amp;origin=Gymnasium+Kirchheim,+Heimstettner+Str.+3,+85551+Kirchheim+bei+M&#252;nchen&amp;destination=48.034422964316335,11.327744523821421&amp;travelmode=car" TargetMode="External"/><Relationship Id="rId1515" Type="http://schemas.openxmlformats.org/officeDocument/2006/relationships/hyperlink" Target="https://www.google.com/maps/dir/?api=1&amp;origin=Gymnasium+Kirchheim,+Heimstettner+Str.+3,+85551+Kirchheim+bei+M&#252;nchen&amp;destination=48.15567695298058,11.44319250119349&amp;travelmode=car" TargetMode="External"/><Relationship Id="rId1722" Type="http://schemas.openxmlformats.org/officeDocument/2006/relationships/hyperlink" Target="https://www.google.com/maps/dir/?api=1&amp;origin=Gymnasium+Kirchheim,+Heimstettner+Str.+3,+85551+Kirchheim+bei+M&#252;nchen&amp;destination=48.13928287284428,11.801072765593279&amp;travelmode=car" TargetMode="External"/><Relationship Id="rId14" Type="http://schemas.openxmlformats.org/officeDocument/2006/relationships/hyperlink" Target="https://www.google.com/maps/dir/?api=1&amp;origin=Gymnasium+Kirchheim,+Heimstettner+Str.+3,+85551+Kirchheim+bei+M&#252;nchen&amp;destination=48.28478250973447,11.373923797311125&amp;travelmode=car" TargetMode="External"/><Relationship Id="rId2289" Type="http://schemas.openxmlformats.org/officeDocument/2006/relationships/hyperlink" Target="https://www.google.com/maps/dir/?api=1&amp;origin=Gymnasium+Kirchheim,+Heimstettner+Str.+3,+85551+Kirchheim+bei+M&#252;nchen&amp;destination=48.087581425290125,11.235385797131558&amp;travelmode=car" TargetMode="External"/><Relationship Id="rId2496" Type="http://schemas.openxmlformats.org/officeDocument/2006/relationships/hyperlink" Target="https://www.google.com/maps/dir/?api=1&amp;origin=Gymnasium+Kirchheim,+Heimstettner+Str.+3,+85551+Kirchheim+bei+M&#252;nchen&amp;destination=48.0718678918331,11.581728752359444&amp;travelmode=car" TargetMode="External"/><Relationship Id="rId3547" Type="http://schemas.openxmlformats.org/officeDocument/2006/relationships/hyperlink" Target="https://www.google.com/maps/dir/?api=1&amp;origin=Gymnasium+Kirchheim,+Heimstettner+Str.+3,+85551+Kirchheim+bei+M&#252;nchen&amp;destination=47.98094213129078,11.535550212322528&amp;travelmode=car" TargetMode="External"/><Relationship Id="rId468" Type="http://schemas.openxmlformats.org/officeDocument/2006/relationships/hyperlink" Target="https://www.google.com/maps/dir/?api=1&amp;origin=Gymnasium+Kirchheim,+Heimstettner+Str.+3,+85551+Kirchheim+bei+M&#252;nchen&amp;destination=48.246526453011455,11.535550212322528&amp;travelmode=car" TargetMode="External"/><Relationship Id="rId675" Type="http://schemas.openxmlformats.org/officeDocument/2006/relationships/hyperlink" Target="https://www.google.com/maps/dir/?api=1&amp;origin=Gymnasium+Kirchheim,+Heimstettner+Str.+3,+85551+Kirchheim+bei+M&#252;nchen&amp;destination=48.22977882337706,11.90496952282889&amp;travelmode=car" TargetMode="External"/><Relationship Id="rId882" Type="http://schemas.openxmlformats.org/officeDocument/2006/relationships/hyperlink" Target="https://www.google.com/maps/dir/?api=1&amp;origin=Gymnasium+Kirchheim,+Heimstettner+Str.+3,+85551+Kirchheim+bei+M&#252;nchen&amp;destination=48.20899024547135,11.246930644367383&amp;travelmode=car" TargetMode="External"/><Relationship Id="rId1098" Type="http://schemas.openxmlformats.org/officeDocument/2006/relationships/hyperlink" Target="https://www.google.com/maps/dir/?api=1&amp;origin=Gymnasium+Kirchheim,+Heimstettner+Str.+3,+85551+Kirchheim+bei+M&#252;nchen&amp;destination=48.19282031299621,11.708718322455919&amp;travelmode=car" TargetMode="External"/><Relationship Id="rId2149" Type="http://schemas.openxmlformats.org/officeDocument/2006/relationships/hyperlink" Target="https://www.google.com/maps/dir/?api=1&amp;origin=Gymnasium+Kirchheim,+Heimstettner+Str.+3,+85551+Kirchheim+bei+M&#252;nchen&amp;destination=48.101988141533916,11.650996073983201&amp;travelmode=car" TargetMode="External"/><Relationship Id="rId2356" Type="http://schemas.openxmlformats.org/officeDocument/2006/relationships/hyperlink" Target="https://www.google.com/maps/dir/?api=1&amp;origin=Gymnasium+Kirchheim,+Heimstettner+Str.+3,+85551+Kirchheim+bei+M&#252;nchen&amp;destination=48.0849493674364,12.00886380508597&amp;travelmode=car" TargetMode="External"/><Relationship Id="rId2563" Type="http://schemas.openxmlformats.org/officeDocument/2006/relationships/hyperlink" Target="https://www.google.com/maps/dir/?api=1&amp;origin=Gymnasium+Kirchheim,+Heimstettner+Str.+3,+85551+Kirchheim+bei+M&#252;nchen&amp;destination=48.064753504467795,11.350834171536942&amp;travelmode=car" TargetMode="External"/><Relationship Id="rId2770" Type="http://schemas.openxmlformats.org/officeDocument/2006/relationships/hyperlink" Target="https://www.google.com/maps/dir/?api=1&amp;origin=Gymnasium+Kirchheim,+Heimstettner+Str.+3,+85551+Kirchheim+bei+M&#252;nchen&amp;destination=48.04864596691927,11.708718322455919&amp;travelmode=car" TargetMode="External"/><Relationship Id="rId3407" Type="http://schemas.openxmlformats.org/officeDocument/2006/relationships/hyperlink" Target="https://www.google.com/maps/dir/?api=1&amp;origin=Gymnasium+Kirchheim,+Heimstettner+Str.+3,+85551+Kirchheim+bei+M&#252;nchen&amp;destination=47.99426738829362,11.95114508756474&amp;travelmode=car" TargetMode="External"/><Relationship Id="rId328" Type="http://schemas.openxmlformats.org/officeDocument/2006/relationships/hyperlink" Target="https://www.google.com/maps/dir/?api=1&amp;origin=Gymnasium+Kirchheim,+Heimstettner+Str.+3,+85551+Kirchheim+bei+M&#252;nchen&amp;destination=48.25977892000862,11.962688898444616&amp;travelmode=car" TargetMode="External"/><Relationship Id="rId535" Type="http://schemas.openxmlformats.org/officeDocument/2006/relationships/hyperlink" Target="https://www.google.com/maps/dir/?api=1&amp;origin=Gymnasium+Kirchheim,+Heimstettner+Str.+3,+85551+Kirchheim+bei+M&#252;nchen&amp;destination=48.23931963013895,11.304654858343824&amp;travelmode=car" TargetMode="External"/><Relationship Id="rId742" Type="http://schemas.openxmlformats.org/officeDocument/2006/relationships/hyperlink" Target="https://www.google.com/maps/dir/?api=1&amp;origin=Gymnasium+Kirchheim,+Heimstettner+Str.+3,+85551+Kirchheim+bei+M&#252;nchen&amp;destination=48.22339811717766,11.650996073983201&amp;travelmode=car" TargetMode="External"/><Relationship Id="rId1165" Type="http://schemas.openxmlformats.org/officeDocument/2006/relationships/hyperlink" Target="https://www.google.com/maps/dir/?api=1&amp;origin=Gymnasium+Kirchheim,+Heimstettner+Str.+3,+85551+Kirchheim+bei+M&#252;nchen&amp;destination=48.1859843840985,11.466281997410366&amp;travelmode=car" TargetMode="External"/><Relationship Id="rId1372" Type="http://schemas.openxmlformats.org/officeDocument/2006/relationships/hyperlink" Target="https://www.google.com/maps/dir/?api=1&amp;origin=Gymnasium+Kirchheim,+Heimstettner+Str.+3,+85551+Kirchheim+bei+M&#252;nchen&amp;destination=48.16951866929922,11.824161128262173&amp;travelmode=car" TargetMode="External"/><Relationship Id="rId2009" Type="http://schemas.openxmlformats.org/officeDocument/2006/relationships/hyperlink" Target="https://www.google.com/maps/dir/?api=1&amp;origin=Gymnasium+Kirchheim,+Heimstettner+Str.+3,+85551+Kirchheim+bei+M&#252;nchen&amp;destination=48.11489747784789,12.066581641260367&amp;travelmode=car" TargetMode="External"/><Relationship Id="rId2216" Type="http://schemas.openxmlformats.org/officeDocument/2006/relationships/hyperlink" Target="https://www.google.com/maps/dir/?api=1&amp;origin=Gymnasium+Kirchheim,+Heimstettner+Str.+3,+85551+Kirchheim+bei+M&#252;nchen&amp;destination=48.095030893502354,11.408558185690326&amp;travelmode=car" TargetMode="External"/><Relationship Id="rId2423" Type="http://schemas.openxmlformats.org/officeDocument/2006/relationships/hyperlink" Target="https://www.google.com/maps/dir/?api=1&amp;origin=Gymnasium+Kirchheim,+Heimstettner+Str.+3,+85551+Kirchheim+bei+M&#252;nchen&amp;destination=48.078744266136944,11.766440028975659&amp;travelmode=car" TargetMode="External"/><Relationship Id="rId2630" Type="http://schemas.openxmlformats.org/officeDocument/2006/relationships/hyperlink" Target="https://www.google.com/maps/dir/?api=1&amp;origin=Gymnasium+Kirchheim,+Heimstettner+Str.+3,+85551+Kirchheim+bei+M&#252;nchen&amp;destination=48.061347349962546,12.12429853084091&amp;travelmode=car" TargetMode="External"/><Relationship Id="rId602" Type="http://schemas.openxmlformats.org/officeDocument/2006/relationships/hyperlink" Target="https://www.google.com/maps/dir/?api=1&amp;origin=Gymnasium+Kirchheim,+Heimstettner+Str.+3,+85551+Kirchheim+bei+M&#252;nchen&amp;destination=48.236223111157855,12.078125096991752&amp;travelmode=car" TargetMode="External"/><Relationship Id="rId1025" Type="http://schemas.openxmlformats.org/officeDocument/2006/relationships/hyperlink" Target="https://www.google.com/maps/dir/?api=1&amp;origin=Gymnasium+Kirchheim,+Heimstettner+Str.+3,+85551+Kirchheim+bei+M&#252;nchen&amp;destination=48.19955920136988,11.881881555040426&amp;travelmode=car" TargetMode="External"/><Relationship Id="rId1232" Type="http://schemas.openxmlformats.org/officeDocument/2006/relationships/hyperlink" Target="https://www.google.com/maps/dir/?api=1&amp;origin=Gymnasium+Kirchheim,+Heimstettner+Str.+3,+85551+Kirchheim+bei+M&#252;nchen&amp;destination=48.18190467653385,12.228186338432307&amp;travelmode=car" TargetMode="External"/><Relationship Id="rId3197" Type="http://schemas.openxmlformats.org/officeDocument/2006/relationships/hyperlink" Target="https://www.google.com/maps/dir/?api=1&amp;origin=Gymnasium+Kirchheim,+Heimstettner+Str.+3,+85551+Kirchheim+bei+M&#252;nchen&amp;destination=48.01123107545089,11.55863951211732&amp;travelmode=car" TargetMode="External"/><Relationship Id="rId3057" Type="http://schemas.openxmlformats.org/officeDocument/2006/relationships/hyperlink" Target="https://www.google.com/maps/dir/?api=1&amp;origin=Gymnasium+Kirchheim,+Heimstettner+Str.+3,+85551+Kirchheim+bei+M&#252;nchen&amp;destination=48.02439804640618,11.985776420185003&amp;travelmode=car" TargetMode="External"/><Relationship Id="rId185" Type="http://schemas.openxmlformats.org/officeDocument/2006/relationships/hyperlink" Target="https://www.google.com/maps/dir/?api=1&amp;origin=Gymnasium+Kirchheim,+Heimstettner+Str.+3,+85551+Kirchheim+bei+M&#252;nchen&amp;destination=48.26965479212609,11.327744523821421&amp;travelmode=car" TargetMode="External"/><Relationship Id="rId1909" Type="http://schemas.openxmlformats.org/officeDocument/2006/relationships/hyperlink" Target="https://www.google.com/maps/dir/?api=1&amp;origin=Gymnasium+Kirchheim,+Heimstettner+Str.+3,+85551+Kirchheim+bei+M&#252;nchen&amp;destination=48.12333712215197,11.939601244041153&amp;travelmode=car" TargetMode="External"/><Relationship Id="rId3264" Type="http://schemas.openxmlformats.org/officeDocument/2006/relationships/hyperlink" Target="https://www.google.com/maps/dir/?api=1&amp;origin=Gymnasium+Kirchheim,+Heimstettner+Str.+3,+85551+Kirchheim+bei+M&#252;nchen&amp;destination=48.00407971409718,11.316199693041677&amp;travelmode=car" TargetMode="External"/><Relationship Id="rId3471" Type="http://schemas.openxmlformats.org/officeDocument/2006/relationships/hyperlink" Target="https://www.google.com/maps/dir/?api=1&amp;origin=Gymnasium+Kirchheim,+Heimstettner+Str.+3,+85551+Kirchheim+bei+M&#252;nchen&amp;destination=47.98807963142278,11.67408503422851&amp;travelmode=car" TargetMode="External"/><Relationship Id="rId392" Type="http://schemas.openxmlformats.org/officeDocument/2006/relationships/hyperlink" Target="https://www.google.com/maps/dir/?api=1&amp;origin=Gymnasium+Kirchheim,+Heimstettner+Str.+3,+85551+Kirchheim+bei+M&#252;nchen&amp;destination=48.25361889108549,11.685629484445332&amp;travelmode=car" TargetMode="External"/><Relationship Id="rId2073" Type="http://schemas.openxmlformats.org/officeDocument/2006/relationships/hyperlink" Target="https://www.google.com/maps/dir/?api=1&amp;origin=Gymnasium+Kirchheim,+Heimstettner+Str.+3,+85551+Kirchheim+bei+M&#252;nchen&amp;destination=48.108986994652305,11.789528545213775&amp;travelmode=car" TargetMode="External"/><Relationship Id="rId2280" Type="http://schemas.openxmlformats.org/officeDocument/2006/relationships/hyperlink" Target="https://www.google.com/maps/dir/?api=1&amp;origin=Gymnasium+Kirchheim,+Heimstettner+Str.+3,+85551+Kirchheim+bei+M&#252;nchen&amp;destination=48.09151845225147,12.147385007013046&amp;travelmode=car" TargetMode="External"/><Relationship Id="rId3124" Type="http://schemas.openxmlformats.org/officeDocument/2006/relationships/hyperlink" Target="https://www.google.com/maps/dir/?api=1&amp;origin=Gymnasium+Kirchheim,+Heimstettner+Str.+3,+85551+Kirchheim+bei+M&#252;nchen&amp;destination=48.018195261232606,11.731807073753979&amp;travelmode=car" TargetMode="External"/><Relationship Id="rId3331" Type="http://schemas.openxmlformats.org/officeDocument/2006/relationships/hyperlink" Target="https://www.google.com/maps/dir/?api=1&amp;origin=Gymnasium+Kirchheim,+Heimstettner+Str.+3,+85551+Kirchheim+bei+M&#252;nchen&amp;destination=48.00090578581973,12.089668514337413&amp;travelmode=car" TargetMode="External"/><Relationship Id="rId252" Type="http://schemas.openxmlformats.org/officeDocument/2006/relationships/hyperlink" Target="https://www.google.com/maps/dir/?api=1&amp;origin=Gymnasium+Kirchheim,+Heimstettner+Str.+3,+85551+Kirchheim+bei+M&#252;nchen&amp;destination=48.26640345482474,12.101211892775435&amp;travelmode=car" TargetMode="External"/><Relationship Id="rId2140" Type="http://schemas.openxmlformats.org/officeDocument/2006/relationships/hyperlink" Target="https://www.google.com/maps/dir/?api=1&amp;origin=Gymnasium+Kirchheim,+Heimstettner+Str.+3,+85551+Kirchheim+bei+M&#252;nchen&amp;destination=48.102320909771606,11.547094869402834&amp;travelmode=car" TargetMode="External"/><Relationship Id="rId112" Type="http://schemas.openxmlformats.org/officeDocument/2006/relationships/hyperlink" Target="https://www.google.com/maps/dir/?api=1&amp;origin=Gymnasium+Kirchheim,+Heimstettner+Str.+3,+85551+Kirchheim+bei+M&#252;nchen&amp;destination=48.276965605834654,11.500916160110199&amp;travelmode=car" TargetMode="External"/><Relationship Id="rId1699" Type="http://schemas.openxmlformats.org/officeDocument/2006/relationships/hyperlink" Target="https://www.google.com/maps/dir/?api=1&amp;origin=Gymnasium+Kirchheim,+Heimstettner+Str.+3,+85551+Kirchheim+bei+M&#252;nchen&amp;destination=48.14029272432318,11.535550212322528&amp;travelmode=car" TargetMode="External"/><Relationship Id="rId2000" Type="http://schemas.openxmlformats.org/officeDocument/2006/relationships/hyperlink" Target="https://www.google.com/maps/dir/?api=1&amp;origin=Gymnasium+Kirchheim,+Heimstettner+Str.+3,+85551+Kirchheim+bei+M&#252;nchen&amp;destination=48.115677363937365,11.95114508756474&amp;travelmode=car" TargetMode="External"/><Relationship Id="rId2957" Type="http://schemas.openxmlformats.org/officeDocument/2006/relationships/hyperlink" Target="https://www.google.com/maps/dir/?api=1&amp;origin=Gymnasium+Kirchheim,+Heimstettner+Str.+3,+85551+Kirchheim+bei+M&#252;nchen&amp;destination=48.032872364973024,11.835705269507187&amp;travelmode=car" TargetMode="External"/><Relationship Id="rId929" Type="http://schemas.openxmlformats.org/officeDocument/2006/relationships/hyperlink" Target="https://www.google.com/maps/dir/?api=1&amp;origin=Gymnasium+Kirchheim,+Heimstettner+Str.+3,+85551+Kirchheim+bei+M&#252;nchen&amp;destination=48.20763259986285,11.789528545213775&amp;travelmode=car" TargetMode="External"/><Relationship Id="rId1559" Type="http://schemas.openxmlformats.org/officeDocument/2006/relationships/hyperlink" Target="https://www.google.com/maps/dir/?api=1&amp;origin=Gymnasium+Kirchheim,+Heimstettner+Str.+3,+85551+Kirchheim+bei+M&#252;nchen&amp;destination=48.15361798132603,11.95114508756474&amp;travelmode=car" TargetMode="External"/><Relationship Id="rId1766" Type="http://schemas.openxmlformats.org/officeDocument/2006/relationships/hyperlink" Target="https://www.google.com/maps/dir/?api=1&amp;origin=Gymnasium+Kirchheim,+Heimstettner+Str.+3,+85551+Kirchheim+bei+M&#252;nchen&amp;destination=48.13309861153288,11.281565179283442&amp;travelmode=car" TargetMode="External"/><Relationship Id="rId1973" Type="http://schemas.openxmlformats.org/officeDocument/2006/relationships/hyperlink" Target="https://www.google.com/maps/dir/?api=1&amp;origin=Gymnasium+Kirchheim,+Heimstettner+Str.+3,+85551+Kirchheim+bei+M&#252;nchen&amp;destination=48.117164388489385,11.650996073983201&amp;travelmode=car" TargetMode="External"/><Relationship Id="rId2817" Type="http://schemas.openxmlformats.org/officeDocument/2006/relationships/hyperlink" Target="https://www.google.com/maps/dir/?api=1&amp;origin=Gymnasium+Kirchheim,+Heimstettner+Str.+3,+85551+Kirchheim+bei+M&#252;nchen&amp;destination=48.04205268442372,11.235385797131558&amp;travelmode=car" TargetMode="External"/><Relationship Id="rId58" Type="http://schemas.openxmlformats.org/officeDocument/2006/relationships/hyperlink" Target="https://www.google.com/maps/dir/?api=1&amp;origin=Gymnasium+Kirchheim,+Heimstettner+Str.+3,+85551+Kirchheim+bei+M&#252;nchen&amp;destination=48.28302855962496,11.881881555040426&amp;travelmode=car" TargetMode="External"/><Relationship Id="rId1419" Type="http://schemas.openxmlformats.org/officeDocument/2006/relationships/hyperlink" Target="https://www.google.com/maps/dir/?api=1&amp;origin=Gymnasium+Kirchheim,+Heimstettner+Str.+3,+85551+Kirchheim+bei+M&#252;nchen&amp;destination=48.16339910967833,11.350834171536942&amp;travelmode=car" TargetMode="External"/><Relationship Id="rId1626" Type="http://schemas.openxmlformats.org/officeDocument/2006/relationships/hyperlink" Target="https://www.google.com/maps/dir/?api=1&amp;origin=Gymnasium+Kirchheim,+Heimstettner+Str.+3,+85551+Kirchheim+bei+M&#252;nchen&amp;destination=48.14729157212981,11.708718322455919&amp;travelmode=car" TargetMode="External"/><Relationship Id="rId1833" Type="http://schemas.openxmlformats.org/officeDocument/2006/relationships/hyperlink" Target="https://www.google.com/maps/dir/?api=1&amp;origin=Gymnasium+Kirchheim,+Heimstettner+Str.+3,+85551+Kirchheim+bei+M&#252;nchen&amp;destination=48.130073724803346,12.066581641260367&amp;travelmode=car" TargetMode="External"/><Relationship Id="rId1900" Type="http://schemas.openxmlformats.org/officeDocument/2006/relationships/hyperlink" Target="https://www.google.com/maps/dir/?api=1&amp;origin=Gymnasium+Kirchheim,+Heimstettner+Str.+3,+85551+Kirchheim+bei+M&#252;nchen&amp;destination=48.12398992843282,11.824161128262173&amp;travelmode=car" TargetMode="External"/><Relationship Id="rId579" Type="http://schemas.openxmlformats.org/officeDocument/2006/relationships/hyperlink" Target="https://www.google.com/maps/dir/?api=1&amp;origin=Gymnasium+Kirchheim,+Heimstettner+Str.+3,+85551+Kirchheim+bei+M&#252;nchen&amp;destination=48.23787070699485,11.81261696011681&amp;travelmode=car" TargetMode="External"/><Relationship Id="rId786" Type="http://schemas.openxmlformats.org/officeDocument/2006/relationships/hyperlink" Target="https://www.google.com/maps/dir/?api=1&amp;origin=Gymnasium+Kirchheim,+Heimstettner+Str.+3,+85551+Kirchheim+bei+M&#252;nchen&amp;destination=48.22033053915459,12.170471317116936&amp;travelmode=car" TargetMode="External"/><Relationship Id="rId993" Type="http://schemas.openxmlformats.org/officeDocument/2006/relationships/hyperlink" Target="https://www.google.com/maps/dir/?api=1&amp;origin=Gymnasium+Kirchheim,+Heimstettner+Str.+3,+85551+Kirchheim+bei+M&#252;nchen&amp;destination=48.20105664018514,11.512460857153851&amp;travelmode=car" TargetMode="External"/><Relationship Id="rId2467" Type="http://schemas.openxmlformats.org/officeDocument/2006/relationships/hyperlink" Target="https://www.google.com/maps/dir/?api=1&amp;origin=Gymnasium+Kirchheim,+Heimstettner+Str.+3,+85551+Kirchheim+bei+M&#252;nchen&amp;destination=48.07240171194722,11.258475490819581&amp;travelmode=car" TargetMode="External"/><Relationship Id="rId2674" Type="http://schemas.openxmlformats.org/officeDocument/2006/relationships/hyperlink" Target="https://www.google.com/maps/dir/?api=1&amp;origin=Gymnasium+Kirchheim,+Heimstettner+Str.+3,+85551+Kirchheim+bei+M&#252;nchen&amp;destination=48.05658072210318,11.616362491920484&amp;travelmode=car" TargetMode="External"/><Relationship Id="rId3518" Type="http://schemas.openxmlformats.org/officeDocument/2006/relationships/hyperlink" Target="https://www.google.com/maps/dir/?api=1&amp;origin=Gymnasium+Kirchheim,+Heimstettner+Str.+3,+85551+Kirchheim+bei+M&#252;nchen&amp;destination=47.984712825376,12.21664342242148&amp;travelmode=car" TargetMode="External"/><Relationship Id="rId439" Type="http://schemas.openxmlformats.org/officeDocument/2006/relationships/hyperlink" Target="https://www.google.com/maps/dir/?api=1&amp;origin=Gymnasium+Kirchheim,+Heimstettner+Str.+3,+85551+Kirchheim+bei+M&#252;nchen&amp;destination=48.25019778783345,12.228186338432307&amp;travelmode=car" TargetMode="External"/><Relationship Id="rId646" Type="http://schemas.openxmlformats.org/officeDocument/2006/relationships/hyperlink" Target="https://www.google.com/maps/dir/?api=1&amp;origin=Gymnasium+Kirchheim,+Heimstettner+Str.+3,+85551+Kirchheim+bei+M&#252;nchen&amp;destination=48.23125314829501,11.570184139943638&amp;travelmode=car" TargetMode="External"/><Relationship Id="rId1069" Type="http://schemas.openxmlformats.org/officeDocument/2006/relationships/hyperlink" Target="https://www.google.com/maps/dir/?api=1&amp;origin=Gymnasium+Kirchheim,+Heimstettner+Str.+3,+85551+Kirchheim+bei+M&#252;nchen&amp;destination=48.19372502800166,11.373923797311125&amp;travelmode=car" TargetMode="External"/><Relationship Id="rId1276" Type="http://schemas.openxmlformats.org/officeDocument/2006/relationships/hyperlink" Target="https://www.google.com/maps/dir/?api=1&amp;origin=Gymnasium+Kirchheim,+Heimstettner+Str.+3,+85551+Kirchheim+bei+M&#252;nchen&amp;destination=48.177545854265006,11.731807073753979&amp;travelmode=car" TargetMode="External"/><Relationship Id="rId1483" Type="http://schemas.openxmlformats.org/officeDocument/2006/relationships/hyperlink" Target="https://www.google.com/maps/dir/?api=1&amp;origin=Gymnasium+Kirchheim,+Heimstettner+Str.+3,+85551+Kirchheim+bei+M&#252;nchen&amp;destination=48.16025637885214,12.089668514337413&amp;travelmode=car" TargetMode="External"/><Relationship Id="rId2327" Type="http://schemas.openxmlformats.org/officeDocument/2006/relationships/hyperlink" Target="https://www.google.com/maps/dir/?api=1&amp;origin=Gymnasium+Kirchheim,+Heimstettner+Str.+3,+85551+Kirchheim+bei+M&#252;nchen&amp;destination=48.086725236633306,11.67408503422851&amp;travelmode=car" TargetMode="External"/><Relationship Id="rId2881" Type="http://schemas.openxmlformats.org/officeDocument/2006/relationships/hyperlink" Target="https://www.google.com/maps/dir/?api=1&amp;origin=Gymnasium+Kirchheim,+Heimstettner+Str.+3,+85551+Kirchheim+bei+M&#252;nchen&amp;destination=48.03964939388611,11.97423267615872&amp;travelmode=car" TargetMode="External"/><Relationship Id="rId506" Type="http://schemas.openxmlformats.org/officeDocument/2006/relationships/hyperlink" Target="https://www.google.com/maps/dir/?api=1&amp;origin=Gymnasium+Kirchheim,+Heimstettner+Str.+3,+85551+Kirchheim+bei+M&#252;nchen&amp;destination=48.24445362726047,11.985776420185003&amp;travelmode=car" TargetMode="External"/><Relationship Id="rId853" Type="http://schemas.openxmlformats.org/officeDocument/2006/relationships/hyperlink" Target="https://www.google.com/maps/dir/?api=1&amp;origin=Gymnasium+Kirchheim,+Heimstettner+Str.+3,+85551+Kirchheim+bei+M&#252;nchen&amp;destination=48.21446508334671,11.928057368395926&amp;travelmode=car" TargetMode="External"/><Relationship Id="rId1136" Type="http://schemas.openxmlformats.org/officeDocument/2006/relationships/hyperlink" Target="https://www.google.com/maps/dir/?api=1&amp;origin=Gymnasium+Kirchheim,+Heimstettner+Str.+3,+85551+Kirchheim+bei+M&#252;nchen&amp;destination=48.19016405746202,12.147385007013046&amp;travelmode=car" TargetMode="External"/><Relationship Id="rId1690" Type="http://schemas.openxmlformats.org/officeDocument/2006/relationships/hyperlink" Target="https://www.google.com/maps/dir/?api=1&amp;origin=Gymnasium+Kirchheim,+Heimstettner+Str.+3,+85551+Kirchheim+bei+M&#252;nchen&amp;destination=48.14052150425423,11.431647738327094&amp;travelmode=car" TargetMode="External"/><Relationship Id="rId2534" Type="http://schemas.openxmlformats.org/officeDocument/2006/relationships/hyperlink" Target="https://www.google.com/maps/dir/?api=1&amp;origin=Gymnasium+Kirchheim,+Heimstettner+Str.+3,+85551+Kirchheim+bei+M&#252;nchen&amp;destination=48.06961483274308,12.031951048971356&amp;travelmode=car" TargetMode="External"/><Relationship Id="rId2741" Type="http://schemas.openxmlformats.org/officeDocument/2006/relationships/hyperlink" Target="https://www.google.com/maps/dir/?api=1&amp;origin=Gymnasium+Kirchheim,+Heimstettner+Str.+3,+85551+Kirchheim+bei+M&#252;nchen&amp;destination=48.04955068192473,11.373923797311125&amp;travelmode=car" TargetMode="External"/><Relationship Id="rId713" Type="http://schemas.openxmlformats.org/officeDocument/2006/relationships/hyperlink" Target="https://www.google.com/maps/dir/?api=1&amp;origin=Gymnasium+Kirchheim,+Heimstettner+Str.+3,+85551+Kirchheim+bei+M&#252;nchen&amp;destination=48.22411565210898,11.339289350160644&amp;travelmode=car" TargetMode="External"/><Relationship Id="rId920" Type="http://schemas.openxmlformats.org/officeDocument/2006/relationships/hyperlink" Target="https://www.google.com/maps/dir/?api=1&amp;origin=Gymnasium+Kirchheim,+Heimstettner+Str.+3,+85551+Kirchheim+bei+M&#252;nchen&amp;destination=48.20813521227705,11.67408503422851&amp;travelmode=car" TargetMode="External"/><Relationship Id="rId1343" Type="http://schemas.openxmlformats.org/officeDocument/2006/relationships/hyperlink" Target="https://www.google.com/maps/dir/?api=1&amp;origin=Gymnasium+Kirchheim,+Heimstettner+Str.+3,+85551+Kirchheim+bei+M&#252;nchen&amp;destination=48.17075845258341,11.489371450790154&amp;travelmode=car" TargetMode="External"/><Relationship Id="rId1550" Type="http://schemas.openxmlformats.org/officeDocument/2006/relationships/hyperlink" Target="https://www.google.com/maps/dir/?api=1&amp;origin=Gymnasium+Kirchheim,+Heimstettner+Str.+3,+85551+Kirchheim+bei+M&#252;nchen&amp;destination=48.15422110356392,11.847249383329679&amp;travelmode=car" TargetMode="External"/><Relationship Id="rId2601" Type="http://schemas.openxmlformats.org/officeDocument/2006/relationships/hyperlink" Target="https://www.google.com/maps/dir/?api=1&amp;origin=Gymnasium+Kirchheim,+Heimstettner+Str.+3,+85551+Kirchheim+bei+M&#252;nchen&amp;destination=48.063458253785896,11.789528545213775&amp;travelmode=car" TargetMode="External"/><Relationship Id="rId1203" Type="http://schemas.openxmlformats.org/officeDocument/2006/relationships/hyperlink" Target="https://www.google.com/maps/dir/?api=1&amp;origin=Gymnasium+Kirchheim,+Heimstettner+Str.+3,+85551+Kirchheim+bei+M&#252;nchen&amp;destination=48.18425008251065,11.90496952282889&amp;travelmode=car" TargetMode="External"/><Relationship Id="rId1410" Type="http://schemas.openxmlformats.org/officeDocument/2006/relationships/hyperlink" Target="https://www.google.com/maps/dir/?api=1&amp;origin=Gymnasium+Kirchheim,+Heimstettner+Str.+3,+85551+Kirchheim+bei+M&#252;nchen&amp;destination=48.163461504604946,11.246930644367383&amp;travelmode=car" TargetMode="External"/><Relationship Id="rId3168" Type="http://schemas.openxmlformats.org/officeDocument/2006/relationships/hyperlink" Target="https://www.google.com/maps/dir/?api=1&amp;origin=Gymnasium+Kirchheim,+Heimstettner+Str.+3,+85551+Kirchheim+bei+M&#252;nchen&amp;destination=48.01486544566895,12.239729209273484&amp;travelmode=car" TargetMode="External"/><Relationship Id="rId3375" Type="http://schemas.openxmlformats.org/officeDocument/2006/relationships/hyperlink" Target="https://www.google.com/maps/dir/?api=1&amp;origin=Gymnasium+Kirchheim,+Heimstettner+Str.+3,+85551+Kirchheim+bei+M&#252;nchen&amp;destination=47.995986657055774,11.581728752359444&amp;travelmode=car" TargetMode="External"/><Relationship Id="rId3582" Type="http://schemas.openxmlformats.org/officeDocument/2006/relationships/hyperlink" Target="https://www.google.com/maps/dir/?api=1&amp;origin=Gymnasium+Kirchheim,+Heimstettner+Str.+3,+85551+Kirchheim+bei+M&#252;nchen&amp;destination=47.979162776075036,11.939601244041153&amp;travelmode=car" TargetMode="External"/><Relationship Id="rId296" Type="http://schemas.openxmlformats.org/officeDocument/2006/relationships/hyperlink" Target="https://www.google.com/maps/dir/?api=1&amp;origin=Gymnasium+Kirchheim,+Heimstettner+Str.+3,+85551+Kirchheim+bei+M&#252;nchen&amp;destination=48.26153515993055,11.593273348842407&amp;travelmode=car" TargetMode="External"/><Relationship Id="rId2184" Type="http://schemas.openxmlformats.org/officeDocument/2006/relationships/hyperlink" Target="https://www.google.com/maps/dir/?api=1&amp;origin=Gymnasium+Kirchheim,+Heimstettner+Str.+3,+85551+Kirchheim+bei+M&#252;nchen&amp;destination=48.0998044180243,12.055038147665204&amp;travelmode=car" TargetMode="External"/><Relationship Id="rId2391" Type="http://schemas.openxmlformats.org/officeDocument/2006/relationships/hyperlink" Target="https://www.google.com/maps/dir/?api=1&amp;origin=Gymnasium+Kirchheim,+Heimstettner+Str.+3,+85551+Kirchheim+bei+M&#252;nchen&amp;destination=48.07987197842905,11.397013396964736&amp;travelmode=car" TargetMode="External"/><Relationship Id="rId3028" Type="http://schemas.openxmlformats.org/officeDocument/2006/relationships/hyperlink" Target="https://www.google.com/maps/dir/?api=1&amp;origin=Gymnasium+Kirchheim,+Heimstettner+Str.+3,+85551+Kirchheim+bei+M&#252;nchen&amp;destination=48.02614850263632,11.639451564999296&amp;travelmode=car" TargetMode="External"/><Relationship Id="rId3235" Type="http://schemas.openxmlformats.org/officeDocument/2006/relationships/hyperlink" Target="https://www.google.com/maps/dir/?api=1&amp;origin=Gymnasium+Kirchheim,+Heimstettner+Str.+3,+85551+Kirchheim+bei+M&#252;nchen&amp;destination=48.009145543676496,11.997320130001427&amp;travelmode=car" TargetMode="External"/><Relationship Id="rId3442" Type="http://schemas.openxmlformats.org/officeDocument/2006/relationships/hyperlink" Target="https://www.google.com/maps/dir/?api=1&amp;origin=Gymnasium+Kirchheim,+Heimstettner+Str.+3,+85551+Kirchheim+bei+M&#252;nchen&amp;destination=47.98888382429923,11.339289350160644&amp;travelmode=car" TargetMode="External"/><Relationship Id="rId156" Type="http://schemas.openxmlformats.org/officeDocument/2006/relationships/hyperlink" Target="https://www.google.com/maps/dir/?api=1&amp;origin=Gymnasium+Kirchheim,+Heimstettner+Str.+3,+85551+Kirchheim+bei+M&#252;nchen&amp;destination=48.274729865397184,11.997320130001427&amp;travelmode=car" TargetMode="External"/><Relationship Id="rId363" Type="http://schemas.openxmlformats.org/officeDocument/2006/relationships/hyperlink" Target="https://www.google.com/maps/dir/?api=1&amp;origin=Gymnasium+Kirchheim,+Heimstettner+Str.+3,+85551+Kirchheim+bei+M&#252;nchen&amp;destination=48.25444388134532,11.362378987427904&amp;travelmode=car" TargetMode="External"/><Relationship Id="rId570" Type="http://schemas.openxmlformats.org/officeDocument/2006/relationships/hyperlink" Target="https://www.google.com/maps/dir/?api=1&amp;origin=Gymnasium+Kirchheim,+Heimstettner+Str.+3,+85551+Kirchheim+bei+M&#252;nchen&amp;destination=48.23834905386261,11.708718322455919&amp;travelmode=car" TargetMode="External"/><Relationship Id="rId2044" Type="http://schemas.openxmlformats.org/officeDocument/2006/relationships/hyperlink" Target="https://www.google.com/maps/dir/?api=1&amp;origin=Gymnasium+Kirchheim,+Heimstettner+Str.+3,+85551+Kirchheim+bei+M&#252;nchen&amp;destination=48.1101262584395,11.454737254395377&amp;travelmode=car" TargetMode="External"/><Relationship Id="rId2251" Type="http://schemas.openxmlformats.org/officeDocument/2006/relationships/hyperlink" Target="https://www.google.com/maps/dir/?api=1&amp;origin=Gymnasium+Kirchheim,+Heimstettner+Str.+3,+85551+Kirchheim+bei+M&#252;nchen&amp;destination=48.09369636091791,11.81261696011681&amp;travelmode=car" TargetMode="External"/><Relationship Id="rId3302" Type="http://schemas.openxmlformats.org/officeDocument/2006/relationships/hyperlink" Target="https://www.google.com/maps/dir/?api=1&amp;origin=Gymnasium+Kirchheim,+Heimstettner+Str.+3,+85551+Kirchheim+bei+M&#252;nchen&amp;destination=48.002916181026784,11.754895734161472&amp;travelmode=car" TargetMode="External"/><Relationship Id="rId223" Type="http://schemas.openxmlformats.org/officeDocument/2006/relationships/hyperlink" Target="https://www.google.com/maps/dir/?api=1&amp;origin=Gymnasium+Kirchheim,+Heimstettner+Str.+3,+85551+Kirchheim+bei+M&#252;nchen&amp;destination=48.268393048057824,11.777984299500497&amp;travelmode=car" TargetMode="External"/><Relationship Id="rId430" Type="http://schemas.openxmlformats.org/officeDocument/2006/relationships/hyperlink" Target="https://www.google.com/maps/dir/?api=1&amp;origin=Gymnasium+Kirchheim,+Heimstettner+Str.+3,+85551+Kirchheim+bei+M&#252;nchen&amp;destination=48.251050436905885,12.12429853084091&amp;travelmode=car" TargetMode="External"/><Relationship Id="rId1060" Type="http://schemas.openxmlformats.org/officeDocument/2006/relationships/hyperlink" Target="https://www.google.com/maps/dir/?api=1&amp;origin=Gymnasium+Kirchheim,+Heimstettner+Str.+3,+85551+Kirchheim+bei+M&#252;nchen&amp;destination=48.19380822120381,11.27002033596574&amp;travelmode=car" TargetMode="External"/><Relationship Id="rId2111" Type="http://schemas.openxmlformats.org/officeDocument/2006/relationships/hyperlink" Target="https://www.google.com/maps/dir/?api=1&amp;origin=Gymnasium+Kirchheim,+Heimstettner+Str.+3,+85551+Kirchheim+bei+M&#252;nchen&amp;destination=48.106023441756506,12.228186338432307&amp;travelmode=car" TargetMode="External"/><Relationship Id="rId1877" Type="http://schemas.openxmlformats.org/officeDocument/2006/relationships/hyperlink" Target="https://www.google.com/maps/dir/?api=1&amp;origin=Gymnasium+Kirchheim,+Heimstettner+Str.+3,+85551+Kirchheim+bei+M&#252;nchen&amp;destination=48.1250529276169,11.55863951211732&amp;travelmode=car" TargetMode="External"/><Relationship Id="rId2928" Type="http://schemas.openxmlformats.org/officeDocument/2006/relationships/hyperlink" Target="https://www.google.com/maps/dir/?api=1&amp;origin=Gymnasium+Kirchheim,+Heimstettner+Str.+3,+85551+Kirchheim+bei+M&#252;nchen&amp;destination=48.0341722299842,11.489371450790154&amp;travelmode=car" TargetMode="External"/><Relationship Id="rId1737" Type="http://schemas.openxmlformats.org/officeDocument/2006/relationships/hyperlink" Target="https://www.google.com/maps/dir/?api=1&amp;origin=Gymnasium+Kirchheim,+Heimstettner+Str.+3,+85551+Kirchheim+bei+M&#252;nchen&amp;destination=48.13829499909664,11.97423267615872&amp;travelmode=car" TargetMode="External"/><Relationship Id="rId1944" Type="http://schemas.openxmlformats.org/officeDocument/2006/relationships/hyperlink" Target="https://www.google.com/maps/dir/?api=1&amp;origin=Gymnasium+Kirchheim,+Heimstettner+Str.+3,+85551+Kirchheim+bei+M&#252;nchen&amp;destination=48.11790156626318,11.316199693041677&amp;travelmode=car" TargetMode="External"/><Relationship Id="rId3092" Type="http://schemas.openxmlformats.org/officeDocument/2006/relationships/hyperlink" Target="https://www.google.com/maps/dir/?api=1&amp;origin=Gymnasium+Kirchheim,+Heimstettner+Str.+3,+85551+Kirchheim+bei+M&#252;nchen&amp;destination=48.019212053535576,11.362378987427904&amp;travelmode=car" TargetMode="External"/><Relationship Id="rId29" Type="http://schemas.openxmlformats.org/officeDocument/2006/relationships/hyperlink" Target="https://www.google.com/maps/dir/?api=1&amp;origin=Gymnasium+Kirchheim,+Heimstettner+Str.+3,+85551+Kirchheim+bei+M&#252;nchen&amp;destination=48.284403520649306,11.55863951211732&amp;travelmode=car" TargetMode="External"/><Relationship Id="rId1804" Type="http://schemas.openxmlformats.org/officeDocument/2006/relationships/hyperlink" Target="https://www.google.com/maps/dir/?api=1&amp;origin=Gymnasium+Kirchheim,+Heimstettner+Str.+3,+85551+Kirchheim+bei+M&#252;nchen&amp;destination=48.132017113398604,11.731807073753979&amp;travelmode=car" TargetMode="External"/><Relationship Id="rId897" Type="http://schemas.openxmlformats.org/officeDocument/2006/relationships/hyperlink" Target="https://www.google.com/maps/dir/?api=1&amp;origin=Gymnasium+Kirchheim,+Heimstettner+Str.+3,+85551+Kirchheim+bei+M&#252;nchen&amp;destination=48.20883425833561,11.420102966318577&amp;travelmode=car" TargetMode="External"/><Relationship Id="rId2578" Type="http://schemas.openxmlformats.org/officeDocument/2006/relationships/hyperlink" Target="https://www.google.com/maps/dir/?api=1&amp;origin=Gymnasium+Kirchheim,+Heimstettner+Str.+3,+85551+Kirchheim+bei+M&#252;nchen&amp;destination=48.06444153128101,11.524005541398747&amp;travelmode=car" TargetMode="External"/><Relationship Id="rId2785" Type="http://schemas.openxmlformats.org/officeDocument/2006/relationships/hyperlink" Target="https://www.google.com/maps/dir/?api=1&amp;origin=Gymnasium+Kirchheim,+Heimstettner+Str.+3,+85551+Kirchheim+bei+M&#252;nchen&amp;destination=48.04779673181521,11.881881555040426&amp;travelmode=car" TargetMode="External"/><Relationship Id="rId2992" Type="http://schemas.openxmlformats.org/officeDocument/2006/relationships/hyperlink" Target="https://www.google.com/maps/dir/?api=1&amp;origin=Gymnasium+Kirchheim,+Heimstettner+Str.+3,+85551+Kirchheim+bei+M&#252;nchen&amp;destination=48.03004169262441,12.239729209273484&amp;travelmode=car" TargetMode="External"/><Relationship Id="rId757" Type="http://schemas.openxmlformats.org/officeDocument/2006/relationships/hyperlink" Target="https://www.google.com/maps/dir/?api=1&amp;origin=Gymnasium+Kirchheim,+Heimstettner+Str.+3,+85551+Kirchheim+bei+M&#252;nchen&amp;destination=48.22257545191636,11.835705269507187&amp;travelmode=car" TargetMode="External"/><Relationship Id="rId964" Type="http://schemas.openxmlformats.org/officeDocument/2006/relationships/hyperlink" Target="https://www.google.com/maps/dir/?api=1&amp;origin=Gymnasium+Kirchheim,+Heimstettner+Str.+3,+85551+Kirchheim+bei+M&#252;nchen&amp;destination=48.20505955338618,12.182014408588692&amp;travelmode=car" TargetMode="External"/><Relationship Id="rId1387" Type="http://schemas.openxmlformats.org/officeDocument/2006/relationships/hyperlink" Target="https://www.google.com/maps/dir/?api=1&amp;origin=Gymnasium+Kirchheim,+Heimstettner+Str.+3,+85551+Kirchheim+bei+M&#252;nchen&amp;destination=48.16849613670891,11.997320130001427&amp;travelmode=car" TargetMode="External"/><Relationship Id="rId1594" Type="http://schemas.openxmlformats.org/officeDocument/2006/relationships/hyperlink" Target="https://www.google.com/maps/dir/?api=1&amp;origin=Gymnasium+Kirchheim,+Heimstettner+Str.+3,+85551+Kirchheim+bei+M&#252;nchen&amp;destination=48.14824481648234,11.327744523821421&amp;travelmode=car" TargetMode="External"/><Relationship Id="rId2438" Type="http://schemas.openxmlformats.org/officeDocument/2006/relationships/hyperlink" Target="https://www.google.com/maps/dir/?api=1&amp;origin=Gymnasium+Kirchheim,+Heimstettner+Str.+3,+85551+Kirchheim+bei+M&#252;nchen&amp;destination=48.077878860747504,11.928057368395926&amp;travelmode=car" TargetMode="External"/><Relationship Id="rId2645" Type="http://schemas.openxmlformats.org/officeDocument/2006/relationships/hyperlink" Target="https://www.google.com/maps/dir/?api=1&amp;origin=Gymnasium+Kirchheim,+Heimstettner+Str.+3,+85551+Kirchheim+bei+M&#252;nchen&amp;destination=48.05721737675554,11.281565179283442&amp;travelmode=car" TargetMode="External"/><Relationship Id="rId2852" Type="http://schemas.openxmlformats.org/officeDocument/2006/relationships/hyperlink" Target="https://www.google.com/maps/dir/?api=1&amp;origin=Gymnasium+Kirchheim,+Heimstettner+Str.+3,+85551+Kirchheim+bei+M&#252;nchen&amp;destination=48.04132474959179,11.639451564999296&amp;travelmode=car" TargetMode="External"/><Relationship Id="rId93" Type="http://schemas.openxmlformats.org/officeDocument/2006/relationships/hyperlink" Target="https://www.google.com/maps/dir/?api=1&amp;origin=Gymnasium+Kirchheim,+Heimstettner+Str.+3,+85551+Kirchheim+bei+M&#252;nchen&amp;destination=48.27727295760982,11.281565179283442&amp;travelmode=car" TargetMode="External"/><Relationship Id="rId617" Type="http://schemas.openxmlformats.org/officeDocument/2006/relationships/hyperlink" Target="https://www.google.com/maps/dir/?api=1&amp;origin=Gymnasium+Kirchheim,+Heimstettner+Str.+3,+85551+Kirchheim+bei+M&#252;nchen&amp;destination=48.23175577136707,11.235385797131558&amp;travelmode=car" TargetMode="External"/><Relationship Id="rId824" Type="http://schemas.openxmlformats.org/officeDocument/2006/relationships/hyperlink" Target="https://www.google.com/maps/dir/?api=1&amp;origin=Gymnasium+Kirchheim,+Heimstettner+Str.+3,+85551+Kirchheim+bei+M&#252;nchen&amp;destination=48.21600641906414,11.593273348842407&amp;travelmode=car" TargetMode="External"/><Relationship Id="rId1247" Type="http://schemas.openxmlformats.org/officeDocument/2006/relationships/hyperlink" Target="https://www.google.com/maps/dir/?api=1&amp;origin=Gymnasium+Kirchheim,+Heimstettner+Str.+3,+85551+Kirchheim+bei+M&#252;nchen&amp;destination=48.178517583639575,11.397013396964736&amp;travelmode=car" TargetMode="External"/><Relationship Id="rId1454" Type="http://schemas.openxmlformats.org/officeDocument/2006/relationships/hyperlink" Target="https://www.google.com/maps/dir/?api=1&amp;origin=Gymnasium+Kirchheim,+Heimstettner+Str.+3,+85551+Kirchheim+bei+M&#252;nchen&amp;destination=48.16226677405919,11.754895734161472&amp;travelmode=car" TargetMode="External"/><Relationship Id="rId1661" Type="http://schemas.openxmlformats.org/officeDocument/2006/relationships/hyperlink" Target="https://www.google.com/maps/dir/?api=1&amp;origin=Gymnasium+Kirchheim,+Heimstettner+Str.+3,+85551+Kirchheim+bei+M&#252;nchen&amp;destination=48.14490567128548,12.112755231783899&amp;travelmode=car" TargetMode="External"/><Relationship Id="rId2505" Type="http://schemas.openxmlformats.org/officeDocument/2006/relationships/hyperlink" Target="https://www.google.com/maps/dir/?api=1&amp;origin=Gymnasium+Kirchheim,+Heimstettner+Str.+3,+85551+Kirchheim+bei+M&#252;nchen&amp;destination=48.071457710176766,11.69717391402856&amp;travelmode=car" TargetMode="External"/><Relationship Id="rId2712" Type="http://schemas.openxmlformats.org/officeDocument/2006/relationships/hyperlink" Target="https://www.google.com/maps/dir/?api=1&amp;origin=Gymnasium+Kirchheim,+Heimstettner+Str.+3,+85551+Kirchheim+bei+M&#252;nchen&amp;destination=48.0542756771579,12.055038147665204&amp;travelmode=car" TargetMode="External"/><Relationship Id="rId1107" Type="http://schemas.openxmlformats.org/officeDocument/2006/relationships/hyperlink" Target="https://www.google.com/maps/dir/?api=1&amp;origin=Gymnasium+Kirchheim,+Heimstettner+Str.+3,+85551+Kirchheim+bei+M&#252;nchen&amp;destination=48.19234196612846,11.81261696011681&amp;travelmode=car" TargetMode="External"/><Relationship Id="rId1314" Type="http://schemas.openxmlformats.org/officeDocument/2006/relationships/hyperlink" Target="https://www.google.com/maps/dir/?api=1&amp;origin=Gymnasium+Kirchheim,+Heimstettner+Str.+3,+85551+Kirchheim+bei+M&#252;nchen&amp;destination=48.17480179828817,12.170471317116936&amp;travelmode=car" TargetMode="External"/><Relationship Id="rId1521" Type="http://schemas.openxmlformats.org/officeDocument/2006/relationships/hyperlink" Target="https://www.google.com/maps/dir/?api=1&amp;origin=Gymnasium+Kirchheim,+Heimstettner+Str.+3,+85551+Kirchheim+bei+M&#252;nchen&amp;destination=48.15552789931874,11.512460857153851&amp;travelmode=car" TargetMode="External"/><Relationship Id="rId3279" Type="http://schemas.openxmlformats.org/officeDocument/2006/relationships/hyperlink" Target="https://www.google.com/maps/dir/?api=1&amp;origin=Gymnasium+Kirchheim,+Heimstettner+Str.+3,+85551+Kirchheim+bei+M&#252;nchen&amp;destination=48.003793160636235,11.500916160110199&amp;travelmode=car" TargetMode="External"/><Relationship Id="rId3486" Type="http://schemas.openxmlformats.org/officeDocument/2006/relationships/hyperlink" Target="https://www.google.com/maps/dir/?api=1&amp;origin=Gymnasium+Kirchheim,+Heimstettner+Str.+3,+85551+Kirchheim+bei+M&#252;nchen&amp;destination=47.98728238705378,11.847249383329679&amp;travelmode=car" TargetMode="External"/><Relationship Id="rId20" Type="http://schemas.openxmlformats.org/officeDocument/2006/relationships/hyperlink" Target="https://www.google.com/maps/dir/?api=1&amp;origin=Gymnasium+Kirchheim,+Heimstettner+Str.+3,+85551+Kirchheim+bei+M&#252;nchen&amp;destination=48.28465309842737,11.454737254395377&amp;travelmode=car" TargetMode="External"/><Relationship Id="rId2088" Type="http://schemas.openxmlformats.org/officeDocument/2006/relationships/hyperlink" Target="https://www.google.com/maps/dir/?api=1&amp;origin=Gymnasium+Kirchheim,+Heimstettner+Str.+3,+85551+Kirchheim+bei+M&#252;nchen&amp;destination=48.10801645045393,11.962688898444616&amp;travelmode=car" TargetMode="External"/><Relationship Id="rId2295" Type="http://schemas.openxmlformats.org/officeDocument/2006/relationships/hyperlink" Target="https://www.google.com/maps/dir/?api=1&amp;origin=Gymnasium+Kirchheim,+Heimstettner+Str.+3,+85551+Kirchheim+bei+M&#252;nchen&amp;destination=48.08755716058429,11.304654858343824&amp;travelmode=car" TargetMode="External"/><Relationship Id="rId3139" Type="http://schemas.openxmlformats.org/officeDocument/2006/relationships/hyperlink" Target="https://www.google.com/maps/dir/?api=1&amp;origin=Gymnasium+Kirchheim,+Heimstettner+Str.+3,+85551+Kirchheim+bei+M&#252;nchen&amp;destination=48.01731136600052,11.90496952282889&amp;travelmode=car" TargetMode="External"/><Relationship Id="rId3346" Type="http://schemas.openxmlformats.org/officeDocument/2006/relationships/hyperlink" Target="https://www.google.com/maps/dir/?api=1&amp;origin=Gymnasium+Kirchheim,+Heimstettner+Str.+3,+85551+Kirchheim+bei+M&#252;nchen&amp;destination=47.9965227880948,11.246930644367383&amp;travelmode=car" TargetMode="External"/><Relationship Id="rId267" Type="http://schemas.openxmlformats.org/officeDocument/2006/relationships/hyperlink" Target="https://www.google.com/maps/dir/?api=1&amp;origin=Gymnasium+Kirchheim,+Heimstettner+Str.+3,+85551+Kirchheim+bei+M&#252;nchen&amp;destination=48.26210133250341,11.27002033596574&amp;travelmode=car" TargetMode="External"/><Relationship Id="rId474" Type="http://schemas.openxmlformats.org/officeDocument/2006/relationships/hyperlink" Target="https://www.google.com/maps/dir/?api=1&amp;origin=Gymnasium+Kirchheim,+Heimstettner+Str.+3,+85551+Kirchheim+bei+M&#252;nchen&amp;destination=48.24628380904652,11.616362491920484&amp;travelmode=car" TargetMode="External"/><Relationship Id="rId2155" Type="http://schemas.openxmlformats.org/officeDocument/2006/relationships/hyperlink" Target="https://www.google.com/maps/dir/?api=1&amp;origin=Gymnasium+Kirchheim,+Heimstettner+Str.+3,+85551+Kirchheim+bei+M&#252;nchen&amp;destination=48.10171430306202,11.720262709205143&amp;travelmode=car" TargetMode="External"/><Relationship Id="rId3553" Type="http://schemas.openxmlformats.org/officeDocument/2006/relationships/hyperlink" Target="https://www.google.com/maps/dir/?api=1&amp;origin=Gymnasium+Kirchheim,+Heimstettner+Str.+3,+85551+Kirchheim+bei+M&#252;nchen&amp;destination=47.98073761699521,11.604817928870196&amp;travelmode=car" TargetMode="External"/><Relationship Id="rId127" Type="http://schemas.openxmlformats.org/officeDocument/2006/relationships/hyperlink" Target="https://www.google.com/maps/dir/?api=1&amp;origin=Gymnasium+Kirchheim,+Heimstettner+Str.+3,+85551+Kirchheim+bei+M&#252;nchen&amp;destination=48.27642832357665,11.67408503422851&amp;travelmode=car" TargetMode="External"/><Relationship Id="rId681" Type="http://schemas.openxmlformats.org/officeDocument/2006/relationships/hyperlink" Target="https://www.google.com/maps/dir/?api=1&amp;origin=Gymnasium+Kirchheim,+Heimstettner+Str.+3,+85551+Kirchheim+bei+M&#252;nchen&amp;destination=48.229352480829434,11.97423267615872&amp;travelmode=car" TargetMode="External"/><Relationship Id="rId2362" Type="http://schemas.openxmlformats.org/officeDocument/2006/relationships/hyperlink" Target="https://www.google.com/maps/dir/?api=1&amp;origin=Gymnasium+Kirchheim,+Heimstettner+Str.+3,+85551+Kirchheim+bei+M&#252;nchen&amp;destination=48.08446064160319,12.078125096991752&amp;travelmode=car" TargetMode="External"/><Relationship Id="rId3206" Type="http://schemas.openxmlformats.org/officeDocument/2006/relationships/hyperlink" Target="https://www.google.com/maps/dir/?api=1&amp;origin=Gymnasium+Kirchheim,+Heimstettner+Str.+3,+85551+Kirchheim+bei+M&#252;nchen&amp;destination=48.01088790852493,11.66254056390037&amp;travelmode=car" TargetMode="External"/><Relationship Id="rId3413" Type="http://schemas.openxmlformats.org/officeDocument/2006/relationships/hyperlink" Target="https://www.google.com/maps/dir/?api=1&amp;origin=Gymnasium+Kirchheim,+Heimstettner+Str.+3,+85551+Kirchheim+bei+M&#252;nchen&amp;destination=47.993813319449586,12.02040744491661&amp;travelmode=car" TargetMode="External"/><Relationship Id="rId334" Type="http://schemas.openxmlformats.org/officeDocument/2006/relationships/hyperlink" Target="https://www.google.com/maps/dir/?api=1&amp;origin=Gymnasium+Kirchheim,+Heimstettner+Str.+3,+85551+Kirchheim+bei+M&#252;nchen&amp;destination=48.25931791968643,12.031951048971356&amp;travelmode=car" TargetMode="External"/><Relationship Id="rId541" Type="http://schemas.openxmlformats.org/officeDocument/2006/relationships/hyperlink" Target="https://www.google.com/maps/dir/?api=1&amp;origin=Gymnasium+Kirchheim,+Heimstettner+Str.+3,+85551+Kirchheim+bei+M&#252;nchen&amp;destination=48.23925376886805,11.373923797311125&amp;travelmode=car" TargetMode="External"/><Relationship Id="rId1171" Type="http://schemas.openxmlformats.org/officeDocument/2006/relationships/hyperlink" Target="https://www.google.com/maps/dir/?api=1&amp;origin=Gymnasium+Kirchheim,+Heimstettner+Str.+3,+85551+Kirchheim+bei+M&#252;nchen&amp;destination=48.185821465189576,11.535550212322528&amp;travelmode=car" TargetMode="External"/><Relationship Id="rId2015" Type="http://schemas.openxmlformats.org/officeDocument/2006/relationships/hyperlink" Target="https://www.google.com/maps/dir/?api=1&amp;origin=Gymnasium+Kirchheim,+Heimstettner+Str.+3,+85551+Kirchheim+bei+M&#252;nchen&amp;destination=48.11437409607415,12.135841789424584&amp;travelmode=car" TargetMode="External"/><Relationship Id="rId2222" Type="http://schemas.openxmlformats.org/officeDocument/2006/relationships/hyperlink" Target="https://www.google.com/maps/dir/?api=1&amp;origin=Gymnasium+Kirchheim,+Heimstettner+Str.+3,+85551+Kirchheim+bei+M&#252;nchen&amp;destination=48.094902637805696,11.477826729716085&amp;travelmode=car" TargetMode="External"/><Relationship Id="rId401" Type="http://schemas.openxmlformats.org/officeDocument/2006/relationships/hyperlink" Target="https://www.google.com/maps/dir/?api=1&amp;origin=Gymnasium+Kirchheim,+Heimstettner+Str.+3,+85551+Kirchheim+bei+M&#252;nchen&amp;destination=48.25316134072925,11.789528545213775&amp;travelmode=car" TargetMode="External"/><Relationship Id="rId1031" Type="http://schemas.openxmlformats.org/officeDocument/2006/relationships/hyperlink" Target="https://www.google.com/maps/dir/?api=1&amp;origin=Gymnasium+Kirchheim,+Heimstettner+Str.+3,+85551+Kirchheim+bei+M&#252;nchen&amp;destination=48.199146722192445,11.95114508756474&amp;travelmode=car" TargetMode="External"/><Relationship Id="rId1988" Type="http://schemas.openxmlformats.org/officeDocument/2006/relationships/hyperlink" Target="https://www.google.com/maps/dir/?api=1&amp;origin=Gymnasium+Kirchheim,+Heimstettner+Str.+3,+85551+Kirchheim+bei+M&#252;nchen&amp;destination=48.11640180495509,11.824161128262173&amp;travelmode=car" TargetMode="External"/><Relationship Id="rId1848" Type="http://schemas.openxmlformats.org/officeDocument/2006/relationships/hyperlink" Target="https://www.google.com/maps/dir/?api=1&amp;origin=Gymnasium+Kirchheim,+Heimstettner+Str.+3,+85551+Kirchheim+bei+M&#252;nchen&amp;destination=48.128687297834944,12.239729209273484&amp;travelmode=car" TargetMode="External"/><Relationship Id="rId3063" Type="http://schemas.openxmlformats.org/officeDocument/2006/relationships/hyperlink" Target="https://www.google.com/maps/dir/?api=1&amp;origin=Gymnasium+Kirchheim,+Heimstettner+Str.+3,+85551+Kirchheim+bei+M&#252;nchen&amp;destination=48.024005215169836,12.043494616728212&amp;travelmode=car" TargetMode="External"/><Relationship Id="rId3270" Type="http://schemas.openxmlformats.org/officeDocument/2006/relationships/hyperlink" Target="https://www.google.com/maps/dir/?api=1&amp;origin=Gymnasium+Kirchheim,+Heimstettner+Str.+3,+85551+Kirchheim+bei+M&#252;nchen&amp;destination=48.00400692008174,11.385468600664204&amp;travelmode=car" TargetMode="External"/><Relationship Id="rId191" Type="http://schemas.openxmlformats.org/officeDocument/2006/relationships/hyperlink" Target="https://www.google.com/maps/dir/?api=1&amp;origin=Gymnasium+Kirchheim,+Heimstettner+Str.+3,+85551+Kirchheim+bei+M&#252;nchen&amp;destination=48.269575065372386,11.397013396964736&amp;travelmode=car" TargetMode="External"/><Relationship Id="rId1708" Type="http://schemas.openxmlformats.org/officeDocument/2006/relationships/hyperlink" Target="https://www.google.com/maps/dir/?api=1&amp;origin=Gymnasium+Kirchheim,+Heimstettner+Str.+3,+85551+Kirchheim+bei+M&#252;nchen&amp;destination=48.13997035480232,11.639451564999296&amp;travelmode=car" TargetMode="External"/><Relationship Id="rId1915" Type="http://schemas.openxmlformats.org/officeDocument/2006/relationships/hyperlink" Target="https://www.google.com/maps/dir/?api=1&amp;origin=Gymnasium+Kirchheim,+Heimstettner+Str.+3,+85551+Kirchheim+bei+M&#252;nchen&amp;destination=48.12288998482508,12.00886380508597&amp;travelmode=car" TargetMode="External"/><Relationship Id="rId3130" Type="http://schemas.openxmlformats.org/officeDocument/2006/relationships/hyperlink" Target="https://www.google.com/maps/dir/?api=1&amp;origin=Gymnasium+Kirchheim,+Heimstettner+Str.+3,+85551+Kirchheim+bei+M&#252;nchen&amp;destination=48.01792951291951,11.789528545213775&amp;travelmode=car" TargetMode="External"/><Relationship Id="rId2689" Type="http://schemas.openxmlformats.org/officeDocument/2006/relationships/hyperlink" Target="https://www.google.com/maps/dir/?api=1&amp;origin=Gymnasium+Kirchheim,+Heimstettner+Str.+3,+85551+Kirchheim+bei+M&#252;nchen&amp;destination=48.055870130308165,11.789528545213775&amp;travelmode=car" TargetMode="External"/><Relationship Id="rId2896" Type="http://schemas.openxmlformats.org/officeDocument/2006/relationships/hyperlink" Target="https://www.google.com/maps/dir/?api=1&amp;origin=Gymnasium+Kirchheim,+Heimstettner+Str.+3,+85551+Kirchheim+bei+M&#252;nchen&amp;destination=48.03840158790735,12.147385007013046&amp;travelmode=car" TargetMode="External"/><Relationship Id="rId868" Type="http://schemas.openxmlformats.org/officeDocument/2006/relationships/hyperlink" Target="https://www.google.com/maps/dir/?api=1&amp;origin=Gymnasium+Kirchheim,+Heimstettner+Str.+3,+85551+Kirchheim+bei+M&#252;nchen&amp;destination=48.21328659048059,12.101211892775435&amp;travelmode=car" TargetMode="External"/><Relationship Id="rId1498" Type="http://schemas.openxmlformats.org/officeDocument/2006/relationships/hyperlink" Target="https://www.google.com/maps/dir/?api=1&amp;origin=Gymnasium+Kirchheim,+Heimstettner+Str.+3,+85551+Kirchheim+bei+M&#252;nchen&amp;destination=48.15587453658973,11.235385797131558&amp;travelmode=car" TargetMode="External"/><Relationship Id="rId2549" Type="http://schemas.openxmlformats.org/officeDocument/2006/relationships/hyperlink" Target="https://www.google.com/maps/dir/?api=1&amp;origin=Gymnasium+Kirchheim,+Heimstettner+Str.+3,+85551+Kirchheim+bei+M&#252;nchen&amp;destination=48.06828038779428,12.205100461762754&amp;travelmode=car" TargetMode="External"/><Relationship Id="rId2756" Type="http://schemas.openxmlformats.org/officeDocument/2006/relationships/hyperlink" Target="https://www.google.com/maps/dir/?api=1&amp;origin=Gymnasium+Kirchheim,+Heimstettner+Str.+3,+85551+Kirchheim+bei+M&#252;nchen&amp;destination=48.04920404542747,11.547094869402834&amp;travelmode=car" TargetMode="External"/><Relationship Id="rId2963" Type="http://schemas.openxmlformats.org/officeDocument/2006/relationships/hyperlink" Target="https://www.google.com/maps/dir/?api=1&amp;origin=Gymnasium+Kirchheim,+Heimstettner+Str.+3,+85551+Kirchheim+bei+M&#252;nchen&amp;destination=48.03248761295599,11.90496952282889&amp;travelmode=car" TargetMode="External"/><Relationship Id="rId728" Type="http://schemas.openxmlformats.org/officeDocument/2006/relationships/hyperlink" Target="https://www.google.com/maps/dir/?api=1&amp;origin=Gymnasium+Kirchheim,+Heimstettner+Str.+3,+85551+Kirchheim+bei+M&#252;nchen&amp;destination=48.223848741490514,11.500916160110199&amp;travelmode=car" TargetMode="External"/><Relationship Id="rId935" Type="http://schemas.openxmlformats.org/officeDocument/2006/relationships/hyperlink" Target="https://www.google.com/maps/dir/?api=1&amp;origin=Gymnasium+Kirchheim,+Heimstettner+Str.+3,+85551+Kirchheim+bei+M&#252;nchen&amp;destination=48.20727557553464,11.858793469207484&amp;travelmode=car" TargetMode="External"/><Relationship Id="rId1358" Type="http://schemas.openxmlformats.org/officeDocument/2006/relationships/hyperlink" Target="https://www.google.com/maps/dir/?api=1&amp;origin=Gymnasium+Kirchheim,+Heimstettner+Str.+3,+85551+Kirchheim+bei+M&#252;nchen&amp;destination=48.17023850155734,11.66254056390037&amp;travelmode=car" TargetMode="External"/><Relationship Id="rId1565" Type="http://schemas.openxmlformats.org/officeDocument/2006/relationships/hyperlink" Target="https://www.google.com/maps/dir/?api=1&amp;origin=Gymnasium+Kirchheim,+Heimstettner+Str.+3,+85551+Kirchheim+bei+M&#252;nchen&amp;destination=48.15316391248199,12.02040744491661&amp;travelmode=car" TargetMode="External"/><Relationship Id="rId1772" Type="http://schemas.openxmlformats.org/officeDocument/2006/relationships/hyperlink" Target="https://www.google.com/maps/dir/?api=1&amp;origin=Gymnasium+Kirchheim,+Heimstettner+Str.+3,+85551+Kirchheim+bei+M&#252;nchen&amp;destination=48.13303390570157,11.362378987427904&amp;travelmode=car" TargetMode="External"/><Relationship Id="rId2409" Type="http://schemas.openxmlformats.org/officeDocument/2006/relationships/hyperlink" Target="https://www.google.com/maps/dir/?api=1&amp;origin=Gymnasium+Kirchheim,+Heimstettner+Str.+3,+85551+Kirchheim+bei+M&#252;nchen&amp;destination=48.079383222205735,11.604817928870196&amp;travelmode=car" TargetMode="External"/><Relationship Id="rId2616" Type="http://schemas.openxmlformats.org/officeDocument/2006/relationships/hyperlink" Target="https://www.google.com/maps/dir/?api=1&amp;origin=Gymnasium+Kirchheim,+Heimstettner+Str.+3,+85551+Kirchheim+bei+M&#252;nchen&amp;destination=48.06256049959323,11.95114508756474&amp;travelmode=car" TargetMode="External"/><Relationship Id="rId64" Type="http://schemas.openxmlformats.org/officeDocument/2006/relationships/hyperlink" Target="https://www.google.com/maps/dir/?api=1&amp;origin=Gymnasium+Kirchheim,+Heimstettner+Str.+3,+85551+Kirchheim+bei+M&#252;nchen&amp;destination=48.28261608044751,11.95114508756474&amp;travelmode=car" TargetMode="External"/><Relationship Id="rId1218" Type="http://schemas.openxmlformats.org/officeDocument/2006/relationships/hyperlink" Target="https://www.google.com/maps/dir/?api=1&amp;origin=Gymnasium+Kirchheim,+Heimstettner+Str.+3,+85551+Kirchheim+bei+M&#252;nchen&amp;destination=48.18310624681372,12.078125096991752&amp;travelmode=car" TargetMode="External"/><Relationship Id="rId1425" Type="http://schemas.openxmlformats.org/officeDocument/2006/relationships/hyperlink" Target="https://www.google.com/maps/dir/?api=1&amp;origin=Gymnasium+Kirchheim,+Heimstettner+Str.+3,+85551+Kirchheim+bei+M&#252;nchen&amp;destination=48.163305517469205,11.420102966318577&amp;travelmode=car" TargetMode="External"/><Relationship Id="rId2823" Type="http://schemas.openxmlformats.org/officeDocument/2006/relationships/hyperlink" Target="https://www.google.com/maps/dir/?api=1&amp;origin=Gymnasium+Kirchheim,+Heimstettner+Str.+3,+85551+Kirchheim+bei+M&#252;nchen&amp;destination=48.04202033148586,11.316199693041677&amp;travelmode=car" TargetMode="External"/><Relationship Id="rId1632" Type="http://schemas.openxmlformats.org/officeDocument/2006/relationships/hyperlink" Target="https://www.google.com/maps/dir/?api=1&amp;origin=Gymnasium+Kirchheim,+Heimstettner+Str.+3,+85551+Kirchheim+bei+M&#252;nchen&amp;destination=48.14703737743655,11.766440028975659&amp;travelmode=car" TargetMode="External"/><Relationship Id="rId2199" Type="http://schemas.openxmlformats.org/officeDocument/2006/relationships/hyperlink" Target="https://www.google.com/maps/dir/?api=1&amp;origin=Gymnasium+Kirchheim,+Heimstettner+Str.+3,+85551+Kirchheim+bei+M&#252;nchen&amp;destination=48.09843531827877,12.228186338432307&amp;travelmode=car" TargetMode="External"/><Relationship Id="rId3597" Type="http://schemas.openxmlformats.org/officeDocument/2006/relationships/hyperlink" Target="https://www.google.com/maps/dir/?api=1&amp;origin=Gymnasium+Kirchheim,+Heimstettner+Str.+3,+85551+Kirchheim+bei+M&#252;nchen&amp;destination=47.97787799170748,12.12429853084091&amp;travelmode=car" TargetMode="External"/><Relationship Id="rId3457" Type="http://schemas.openxmlformats.org/officeDocument/2006/relationships/hyperlink" Target="https://www.google.com/maps/dir/?api=1&amp;origin=Gymnasium+Kirchheim,+Heimstettner+Str.+3,+85551+Kirchheim+bei+M&#252;nchen&amp;destination=47.9885891828086,11.512460857153851&amp;travelmode=car" TargetMode="External"/><Relationship Id="rId378" Type="http://schemas.openxmlformats.org/officeDocument/2006/relationships/hyperlink" Target="https://www.google.com/maps/dir/?api=1&amp;origin=Gymnasium+Kirchheim,+Heimstettner+Str.+3,+85551+Kirchheim+bei+M&#252;nchen&amp;destination=48.25414461822436,11.524005541398747&amp;travelmode=car" TargetMode="External"/><Relationship Id="rId585" Type="http://schemas.openxmlformats.org/officeDocument/2006/relationships/hyperlink" Target="https://www.google.com/maps/dir/?api=1&amp;origin=Gymnasium+Kirchheim,+Heimstettner+Str.+3,+85551+Kirchheim+bei+M&#252;nchen&amp;destination=48.23749981875854,11.881881555040426&amp;travelmode=car" TargetMode="External"/><Relationship Id="rId792" Type="http://schemas.openxmlformats.org/officeDocument/2006/relationships/hyperlink" Target="https://www.google.com/maps/dir/?api=1&amp;origin=Gymnasium+Kirchheim,+Heimstettner+Str.+3,+85551+Kirchheim+bei+M&#252;nchen&amp;destination=48.219744779567755,12.239729209273484&amp;travelmode=car" TargetMode="External"/><Relationship Id="rId2059" Type="http://schemas.openxmlformats.org/officeDocument/2006/relationships/hyperlink" Target="https://www.google.com/maps/dir/?api=1&amp;origin=Gymnasium+Kirchheim,+Heimstettner+Str.+3,+85551+Kirchheim+bei+M&#252;nchen&amp;destination=48.10965830137109,11.627907037470955&amp;travelmode=car" TargetMode="External"/><Relationship Id="rId2266" Type="http://schemas.openxmlformats.org/officeDocument/2006/relationships/hyperlink" Target="https://www.google.com/maps/dir/?api=1&amp;origin=Gymnasium+Kirchheim,+Heimstettner+Str.+3,+85551+Kirchheim+bei+M&#252;nchen&amp;destination=48.092691157705794,11.985776420185003&amp;travelmode=car" TargetMode="External"/><Relationship Id="rId2473" Type="http://schemas.openxmlformats.org/officeDocument/2006/relationships/hyperlink" Target="https://www.google.com/maps/dir/?api=1&amp;origin=Gymnasium+Kirchheim,+Heimstettner+Str.+3,+85551+Kirchheim+bei+M&#252;nchen&amp;destination=48.072363581705005,11.327744523821421&amp;travelmode=car" TargetMode="External"/><Relationship Id="rId2680" Type="http://schemas.openxmlformats.org/officeDocument/2006/relationships/hyperlink" Target="https://www.google.com/maps/dir/?api=1&amp;origin=Gymnasium+Kirchheim,+Heimstettner+Str.+3,+85551+Kirchheim+bei+M&#252;nchen&amp;destination=48.0563276806644,11.685629484445332&amp;travelmode=car" TargetMode="External"/><Relationship Id="rId3317" Type="http://schemas.openxmlformats.org/officeDocument/2006/relationships/hyperlink" Target="https://www.google.com/maps/dir/?api=1&amp;origin=Gymnasium+Kirchheim,+Heimstettner+Str.+3,+85551+Kirchheim+bei+M&#252;nchen&amp;destination=48.001997625970155,11.928057368395926&amp;travelmode=car" TargetMode="External"/><Relationship Id="rId3524" Type="http://schemas.openxmlformats.org/officeDocument/2006/relationships/hyperlink" Target="https://www.google.com/maps/dir/?api=1&amp;origin=Gymnasium+Kirchheim,+Heimstettner+Str.+3,+85551+Kirchheim+bei+M&#252;nchen&amp;destination=47.98134076382726,11.27002033596574&amp;travelmode=car" TargetMode="External"/><Relationship Id="rId238" Type="http://schemas.openxmlformats.org/officeDocument/2006/relationships/hyperlink" Target="https://www.google.com/maps/dir/?api=1&amp;origin=Gymnasium+Kirchheim,+Heimstettner+Str.+3,+85551+Kirchheim+bei+M&#252;nchen&amp;destination=48.26751146822891,11.939601244041153&amp;travelmode=car" TargetMode="External"/><Relationship Id="rId445" Type="http://schemas.openxmlformats.org/officeDocument/2006/relationships/hyperlink" Target="https://www.google.com/maps/dir/?api=1&amp;origin=Gymnasium+Kirchheim,+Heimstettner+Str.+3,+85551+Kirchheim+bei+M&#252;nchen&amp;destination=48.246920463698885,11.281565179283442&amp;travelmode=car" TargetMode="External"/><Relationship Id="rId652" Type="http://schemas.openxmlformats.org/officeDocument/2006/relationships/hyperlink" Target="https://www.google.com/maps/dir/?api=1&amp;origin=Gymnasium+Kirchheim,+Heimstettner+Str.+3,+85551+Kirchheim+bei+M&#252;nchen&amp;destination=48.23106827701483,11.627907037470955&amp;travelmode=car" TargetMode="External"/><Relationship Id="rId1075" Type="http://schemas.openxmlformats.org/officeDocument/2006/relationships/hyperlink" Target="https://www.google.com/maps/dir/?api=1&amp;origin=Gymnasium+Kirchheim,+Heimstettner+Str.+3,+85551+Kirchheim+bei+M&#252;nchen&amp;destination=48.19361757036924,11.44319250119349&amp;travelmode=car" TargetMode="External"/><Relationship Id="rId1282" Type="http://schemas.openxmlformats.org/officeDocument/2006/relationships/hyperlink" Target="https://www.google.com/maps/dir/?api=1&amp;origin=Gymnasium+Kirchheim,+Heimstettner+Str.+3,+85551+Kirchheim+bei+M&#252;nchen&amp;destination=48.17722349023294,11.801072765593279&amp;travelmode=car" TargetMode="External"/><Relationship Id="rId2126" Type="http://schemas.openxmlformats.org/officeDocument/2006/relationships/hyperlink" Target="https://www.google.com/maps/dir/?api=1&amp;origin=Gymnasium+Kirchheim,+Heimstettner+Str.+3,+85551+Kirchheim+bei+M&#252;nchen&amp;destination=48.10265252529229,11.385468600664204&amp;travelmode=car" TargetMode="External"/><Relationship Id="rId2333" Type="http://schemas.openxmlformats.org/officeDocument/2006/relationships/hyperlink" Target="https://www.google.com/maps/dir/?api=1&amp;origin=Gymnasium+Kirchheim,+Heimstettner+Str.+3,+85551+Kirchheim+bei+M&#252;nchen&amp;destination=48.08643753358918,11.743351415580166&amp;travelmode=car" TargetMode="External"/><Relationship Id="rId2540" Type="http://schemas.openxmlformats.org/officeDocument/2006/relationships/hyperlink" Target="https://www.google.com/maps/dir/?api=1&amp;origin=Gymnasium+Kirchheim,+Heimstettner+Str.+3,+85551+Kirchheim+bei+M&#252;nchen&amp;destination=48.069112244403655,12.101211892775435&amp;travelmode=car" TargetMode="External"/><Relationship Id="rId305" Type="http://schemas.openxmlformats.org/officeDocument/2006/relationships/hyperlink" Target="https://www.google.com/maps/dir/?api=1&amp;origin=Gymnasium+Kirchheim,+Heimstettner+Str.+3,+85551+Kirchheim+bei+M&#252;nchen&amp;destination=48.26116079712012,11.69717391402856&amp;travelmode=car" TargetMode="External"/><Relationship Id="rId512" Type="http://schemas.openxmlformats.org/officeDocument/2006/relationships/hyperlink" Target="https://www.google.com/maps/dir/?api=1&amp;origin=Gymnasium+Kirchheim,+Heimstettner+Str.+3,+85551+Kirchheim+bei+M&#252;nchen&amp;destination=48.24397876410124,12.055038147665204&amp;travelmode=car" TargetMode="External"/><Relationship Id="rId1142" Type="http://schemas.openxmlformats.org/officeDocument/2006/relationships/hyperlink" Target="https://www.google.com/maps/dir/?api=1&amp;origin=Gymnasium+Kirchheim,+Heimstettner+Str.+3,+85551+Kirchheim+bei+M&#252;nchen&amp;destination=48.18969036343802,12.205100461762754&amp;travelmode=car" TargetMode="External"/><Relationship Id="rId2400" Type="http://schemas.openxmlformats.org/officeDocument/2006/relationships/hyperlink" Target="https://www.google.com/maps/dir/?api=1&amp;origin=Gymnasium+Kirchheim,+Heimstettner+Str.+3,+85551+Kirchheim+bei+M&#252;nchen&amp;destination=48.07967439541357,11.500916160110199&amp;travelmode=car" TargetMode="External"/><Relationship Id="rId1002" Type="http://schemas.openxmlformats.org/officeDocument/2006/relationships/hyperlink" Target="https://www.google.com/maps/dir/?api=1&amp;origin=Gymnasium+Kirchheim,+Heimstettner+Str.+3,+85551+Kirchheim+bei+M&#252;nchen&amp;destination=48.20075506818013,11.616362491920484&amp;travelmode=car" TargetMode="External"/><Relationship Id="rId1959" Type="http://schemas.openxmlformats.org/officeDocument/2006/relationships/hyperlink" Target="https://www.google.com/maps/dir/?api=1&amp;origin=Gymnasium+Kirchheim,+Heimstettner+Str.+3,+85551+Kirchheim+bei+M&#252;nchen&amp;destination=48.11764158823927,11.489371450790154&amp;travelmode=car" TargetMode="External"/><Relationship Id="rId3174" Type="http://schemas.openxmlformats.org/officeDocument/2006/relationships/hyperlink" Target="https://www.google.com/maps/dir/?api=1&amp;origin=Gymnasium+Kirchheim,+Heimstettner+Str.+3,+85551+Kirchheim+bei+M&#252;nchen&amp;destination=48.011682858578546,11.293110020250275&amp;travelmode=car" TargetMode="External"/><Relationship Id="rId1819" Type="http://schemas.openxmlformats.org/officeDocument/2006/relationships/hyperlink" Target="https://www.google.com/maps/dir/?api=1&amp;origin=Gymnasium+Kirchheim,+Heimstettner+Str.+3,+85551+Kirchheim+bei+M&#252;nchen&amp;destination=48.13113321816651,11.90496952282889&amp;travelmode=car" TargetMode="External"/><Relationship Id="rId3381" Type="http://schemas.openxmlformats.org/officeDocument/2006/relationships/hyperlink" Target="https://www.google.com/maps/dir/?api=1&amp;origin=Gymnasium+Kirchheim,+Heimstettner+Str.+3,+85551+Kirchheim+bei+M&#252;nchen&amp;destination=47.99575441284564,11.650996073983201&amp;travelmode=car" TargetMode="External"/><Relationship Id="rId2190" Type="http://schemas.openxmlformats.org/officeDocument/2006/relationships/hyperlink" Target="https://www.google.com/maps/dir/?api=1&amp;origin=Gymnasium+Kirchheim,+Heimstettner+Str.+3,+85551+Kirchheim+bei+M&#252;nchen&amp;destination=48.09937693041906,12.112755231783899&amp;travelmode=car" TargetMode="External"/><Relationship Id="rId3034" Type="http://schemas.openxmlformats.org/officeDocument/2006/relationships/hyperlink" Target="https://www.google.com/maps/dir/?api=1&amp;origin=Gymnasium+Kirchheim,+Heimstettner+Str.+3,+85551+Kirchheim+bei+M&#252;nchen&amp;destination=48.02588159648607,11.708718322455919&amp;travelmode=car" TargetMode="External"/><Relationship Id="rId3241" Type="http://schemas.openxmlformats.org/officeDocument/2006/relationships/hyperlink" Target="https://www.google.com/maps/dir/?api=1&amp;origin=Gymnasium+Kirchheim,+Heimstettner+Str.+3,+85551+Kirchheim+bei+M&#252;nchen&amp;destination=48.00866374915962,12.066581641260367&amp;travelmode=car" TargetMode="External"/><Relationship Id="rId162" Type="http://schemas.openxmlformats.org/officeDocument/2006/relationships/hyperlink" Target="https://www.google.com/maps/dir/?api=1&amp;origin=Gymnasium+Kirchheim,+Heimstettner+Str.+3,+85551+Kirchheim+bei+M&#252;nchen&amp;destination=48.27416372854653,12.078125096991752&amp;travelmode=car" TargetMode="External"/><Relationship Id="rId2050" Type="http://schemas.openxmlformats.org/officeDocument/2006/relationships/hyperlink" Target="https://www.google.com/maps/dir/?api=1&amp;origin=Gymnasium+Kirchheim,+Heimstettner+Str.+3,+85551+Kirchheim+bei+M&#252;nchen&amp;destination=48.109970272147415,11.524005541398747&amp;travelmode=car" TargetMode="External"/><Relationship Id="rId3101" Type="http://schemas.openxmlformats.org/officeDocument/2006/relationships/hyperlink" Target="https://www.google.com/maps/dir/?api=1&amp;origin=Gymnasium+Kirchheim,+Heimstettner+Str.+3,+85551+Kirchheim+bei+M&#252;nchen&amp;destination=48.01902140302836,11.477826729716085&amp;travelmode=car" TargetMode="External"/><Relationship Id="rId979" Type="http://schemas.openxmlformats.org/officeDocument/2006/relationships/hyperlink" Target="https://www.google.com/maps/dir/?api=1&amp;origin=Gymnasium+Kirchheim,+Heimstettner+Str.+3,+85551+Kirchheim+bei+M&#252;nchen&amp;destination=48.201339727067015,11.350834171536942&amp;travelmode=car" TargetMode="External"/><Relationship Id="rId839" Type="http://schemas.openxmlformats.org/officeDocument/2006/relationships/hyperlink" Target="https://www.google.com/maps/dir/?api=1&amp;origin=Gymnasium+Kirchheim,+Heimstettner+Str.+3,+85551+Kirchheim+bei+M&#252;nchen&amp;destination=48.21533048873615,11.766440028975659&amp;travelmode=car" TargetMode="External"/><Relationship Id="rId1469" Type="http://schemas.openxmlformats.org/officeDocument/2006/relationships/hyperlink" Target="https://www.google.com/maps/dir/?api=1&amp;origin=Gymnasium+Kirchheim,+Heimstettner+Str.+3,+85551+Kirchheim+bei+M&#252;nchen&amp;destination=48.161348219002576,11.928057368395926&amp;travelmode=car" TargetMode="External"/><Relationship Id="rId2867" Type="http://schemas.openxmlformats.org/officeDocument/2006/relationships/hyperlink" Target="https://www.google.com/maps/dir/?api=1&amp;origin=Gymnasium+Kirchheim,+Heimstettner+Str.+3,+85551+Kirchheim+bei+M&#252;nchen&amp;destination=48.040579496573784,11.81261696011681&amp;travelmode=car" TargetMode="External"/><Relationship Id="rId1676" Type="http://schemas.openxmlformats.org/officeDocument/2006/relationships/hyperlink" Target="https://www.google.com/maps/dir/?api=1&amp;origin=Gymnasium+Kirchheim,+Heimstettner+Str.+3,+85551+Kirchheim+bei+M&#252;nchen&amp;destination=48.14069482324682,11.258475490819581&amp;travelmode=car" TargetMode="External"/><Relationship Id="rId1883" Type="http://schemas.openxmlformats.org/officeDocument/2006/relationships/hyperlink" Target="https://www.google.com/maps/dir/?api=1&amp;origin=Gymnasium+Kirchheim,+Heimstettner+Str.+3,+85551+Kirchheim+bei+M&#252;nchen&amp;destination=48.124834548326554,11.627907037470955&amp;travelmode=car" TargetMode="External"/><Relationship Id="rId2727" Type="http://schemas.openxmlformats.org/officeDocument/2006/relationships/hyperlink" Target="https://www.google.com/maps/dir/?api=1&amp;origin=Gymnasium+Kirchheim,+Heimstettner+Str.+3,+85551+Kirchheim+bei+M&#252;nchen&amp;destination=48.05290657741237,12.228186338432307&amp;travelmode=car" TargetMode="External"/><Relationship Id="rId2934" Type="http://schemas.openxmlformats.org/officeDocument/2006/relationships/hyperlink" Target="https://www.google.com/maps/dir/?api=1&amp;origin=Gymnasium+Kirchheim,+Heimstettner+Str.+3,+85551+Kirchheim+bei+M&#252;nchen&amp;destination=48.03399544588409,11.55863951211732&amp;travelmode=car" TargetMode="External"/><Relationship Id="rId906" Type="http://schemas.openxmlformats.org/officeDocument/2006/relationships/hyperlink" Target="https://www.google.com/maps/dir/?api=1&amp;origin=Gymnasium+Kirchheim,+Heimstettner+Str.+3,+85551+Kirchheim+bei+M&#252;nchen&amp;destination=48.20861587735795,11.524005541398747&amp;travelmode=car" TargetMode="External"/><Relationship Id="rId1329" Type="http://schemas.openxmlformats.org/officeDocument/2006/relationships/hyperlink" Target="https://www.google.com/maps/dir/?api=1&amp;origin=Gymnasium+Kirchheim,+Heimstettner+Str.+3,+85551+Kirchheim+bei+M&#252;nchen&amp;destination=48.17100918691555,11.327744523821421&amp;travelmode=car" TargetMode="External"/><Relationship Id="rId1536" Type="http://schemas.openxmlformats.org/officeDocument/2006/relationships/hyperlink" Target="https://www.google.com/maps/dir/?api=1&amp;origin=Gymnasium+Kirchheim,+Heimstettner+Str.+3,+85551+Kirchheim+bei+M&#252;nchen&amp;destination=48.15497328587494,11.685629484445332&amp;travelmode=car" TargetMode="External"/><Relationship Id="rId1743" Type="http://schemas.openxmlformats.org/officeDocument/2006/relationships/hyperlink" Target="https://www.google.com/maps/dir/?api=1&amp;origin=Gymnasium+Kirchheim,+Heimstettner+Str.+3,+85551+Kirchheim+bei+M&#252;nchen&amp;destination=48.13782706733584,12.043494616728212&amp;travelmode=car" TargetMode="External"/><Relationship Id="rId1950" Type="http://schemas.openxmlformats.org/officeDocument/2006/relationships/hyperlink" Target="https://www.google.com/maps/dir/?api=1&amp;origin=Gymnasium+Kirchheim,+Heimstettner+Str.+3,+85551+Kirchheim+bei+M&#252;nchen&amp;destination=48.11782877224776,11.385468600664204&amp;travelmode=car" TargetMode="External"/><Relationship Id="rId35" Type="http://schemas.openxmlformats.org/officeDocument/2006/relationships/hyperlink" Target="https://www.google.com/maps/dir/?api=1&amp;origin=Gymnasium+Kirchheim,+Heimstettner+Str.+3,+85551+Kirchheim+bei+M&#252;nchen&amp;destination=48.284185141358975,11.627907037470955&amp;travelmode=car" TargetMode="External"/><Relationship Id="rId1603" Type="http://schemas.openxmlformats.org/officeDocument/2006/relationships/hyperlink" Target="https://www.google.com/maps/dir/?api=1&amp;origin=Gymnasium+Kirchheim,+Heimstettner+Str.+3,+85551+Kirchheim+bei+M&#252;nchen&amp;destination=48.148088829502846,11.44319250119349&amp;travelmode=car" TargetMode="External"/><Relationship Id="rId1810" Type="http://schemas.openxmlformats.org/officeDocument/2006/relationships/hyperlink" Target="https://www.google.com/maps/dir/?api=1&amp;origin=Gymnasium+Kirchheim,+Heimstettner+Str.+3,+85551+Kirchheim+bei+M&#252;nchen&amp;destination=48.131694749366545,11.801072765593279&amp;travelmode=car" TargetMode="External"/><Relationship Id="rId3568" Type="http://schemas.openxmlformats.org/officeDocument/2006/relationships/hyperlink" Target="https://www.google.com/maps/dir/?api=1&amp;origin=Gymnasium+Kirchheim,+Heimstettner+Str.+3,+85551+Kirchheim+bei+M&#252;nchen&amp;destination=47.98004435590395,11.777984299500497&amp;travelmode=car" TargetMode="External"/><Relationship Id="rId489" Type="http://schemas.openxmlformats.org/officeDocument/2006/relationships/hyperlink" Target="https://www.google.com/maps/dir/?api=1&amp;origin=Gymnasium+Kirchheim,+Heimstettner+Str.+3,+85551+Kirchheim+bei+M&#252;nchen&amp;destination=48.24557321725152,11.789528545213775&amp;travelmode=car" TargetMode="External"/><Relationship Id="rId696" Type="http://schemas.openxmlformats.org/officeDocument/2006/relationships/hyperlink" Target="https://www.google.com/maps/dir/?api=1&amp;origin=Gymnasium+Kirchheim,+Heimstettner+Str.+3,+85551+Kirchheim+bei+M&#252;nchen&amp;destination=48.22810467485068,12.147385007013046&amp;travelmode=car" TargetMode="External"/><Relationship Id="rId2377" Type="http://schemas.openxmlformats.org/officeDocument/2006/relationships/hyperlink" Target="https://www.google.com/maps/dir/?api=1&amp;origin=Gymnasium+Kirchheim,+Heimstettner+Str.+3,+85551+Kirchheim+bei+M&#252;nchen&amp;destination=48.07999214634988,11.246930644367383&amp;travelmode=car" TargetMode="External"/><Relationship Id="rId2584" Type="http://schemas.openxmlformats.org/officeDocument/2006/relationships/hyperlink" Target="https://www.google.com/maps/dir/?api=1&amp;origin=Gymnasium+Kirchheim,+Heimstettner+Str.+3,+85551+Kirchheim+bei+M&#252;nchen&amp;destination=48.06424394950947,11.593273348842407&amp;travelmode=car" TargetMode="External"/><Relationship Id="rId2791" Type="http://schemas.openxmlformats.org/officeDocument/2006/relationships/hyperlink" Target="https://www.google.com/maps/dir/?api=1&amp;origin=Gymnasium+Kirchheim,+Heimstettner+Str.+3,+85551+Kirchheim+bei+M&#252;nchen&amp;destination=48.04738425263777,11.95114508756474&amp;travelmode=car" TargetMode="External"/><Relationship Id="rId3428" Type="http://schemas.openxmlformats.org/officeDocument/2006/relationships/hyperlink" Target="https://www.google.com/maps/dir/?api=1&amp;origin=Gymnasium+Kirchheim,+Heimstettner+Str.+3,+85551+Kirchheim+bei+M&#252;nchen&amp;destination=47.9924962020717,12.193557456977898&amp;travelmode=car" TargetMode="External"/><Relationship Id="rId349" Type="http://schemas.openxmlformats.org/officeDocument/2006/relationships/hyperlink" Target="https://www.google.com/maps/dir/?api=1&amp;origin=Gymnasium+Kirchheim,+Heimstettner+Str.+3,+85551+Kirchheim+bei+M&#252;nchen&amp;destination=48.25798347473763,12.205100461762754&amp;travelmode=car" TargetMode="External"/><Relationship Id="rId556" Type="http://schemas.openxmlformats.org/officeDocument/2006/relationships/hyperlink" Target="https://www.google.com/maps/dir/?api=1&amp;origin=Gymnasium+Kirchheim,+Heimstettner+Str.+3,+85551+Kirchheim+bei+M&#252;nchen&amp;destination=48.23893832953371,11.535550212322528&amp;travelmode=car" TargetMode="External"/><Relationship Id="rId763" Type="http://schemas.openxmlformats.org/officeDocument/2006/relationships/hyperlink" Target="https://www.google.com/maps/dir/?api=1&amp;origin=Gymnasium+Kirchheim,+Heimstettner+Str.+3,+85551+Kirchheim+bei+M&#252;nchen&amp;destination=48.22219069989932,11.90496952282889&amp;travelmode=car" TargetMode="External"/><Relationship Id="rId1186" Type="http://schemas.openxmlformats.org/officeDocument/2006/relationships/hyperlink" Target="https://www.google.com/maps/dir/?api=1&amp;origin=Gymnasium+Kirchheim,+Heimstettner+Str.+3,+85551+Kirchheim+bei+M&#252;nchen&amp;destination=48.18527956234277,11.69717391402856&amp;travelmode=car" TargetMode="External"/><Relationship Id="rId1393" Type="http://schemas.openxmlformats.org/officeDocument/2006/relationships/hyperlink" Target="https://www.google.com/maps/dir/?api=1&amp;origin=Gymnasium+Kirchheim,+Heimstettner+Str.+3,+85551+Kirchheim+bei+M&#252;nchen&amp;destination=48.16801434219202,12.066581641260367&amp;travelmode=car" TargetMode="External"/><Relationship Id="rId2237" Type="http://schemas.openxmlformats.org/officeDocument/2006/relationships/hyperlink" Target="https://www.google.com/maps/dir/?api=1&amp;origin=Gymnasium+Kirchheim,+Heimstettner+Str.+3,+85551+Kirchheim+bei+M&#252;nchen&amp;destination=48.094400018056184,11.650996073983201&amp;travelmode=car" TargetMode="External"/><Relationship Id="rId2444" Type="http://schemas.openxmlformats.org/officeDocument/2006/relationships/hyperlink" Target="https://www.google.com/maps/dir/?api=1&amp;origin=Gymnasium+Kirchheim,+Heimstettner+Str.+3,+85551+Kirchheim+bei+M&#252;nchen&amp;destination=48.07736124395867,12.00886380508597&amp;travelmode=car" TargetMode="External"/><Relationship Id="rId209" Type="http://schemas.openxmlformats.org/officeDocument/2006/relationships/hyperlink" Target="https://www.google.com/maps/dir/?api=1&amp;origin=Gymnasium+Kirchheim,+Heimstettner+Str.+3,+85551+Kirchheim+bei+M&#252;nchen&amp;destination=48.269086309149074,11.604817928870196&amp;travelmode=car" TargetMode="External"/><Relationship Id="rId416" Type="http://schemas.openxmlformats.org/officeDocument/2006/relationships/hyperlink" Target="https://www.google.com/maps/dir/?api=1&amp;origin=Gymnasium+Kirchheim,+Heimstettner+Str.+3,+85551+Kirchheim+bei+M&#252;nchen&amp;destination=48.25219079653088,11.962688898444616&amp;travelmode=car" TargetMode="External"/><Relationship Id="rId970" Type="http://schemas.openxmlformats.org/officeDocument/2006/relationships/hyperlink" Target="https://www.google.com/maps/dir/?api=1&amp;origin=Gymnasium+Kirchheim,+Heimstettner+Str.+3,+85551+Kirchheim+bei+M&#252;nchen&amp;destination=48.201402121993624,11.246930644367383&amp;travelmode=car" TargetMode="External"/><Relationship Id="rId1046" Type="http://schemas.openxmlformats.org/officeDocument/2006/relationships/hyperlink" Target="https://www.google.com/maps/dir/?api=1&amp;origin=Gymnasium+Kirchheim,+Heimstettner+Str.+3,+85551+Kirchheim+bei+M&#252;nchen&amp;destination=48.19793357256175,12.12429853084091&amp;travelmode=car" TargetMode="External"/><Relationship Id="rId1253" Type="http://schemas.openxmlformats.org/officeDocument/2006/relationships/hyperlink" Target="https://www.google.com/maps/dir/?api=1&amp;origin=Gymnasium+Kirchheim,+Heimstettner+Str.+3,+85551+Kirchheim+bei+M&#252;nchen&amp;destination=48.17839626062077,11.466281997410366&amp;travelmode=car" TargetMode="External"/><Relationship Id="rId2651" Type="http://schemas.openxmlformats.org/officeDocument/2006/relationships/hyperlink" Target="https://www.google.com/maps/dir/?api=1&amp;origin=Gymnasium+Kirchheim,+Heimstettner+Str.+3,+85551+Kirchheim+bei+M&#252;nchen&amp;destination=48.05715267092423,11.362378987427904&amp;travelmode=car" TargetMode="External"/><Relationship Id="rId623" Type="http://schemas.openxmlformats.org/officeDocument/2006/relationships/hyperlink" Target="https://www.google.com/maps/dir/?api=1&amp;origin=Gymnasium+Kirchheim,+Heimstettner+Str.+3,+85551+Kirchheim+bei+M&#252;nchen&amp;destination=48.23173150666123,11.304654858343824&amp;travelmode=car" TargetMode="External"/><Relationship Id="rId830" Type="http://schemas.openxmlformats.org/officeDocument/2006/relationships/hyperlink" Target="https://www.google.com/maps/dir/?api=1&amp;origin=Gymnasium+Kirchheim,+Heimstettner+Str.+3,+85551+Kirchheim+bei+M&#252;nchen&amp;destination=48.21580999369992,11.650996073983201&amp;travelmode=car" TargetMode="External"/><Relationship Id="rId1460" Type="http://schemas.openxmlformats.org/officeDocument/2006/relationships/hyperlink" Target="https://www.google.com/maps/dir/?api=1&amp;origin=Gymnasium+Kirchheim,+Heimstettner+Str.+3,+85551+Kirchheim+bei+M&#252;nchen&amp;destination=48.16193054582149,11.824161128262173&amp;travelmode=car" TargetMode="External"/><Relationship Id="rId2304" Type="http://schemas.openxmlformats.org/officeDocument/2006/relationships/hyperlink" Target="https://www.google.com/maps/dir/?api=1&amp;origin=Gymnasium+Kirchheim,+Heimstettner+Str.+3,+85551+Kirchheim+bei+M&#252;nchen&amp;destination=48.08744277002463,11.408558185690326&amp;travelmode=car" TargetMode="External"/><Relationship Id="rId2511" Type="http://schemas.openxmlformats.org/officeDocument/2006/relationships/hyperlink" Target="https://www.google.com/maps/dir/?api=1&amp;origin=Gymnasium+Kirchheim,+Heimstettner+Str.+3,+85551+Kirchheim+bei+M&#252;nchen&amp;destination=48.07115614265921,11.766440028975659&amp;travelmode=car" TargetMode="External"/><Relationship Id="rId1113" Type="http://schemas.openxmlformats.org/officeDocument/2006/relationships/hyperlink" Target="https://www.google.com/maps/dir/?api=1&amp;origin=Gymnasium+Kirchheim,+Heimstettner+Str.+3,+85551+Kirchheim+bei+M&#252;nchen&amp;destination=48.19197107789215,11.881881555040426&amp;travelmode=car" TargetMode="External"/><Relationship Id="rId1320" Type="http://schemas.openxmlformats.org/officeDocument/2006/relationships/hyperlink" Target="https://www.google.com/maps/dir/?api=1&amp;origin=Gymnasium+Kirchheim,+Heimstettner+Str.+3,+85551+Kirchheim+bei+M&#252;nchen&amp;destination=48.17421603870135,12.239729209273484&amp;travelmode=car" TargetMode="External"/><Relationship Id="rId3078" Type="http://schemas.openxmlformats.org/officeDocument/2006/relationships/hyperlink" Target="https://www.google.com/maps/dir/?api=1&amp;origin=Gymnasium+Kirchheim,+Heimstettner+Str.+3,+85551+Kirchheim+bei+M&#252;nchen&amp;destination=48.022653442764664,12.21664342242148&amp;travelmode=car" TargetMode="External"/><Relationship Id="rId3285" Type="http://schemas.openxmlformats.org/officeDocument/2006/relationships/hyperlink" Target="https://www.google.com/maps/dir/?api=1&amp;origin=Gymnasium+Kirchheim,+Heimstettner+Str.+3,+85551+Kirchheim+bei+M&#252;nchen&amp;destination=48.003642951973156,11.55863951211732&amp;travelmode=car" TargetMode="External"/><Relationship Id="rId3492" Type="http://schemas.openxmlformats.org/officeDocument/2006/relationships/hyperlink" Target="https://www.google.com/maps/dir/?api=1&amp;origin=Gymnasium+Kirchheim,+Heimstettner+Str.+3,+85551+Kirchheim+bei+M&#252;nchen&amp;destination=47.98695887208958,11.90496952282889&amp;travelmode=car" TargetMode="External"/><Relationship Id="rId2094" Type="http://schemas.openxmlformats.org/officeDocument/2006/relationships/hyperlink" Target="https://www.google.com/maps/dir/?api=1&amp;origin=Gymnasium+Kirchheim,+Heimstettner+Str.+3,+85551+Kirchheim+bei+M&#252;nchen&amp;destination=48.107555450131755,12.031951048971356&amp;travelmode=car" TargetMode="External"/><Relationship Id="rId3145" Type="http://schemas.openxmlformats.org/officeDocument/2006/relationships/hyperlink" Target="https://www.google.com/maps/dir/?api=1&amp;origin=Gymnasium+Kirchheim,+Heimstettner+Str.+3,+85551+Kirchheim+bei+M&#252;nchen&amp;destination=48.0168850234529,11.97423267615872&amp;travelmode=car" TargetMode="External"/><Relationship Id="rId3352" Type="http://schemas.openxmlformats.org/officeDocument/2006/relationships/hyperlink" Target="https://www.google.com/maps/dir/?api=1&amp;origin=Gymnasium+Kirchheim,+Heimstettner+Str.+3,+85551+Kirchheim+bei+M&#252;nchen&amp;destination=47.99649967885148,11.304654858343824&amp;travelmode=car" TargetMode="External"/><Relationship Id="rId273" Type="http://schemas.openxmlformats.org/officeDocument/2006/relationships/hyperlink" Target="https://www.google.com/maps/dir/?api=1&amp;origin=Gymnasium+Kirchheim,+Heimstettner+Str.+3,+85551+Kirchheim+bei+M&#252;nchen&amp;destination=48.26206666864835,11.327744523821421&amp;travelmode=car" TargetMode="External"/><Relationship Id="rId480" Type="http://schemas.openxmlformats.org/officeDocument/2006/relationships/hyperlink" Target="https://www.google.com/maps/dir/?api=1&amp;origin=Gymnasium+Kirchheim,+Heimstettner+Str.+3,+85551+Kirchheim+bei+M&#252;nchen&amp;destination=48.24607582966572,11.67408503422851&amp;travelmode=car" TargetMode="External"/><Relationship Id="rId2161" Type="http://schemas.openxmlformats.org/officeDocument/2006/relationships/hyperlink" Target="https://www.google.com/maps/dir/?api=1&amp;origin=Gymnasium+Kirchheim,+Heimstettner+Str.+3,+85551+Kirchheim+bei+M&#252;nchen&amp;destination=48.101398871174574,11.789528545213775&amp;travelmode=car" TargetMode="External"/><Relationship Id="rId3005" Type="http://schemas.openxmlformats.org/officeDocument/2006/relationships/hyperlink" Target="https://www.google.com/maps/dir/?api=1&amp;origin=Gymnasium+Kirchheim,+Heimstettner+Str.+3,+85551+Kirchheim+bei+M&#252;nchen&amp;destination=48.02678631149151,11.373923797311125&amp;travelmode=car" TargetMode="External"/><Relationship Id="rId3212" Type="http://schemas.openxmlformats.org/officeDocument/2006/relationships/hyperlink" Target="https://www.google.com/maps/dir/?api=1&amp;origin=Gymnasium+Kirchheim,+Heimstettner+Str.+3,+85551+Kirchheim+bei+M&#252;nchen&amp;destination=48.01060713775486,11.731807073753979&amp;travelmode=car" TargetMode="External"/><Relationship Id="rId133" Type="http://schemas.openxmlformats.org/officeDocument/2006/relationships/hyperlink" Target="https://www.google.com/maps/dir/?api=1&amp;origin=Gymnasium+Kirchheim,+Heimstettner+Str.+3,+85551+Kirchheim+bei+M&#252;nchen&amp;destination=48.27614062053252,11.743351415580166&amp;travelmode=car" TargetMode="External"/><Relationship Id="rId340" Type="http://schemas.openxmlformats.org/officeDocument/2006/relationships/hyperlink" Target="https://www.google.com/maps/dir/?api=1&amp;origin=Gymnasium+Kirchheim,+Heimstettner+Str.+3,+85551+Kirchheim+bei+M&#252;nchen&amp;destination=48.258815331347,12.101211892775435&amp;travelmode=car" TargetMode="External"/><Relationship Id="rId2021" Type="http://schemas.openxmlformats.org/officeDocument/2006/relationships/hyperlink" Target="https://www.google.com/maps/dir/?api=1&amp;origin=Gymnasium+Kirchheim,+Heimstettner+Str.+3,+85551+Kirchheim+bei+M&#252;nchen&amp;destination=48.11371092449747,12.21664342242148&amp;travelmode=car" TargetMode="External"/><Relationship Id="rId200" Type="http://schemas.openxmlformats.org/officeDocument/2006/relationships/hyperlink" Target="https://www.google.com/maps/dir/?api=1&amp;origin=Gymnasium+Kirchheim,+Heimstettner+Str.+3,+85551+Kirchheim+bei+M&#252;nchen&amp;destination=48.269377482356916,11.500916160110199&amp;travelmode=car" TargetMode="External"/><Relationship Id="rId2978" Type="http://schemas.openxmlformats.org/officeDocument/2006/relationships/hyperlink" Target="https://www.google.com/maps/dir/?api=1&amp;origin=Gymnasium+Kirchheim,+Heimstettner+Str.+3,+85551+Kirchheim+bei+M&#252;nchen&amp;destination=48.03134377725905,12.078125096991752&amp;travelmode=car" TargetMode="External"/><Relationship Id="rId1787" Type="http://schemas.openxmlformats.org/officeDocument/2006/relationships/hyperlink" Target="https://www.google.com/maps/dir/?api=1&amp;origin=Gymnasium+Kirchheim,+Heimstettner+Str.+3,+85551+Kirchheim+bei+M&#252;nchen&amp;destination=48.132704600845436,11.535550212322528&amp;travelmode=car" TargetMode="External"/><Relationship Id="rId1994" Type="http://schemas.openxmlformats.org/officeDocument/2006/relationships/hyperlink" Target="https://www.google.com/maps/dir/?api=1&amp;origin=Gymnasium+Kirchheim,+Heimstettner+Str.+3,+85551+Kirchheim+bei+M&#252;nchen&amp;destination=48.11602398481223,11.893425553951282&amp;travelmode=car" TargetMode="External"/><Relationship Id="rId2838" Type="http://schemas.openxmlformats.org/officeDocument/2006/relationships/hyperlink" Target="https://www.google.com/maps/dir/?api=1&amp;origin=Gymnasium+Kirchheim,+Heimstettner+Str.+3,+85551+Kirchheim+bei+M&#252;nchen&amp;destination=48.04178577346156,11.477826729716085&amp;travelmode=car" TargetMode="External"/><Relationship Id="rId79" Type="http://schemas.openxmlformats.org/officeDocument/2006/relationships/hyperlink" Target="https://www.google.com/maps/dir/?api=1&amp;origin=Gymnasium+Kirchheim,+Heimstettner+Str.+3,+85551+Kirchheim+bei+M&#252;nchen&amp;destination=48.28122153919481,12.147385007013046&amp;travelmode=car" TargetMode="External"/><Relationship Id="rId1647" Type="http://schemas.openxmlformats.org/officeDocument/2006/relationships/hyperlink" Target="https://www.google.com/maps/dir/?api=1&amp;origin=Gymnasium+Kirchheim,+Heimstettner+Str.+3,+85551+Kirchheim+bei+M&#252;nchen&amp;destination=48.146029857848305,11.95114508756474&amp;travelmode=car" TargetMode="External"/><Relationship Id="rId1854" Type="http://schemas.openxmlformats.org/officeDocument/2006/relationships/hyperlink" Target="https://www.google.com/maps/dir/?api=1&amp;origin=Gymnasium+Kirchheim,+Heimstettner+Str.+3,+85551+Kirchheim+bei+M&#252;nchen&amp;destination=48.12551048805515,11.281565179283442&amp;travelmode=car" TargetMode="External"/><Relationship Id="rId2905" Type="http://schemas.openxmlformats.org/officeDocument/2006/relationships/hyperlink" Target="https://www.google.com/maps/dir/?api=1&amp;origin=Gymnasium+Kirchheim,+Heimstettner+Str.+3,+85551+Kirchheim+bei+M&#252;nchen&amp;destination=48.03446456094599,11.235385797131558&amp;travelmode=car" TargetMode="External"/><Relationship Id="rId1507" Type="http://schemas.openxmlformats.org/officeDocument/2006/relationships/hyperlink" Target="https://www.google.com/maps/dir/?api=1&amp;origin=Gymnasium+Kirchheim,+Heimstettner+Str.+3,+85551+Kirchheim+bei+M&#252;nchen&amp;destination=48.1558109862006,11.350834171536942&amp;travelmode=car" TargetMode="External"/><Relationship Id="rId1714" Type="http://schemas.openxmlformats.org/officeDocument/2006/relationships/hyperlink" Target="https://www.google.com/maps/dir/?api=1&amp;origin=Gymnasium+Kirchheim,+Heimstettner+Str.+3,+85551+Kirchheim+bei+M&#252;nchen&amp;destination=48.13970344865207,11.708718322455919&amp;travelmode=car" TargetMode="External"/><Relationship Id="rId1921" Type="http://schemas.openxmlformats.org/officeDocument/2006/relationships/hyperlink" Target="https://www.google.com/maps/dir/?api=1&amp;origin=Gymnasium+Kirchheim,+Heimstettner+Str.+3,+85551+Kirchheim+bei+M&#252;nchen&amp;destination=48.12248560132562,12.066581641260367&amp;travelmode=car" TargetMode="External"/><Relationship Id="rId2488" Type="http://schemas.openxmlformats.org/officeDocument/2006/relationships/hyperlink" Target="https://www.google.com/maps/dir/?api=1&amp;origin=Gymnasium+Kirchheim,+Heimstettner+Str.+3,+85551+Kirchheim+bei+M&#252;nchen&amp;destination=48.07208627193583,11.500916160110199&amp;travelmode=car" TargetMode="External"/><Relationship Id="rId1297" Type="http://schemas.openxmlformats.org/officeDocument/2006/relationships/hyperlink" Target="https://www.google.com/maps/dir/?api=1&amp;origin=Gymnasium+Kirchheim,+Heimstettner+Str.+3,+85551+Kirchheim+bei+M&#252;nchen&amp;destination=48.1762356164853,11.97423267615872&amp;travelmode=car" TargetMode="External"/><Relationship Id="rId2695" Type="http://schemas.openxmlformats.org/officeDocument/2006/relationships/hyperlink" Target="https://www.google.com/maps/dir/?api=1&amp;origin=Gymnasium+Kirchheim,+Heimstettner+Str.+3,+85551+Kirchheim+bei+M&#252;nchen&amp;destination=48.05551310597996,11.858793469207484&amp;travelmode=car" TargetMode="External"/><Relationship Id="rId3539" Type="http://schemas.openxmlformats.org/officeDocument/2006/relationships/hyperlink" Target="https://www.google.com/maps/dir/?api=1&amp;origin=Gymnasium+Kirchheim,+Heimstettner+Str.+3,+85551+Kirchheim+bei+M&#252;nchen&amp;destination=47.98115011299271,11.44319250119349&amp;travelmode=car" TargetMode="External"/><Relationship Id="rId667" Type="http://schemas.openxmlformats.org/officeDocument/2006/relationships/hyperlink" Target="https://www.google.com/maps/dir/?api=1&amp;origin=Gymnasium+Kirchheim,+Heimstettner+Str.+3,+85551+Kirchheim+bei+M&#252;nchen&amp;destination=48.230282583517116,11.81261696011681&amp;travelmode=car" TargetMode="External"/><Relationship Id="rId874" Type="http://schemas.openxmlformats.org/officeDocument/2006/relationships/hyperlink" Target="https://www.google.com/maps/dir/?api=1&amp;origin=Gymnasium+Kirchheim,+Heimstettner+Str.+3,+85551+Kirchheim+bei+M&#252;nchen&amp;destination=48.212742415676836,12.170471317116936&amp;travelmode=car" TargetMode="External"/><Relationship Id="rId2348" Type="http://schemas.openxmlformats.org/officeDocument/2006/relationships/hyperlink" Target="https://www.google.com/maps/dir/?api=1&amp;origin=Gymnasium+Kirchheim,+Heimstettner+Str.+3,+85551+Kirchheim+bei+M&#252;nchen&amp;destination=48.085536308406155,11.916513461151142&amp;travelmode=car" TargetMode="External"/><Relationship Id="rId2555" Type="http://schemas.openxmlformats.org/officeDocument/2006/relationships/hyperlink" Target="https://www.google.com/maps/dir/?api=1&amp;origin=Gymnasium+Kirchheim,+Heimstettner+Str.+3,+85551+Kirchheim+bei+M&#252;nchen&amp;destination=48.064813588469484,11.258475490819581&amp;travelmode=car" TargetMode="External"/><Relationship Id="rId2762" Type="http://schemas.openxmlformats.org/officeDocument/2006/relationships/hyperlink" Target="https://www.google.com/maps/dir/?api=1&amp;origin=Gymnasium+Kirchheim,+Heimstettner+Str.+3,+85551+Kirchheim+bei+M&#252;nchen&amp;destination=48.048992598625446,11.616362491920484&amp;travelmode=car" TargetMode="External"/><Relationship Id="rId3606" Type="http://schemas.openxmlformats.org/officeDocument/2006/relationships/hyperlink" Target="https://www.google.com/maps/dir/?api=1&amp;origin=Gymnasium+Kirchheim,+Heimstettner+Str.+3,+85551+Kirchheim+bei+M&#252;nchen&amp;destination=47.97712470189828,12.21664342242148&amp;travelmode=car" TargetMode="External"/><Relationship Id="rId527" Type="http://schemas.openxmlformats.org/officeDocument/2006/relationships/hyperlink" Target="https://www.google.com/maps/dir/?api=1&amp;origin=Gymnasium+Kirchheim,+Heimstettner+Str.+3,+85551+Kirchheim+bei+M&#252;nchen&amp;destination=48.242609664355705,12.228186338432307&amp;travelmode=car" TargetMode="External"/><Relationship Id="rId734" Type="http://schemas.openxmlformats.org/officeDocument/2006/relationships/hyperlink" Target="https://www.google.com/maps/dir/?api=1&amp;origin=Gymnasium+Kirchheim,+Heimstettner+Str.+3,+85551+Kirchheim+bei+M&#252;nchen&amp;destination=48.22366502481729,11.570184139943638&amp;travelmode=car" TargetMode="External"/><Relationship Id="rId941" Type="http://schemas.openxmlformats.org/officeDocument/2006/relationships/hyperlink" Target="https://www.google.com/maps/dir/?api=1&amp;origin=Gymnasium+Kirchheim,+Heimstettner+Str.+3,+85551+Kirchheim+bei+M&#252;nchen&amp;destination=48.20687695986898,11.928057368395926&amp;travelmode=car" TargetMode="External"/><Relationship Id="rId1157" Type="http://schemas.openxmlformats.org/officeDocument/2006/relationships/hyperlink" Target="https://www.google.com/maps/dir/?api=1&amp;origin=Gymnasium+Kirchheim,+Heimstettner+Str.+3,+85551+Kirchheim+bei+M&#252;nchen&amp;destination=48.18613690452393,11.373923797311125&amp;travelmode=car" TargetMode="External"/><Relationship Id="rId1364" Type="http://schemas.openxmlformats.org/officeDocument/2006/relationships/hyperlink" Target="https://www.google.com/maps/dir/?api=1&amp;origin=Gymnasium+Kirchheim,+Heimstettner+Str.+3,+85551+Kirchheim+bei+M&#252;nchen&amp;destination=48.169957730787274,11.731807073753979&amp;travelmode=car" TargetMode="External"/><Relationship Id="rId1571" Type="http://schemas.openxmlformats.org/officeDocument/2006/relationships/hyperlink" Target="https://www.google.com/maps/dir/?api=1&amp;origin=Gymnasium+Kirchheim,+Heimstettner+Str.+3,+85551+Kirchheim+bei+M&#252;nchen&amp;destination=48.1526682553744,12.089668514337413&amp;travelmode=car" TargetMode="External"/><Relationship Id="rId2208" Type="http://schemas.openxmlformats.org/officeDocument/2006/relationships/hyperlink" Target="https://www.google.com/maps/dir/?api=1&amp;origin=Gymnasium+Kirchheim,+Heimstettner+Str.+3,+85551+Kirchheim+bei+M&#252;nchen&amp;destination=48.095137195829984,11.316199693041677&amp;travelmode=car" TargetMode="External"/><Relationship Id="rId2415" Type="http://schemas.openxmlformats.org/officeDocument/2006/relationships/hyperlink" Target="https://www.google.com/maps/dir/?api=1&amp;origin=Gymnasium+Kirchheim,+Heimstettner+Str.+3,+85551+Kirchheim+bei+M&#252;nchen&amp;destination=48.079137113155575,11.67408503422851&amp;travelmode=car" TargetMode="External"/><Relationship Id="rId2622" Type="http://schemas.openxmlformats.org/officeDocument/2006/relationships/hyperlink" Target="https://www.google.com/maps/dir/?api=1&amp;origin=Gymnasium+Kirchheim,+Heimstettner+Str.+3,+85551+Kirchheim+bei+M&#252;nchen&amp;destination=48.06202670926535,12.031951048971356&amp;travelmode=car" TargetMode="External"/><Relationship Id="rId70" Type="http://schemas.openxmlformats.org/officeDocument/2006/relationships/hyperlink" Target="https://www.google.com/maps/dir/?api=1&amp;origin=Gymnasium+Kirchheim,+Heimstettner+Str.+3,+85551+Kirchheim+bei+M&#252;nchen&amp;destination=48.28208229011963,12.031951048971356&amp;travelmode=car" TargetMode="External"/><Relationship Id="rId801" Type="http://schemas.openxmlformats.org/officeDocument/2006/relationships/hyperlink" Target="https://www.google.com/maps/dir/?api=1&amp;origin=Gymnasium+Kirchheim,+Heimstettner+Str.+3,+85551+Kirchheim+bei+M&#252;nchen&amp;destination=48.21653792778194,11.327744523821421&amp;travelmode=car" TargetMode="External"/><Relationship Id="rId1017" Type="http://schemas.openxmlformats.org/officeDocument/2006/relationships/hyperlink" Target="https://www.google.com/maps/dir/?api=1&amp;origin=Gymnasium+Kirchheim,+Heimstettner+Str.+3,+85551+Kirchheim+bei+M&#252;nchen&amp;destination=48.200044476385116,11.789528545213775&amp;travelmode=car" TargetMode="External"/><Relationship Id="rId1224" Type="http://schemas.openxmlformats.org/officeDocument/2006/relationships/hyperlink" Target="https://www.google.com/maps/dir/?api=1&amp;origin=Gymnasium+Kirchheim,+Heimstettner+Str.+3,+85551+Kirchheim+bei+M&#252;nchen&amp;destination=48.18257593398428,12.147385007013046&amp;travelmode=car" TargetMode="External"/><Relationship Id="rId1431" Type="http://schemas.openxmlformats.org/officeDocument/2006/relationships/hyperlink" Target="https://www.google.com/maps/dir/?api=1&amp;origin=Gymnasium+Kirchheim,+Heimstettner+Str.+3,+85551+Kirchheim+bei+M&#252;nchen&amp;destination=48.163170329105675,11.489371450790154&amp;travelmode=car" TargetMode="External"/><Relationship Id="rId3189" Type="http://schemas.openxmlformats.org/officeDocument/2006/relationships/hyperlink" Target="https://www.google.com/maps/dir/?api=1&amp;origin=Gymnasium+Kirchheim,+Heimstettner+Str.+3,+85551+Kirchheim+bei+M&#252;nchen&amp;destination=48.011457544110634,11.466281997410366&amp;travelmode=car" TargetMode="External"/><Relationship Id="rId3396" Type="http://schemas.openxmlformats.org/officeDocument/2006/relationships/hyperlink" Target="https://www.google.com/maps/dir/?api=1&amp;origin=Gymnasium+Kirchheim,+Heimstettner+Str.+3,+85551+Kirchheim+bei+M&#252;nchen&amp;destination=47.995050755707375,11.81261696011681&amp;travelmode=car" TargetMode="External"/><Relationship Id="rId3049" Type="http://schemas.openxmlformats.org/officeDocument/2006/relationships/hyperlink" Target="https://www.google.com/maps/dir/?api=1&amp;origin=Gymnasium+Kirchheim,+Heimstettner+Str.+3,+85551+Kirchheim+bei+M&#252;nchen&amp;destination=48.02503236138201,11.881881555040426&amp;travelmode=car" TargetMode="External"/><Relationship Id="rId3256" Type="http://schemas.openxmlformats.org/officeDocument/2006/relationships/hyperlink" Target="https://www.google.com/maps/dir/?api=1&amp;origin=Gymnasium+Kirchheim,+Heimstettner+Str.+3,+85551+Kirchheim+bei+M&#252;nchen&amp;destination=48.007377836545956,12.228186338432307&amp;travelmode=car" TargetMode="External"/><Relationship Id="rId3463" Type="http://schemas.openxmlformats.org/officeDocument/2006/relationships/hyperlink" Target="https://www.google.com/maps/dir/?api=1&amp;origin=Gymnasium+Kirchheim,+Heimstettner+Str.+3,+85551+Kirchheim+bei+M&#252;nchen&amp;destination=47.98839853357804,11.581728752359444&amp;travelmode=car" TargetMode="External"/><Relationship Id="rId177" Type="http://schemas.openxmlformats.org/officeDocument/2006/relationships/hyperlink" Target="https://www.google.com/maps/dir/?api=1&amp;origin=Gymnasium+Kirchheim,+Heimstettner+Str.+3,+85551+Kirchheim+bei+M&#252;nchen&amp;destination=48.26969638875574,11.235385797131558&amp;travelmode=car" TargetMode="External"/><Relationship Id="rId384" Type="http://schemas.openxmlformats.org/officeDocument/2006/relationships/hyperlink" Target="https://www.google.com/maps/dir/?api=1&amp;origin=Gymnasium+Kirchheim,+Heimstettner+Str.+3,+85551+Kirchheim+bei+M&#252;nchen&amp;destination=48.25394703645282,11.593273348842407&amp;travelmode=car" TargetMode="External"/><Relationship Id="rId591" Type="http://schemas.openxmlformats.org/officeDocument/2006/relationships/hyperlink" Target="https://www.google.com/maps/dir/?api=1&amp;origin=Gymnasium+Kirchheim,+Heimstettner+Str.+3,+85551+Kirchheim+bei+M&#252;nchen&amp;destination=48.237087339581095,11.95114508756474&amp;travelmode=car" TargetMode="External"/><Relationship Id="rId2065" Type="http://schemas.openxmlformats.org/officeDocument/2006/relationships/hyperlink" Target="https://www.google.com/maps/dir/?api=1&amp;origin=Gymnasium+Kirchheim,+Heimstettner+Str.+3,+85551+Kirchheim+bei+M&#252;nchen&amp;destination=48.10939832756543,11.69717391402856&amp;travelmode=car" TargetMode="External"/><Relationship Id="rId2272" Type="http://schemas.openxmlformats.org/officeDocument/2006/relationships/hyperlink" Target="https://www.google.com/maps/dir/?api=1&amp;origin=Gymnasium+Kirchheim,+Heimstettner+Str.+3,+85551+Kirchheim+bei+M&#252;nchen&amp;destination=48.09229832646945,12.043494616728212&amp;travelmode=car" TargetMode="External"/><Relationship Id="rId3116" Type="http://schemas.openxmlformats.org/officeDocument/2006/relationships/hyperlink" Target="https://www.google.com/maps/dir/?api=1&amp;origin=Gymnasium+Kirchheim,+Heimstettner+Str.+3,+85551+Kirchheim+bei+M&#252;nchen&amp;destination=48.01856037915859,11.639451564999296&amp;travelmode=car" TargetMode="External"/><Relationship Id="rId244" Type="http://schemas.openxmlformats.org/officeDocument/2006/relationships/hyperlink" Target="https://www.google.com/maps/dir/?api=1&amp;origin=Gymnasium+Kirchheim,+Heimstettner+Str.+3,+85551+Kirchheim+bei+M&#252;nchen&amp;destination=48.267064330902016,12.00886380508597&amp;travelmode=car" TargetMode="External"/><Relationship Id="rId1081" Type="http://schemas.openxmlformats.org/officeDocument/2006/relationships/hyperlink" Target="https://www.google.com/maps/dir/?api=1&amp;origin=Gymnasium+Kirchheim,+Heimstettner+Str.+3,+85551+Kirchheim+bei+M&#252;nchen&amp;destination=48.193468516707405,11.512460857153851&amp;travelmode=car" TargetMode="External"/><Relationship Id="rId3323" Type="http://schemas.openxmlformats.org/officeDocument/2006/relationships/hyperlink" Target="https://www.google.com/maps/dir/?api=1&amp;origin=Gymnasium+Kirchheim,+Heimstettner+Str.+3,+85551+Kirchheim+bei+M&#252;nchen&amp;destination=48.00148000918133,12.00886380508597&amp;travelmode=car" TargetMode="External"/><Relationship Id="rId3530" Type="http://schemas.openxmlformats.org/officeDocument/2006/relationships/hyperlink" Target="https://www.google.com/maps/dir/?api=1&amp;origin=Gymnasium+Kirchheim,+Heimstettner+Str.+3,+85551+Kirchheim+bei+M&#252;nchen&amp;destination=47.981295700821505,11.339289350160644&amp;travelmode=car" TargetMode="External"/><Relationship Id="rId451" Type="http://schemas.openxmlformats.org/officeDocument/2006/relationships/hyperlink" Target="https://www.google.com/maps/dir/?api=1&amp;origin=Gymnasium+Kirchheim,+Heimstettner+Str.+3,+85551+Kirchheim+bei+M&#252;nchen&amp;destination=48.2468557578676,11.362378987427904&amp;travelmode=car" TargetMode="External"/><Relationship Id="rId2132" Type="http://schemas.openxmlformats.org/officeDocument/2006/relationships/hyperlink" Target="https://www.google.com/maps/dir/?api=1&amp;origin=Gymnasium+Kirchheim,+Heimstettner+Str.+3,+85551+Kirchheim+bei+M&#252;nchen&amp;destination=48.10253813496176,11.454737254395377&amp;travelmode=car" TargetMode="External"/><Relationship Id="rId104" Type="http://schemas.openxmlformats.org/officeDocument/2006/relationships/hyperlink" Target="https://www.google.com/maps/dir/?api=1&amp;origin=Gymnasium+Kirchheim,+Heimstettner+Str.+3,+85551+Kirchheim+bei+M&#252;nchen&amp;destination=48.277163188850125,11.397013396964736&amp;travelmode=car" TargetMode="External"/><Relationship Id="rId311" Type="http://schemas.openxmlformats.org/officeDocument/2006/relationships/hyperlink" Target="https://www.google.com/maps/dir/?api=1&amp;origin=Gymnasium+Kirchheim,+Heimstettner+Str.+3,+85551+Kirchheim+bei+M&#252;nchen&amp;destination=48.26085922960255,11.766440028975659&amp;travelmode=car" TargetMode="External"/><Relationship Id="rId1898" Type="http://schemas.openxmlformats.org/officeDocument/2006/relationships/hyperlink" Target="https://www.google.com/maps/dir/?api=1&amp;origin=Gymnasium+Kirchheim,+Heimstettner+Str.+3,+85551+Kirchheim+bei+M&#252;nchen&amp;destination=48.12410662588881,11.801072765593279&amp;travelmode=car" TargetMode="External"/><Relationship Id="rId2949" Type="http://schemas.openxmlformats.org/officeDocument/2006/relationships/hyperlink" Target="https://www.google.com/maps/dir/?api=1&amp;origin=Gymnasium+Kirchheim,+Heimstettner+Str.+3,+85551+Kirchheim+bei+M&#252;nchen&amp;destination=48.033320669245036,11.743351415580166&amp;travelmode=car" TargetMode="External"/><Relationship Id="rId1758" Type="http://schemas.openxmlformats.org/officeDocument/2006/relationships/hyperlink" Target="https://www.google.com/maps/dir/?api=1&amp;origin=Gymnasium+Kirchheim,+Heimstettner+Str.+3,+85551+Kirchheim+bei+M&#252;nchen&amp;destination=48.136573499093885,12.205100461762754&amp;travelmode=car" TargetMode="External"/><Relationship Id="rId2809" Type="http://schemas.openxmlformats.org/officeDocument/2006/relationships/hyperlink" Target="https://www.google.com/maps/dir/?api=1&amp;origin=Gymnasium+Kirchheim,+Heimstettner+Str.+3,+85551+Kirchheim+bei+M&#252;nchen&amp;destination=48.045897282846475,12.158928183084447&amp;travelmode=car" TargetMode="External"/><Relationship Id="rId1965" Type="http://schemas.openxmlformats.org/officeDocument/2006/relationships/hyperlink" Target="https://www.google.com/maps/dir/?api=1&amp;origin=Gymnasium+Kirchheim,+Heimstettner+Str.+3,+85551+Kirchheim+bei+M&#252;nchen&amp;destination=48.11746480413916,11.55863951211732&amp;travelmode=car" TargetMode="External"/><Relationship Id="rId3180" Type="http://schemas.openxmlformats.org/officeDocument/2006/relationships/hyperlink" Target="https://www.google.com/maps/dir/?api=1&amp;origin=Gymnasium+Kirchheim,+Heimstettner+Str.+3,+85551+Kirchheim+bei+M&#252;nchen&amp;destination=48.01162393005783,11.362378987427904&amp;travelmode=car" TargetMode="External"/><Relationship Id="rId1618" Type="http://schemas.openxmlformats.org/officeDocument/2006/relationships/hyperlink" Target="https://www.google.com/maps/dir/?api=1&amp;origin=Gymnasium+Kirchheim,+Heimstettner+Str.+3,+85551+Kirchheim+bei+M&#252;nchen&amp;destination=48.14763820383598,11.616362491920484&amp;travelmode=car" TargetMode="External"/><Relationship Id="rId1825" Type="http://schemas.openxmlformats.org/officeDocument/2006/relationships/hyperlink" Target="https://www.google.com/maps/dir/?api=1&amp;origin=Gymnasium+Kirchheim,+Heimstettner+Str.+3,+85551+Kirchheim+bei+M&#252;nchen&amp;destination=48.1307068756189,11.97423267615872&amp;travelmode=car" TargetMode="External"/><Relationship Id="rId3040" Type="http://schemas.openxmlformats.org/officeDocument/2006/relationships/hyperlink" Target="https://www.google.com/maps/dir/?api=1&amp;origin=Gymnasium+Kirchheim,+Heimstettner+Str.+3,+85551+Kirchheim+bei+M&#252;nchen&amp;destination=48.02557309677035,11.777984299500497&amp;travelmode=car" TargetMode="External"/><Relationship Id="rId2599" Type="http://schemas.openxmlformats.org/officeDocument/2006/relationships/hyperlink" Target="https://www.google.com/maps/dir/?api=1&amp;origin=Gymnasium+Kirchheim,+Heimstettner+Str.+3,+85551+Kirchheim+bei+M&#252;nchen&amp;destination=48.06356801918147,11.766440028975659&amp;travelmode=car" TargetMode="External"/><Relationship Id="rId778" Type="http://schemas.openxmlformats.org/officeDocument/2006/relationships/hyperlink" Target="https://www.google.com/maps/dir/?api=1&amp;origin=Gymnasium+Kirchheim,+Heimstettner+Str.+3,+85551+Kirchheim+bei+M&#252;nchen&amp;destination=48.22104686420239,12.078125096991752&amp;travelmode=car" TargetMode="External"/><Relationship Id="rId985" Type="http://schemas.openxmlformats.org/officeDocument/2006/relationships/hyperlink" Target="https://www.google.com/maps/dir/?api=1&amp;origin=Gymnasium+Kirchheim,+Heimstettner+Str.+3,+85551+Kirchheim+bei+M&#252;nchen&amp;destination=48.201246134857875,11.420102966318577&amp;travelmode=car" TargetMode="External"/><Relationship Id="rId2459" Type="http://schemas.openxmlformats.org/officeDocument/2006/relationships/hyperlink" Target="https://www.google.com/maps/dir/?api=1&amp;origin=Gymnasium+Kirchheim,+Heimstettner+Str.+3,+85551+Kirchheim+bei+M&#252;nchen&amp;destination=48.076061454264696,12.182014408588692&amp;travelmode=car" TargetMode="External"/><Relationship Id="rId2666" Type="http://schemas.openxmlformats.org/officeDocument/2006/relationships/hyperlink" Target="https://www.google.com/maps/dir/?api=1&amp;origin=Gymnasium+Kirchheim,+Heimstettner+Str.+3,+85551+Kirchheim+bei+M&#252;nchen&amp;destination=48.056853407803274,11.524005541398747&amp;travelmode=car" TargetMode="External"/><Relationship Id="rId2873" Type="http://schemas.openxmlformats.org/officeDocument/2006/relationships/hyperlink" Target="https://www.google.com/maps/dir/?api=1&amp;origin=Gymnasium+Kirchheim,+Heimstettner+Str.+3,+85551+Kirchheim+bei+M&#252;nchen&amp;destination=48.04020860833748,11.881881555040426&amp;travelmode=car" TargetMode="External"/><Relationship Id="rId638" Type="http://schemas.openxmlformats.org/officeDocument/2006/relationships/hyperlink" Target="https://www.google.com/maps/dir/?api=1&amp;origin=Gymnasium+Kirchheim,+Heimstettner+Str.+3,+85551+Kirchheim+bei+M&#252;nchen&amp;destination=48.2314888604049,11.477826729716085&amp;travelmode=car" TargetMode="External"/><Relationship Id="rId845" Type="http://schemas.openxmlformats.org/officeDocument/2006/relationships/hyperlink" Target="https://www.google.com/maps/dir/?api=1&amp;origin=Gymnasium+Kirchheim,+Heimstettner+Str.+3,+85551+Kirchheim+bei+M&#252;nchen&amp;destination=48.214987328438625,11.835705269507187&amp;travelmode=car" TargetMode="External"/><Relationship Id="rId1268" Type="http://schemas.openxmlformats.org/officeDocument/2006/relationships/hyperlink" Target="https://www.google.com/maps/dir/?api=1&amp;origin=Gymnasium+Kirchheim,+Heimstettner+Str.+3,+85551+Kirchheim+bei+M&#252;nchen&amp;destination=48.177910972190986,11.639451564999296&amp;travelmode=car" TargetMode="External"/><Relationship Id="rId1475" Type="http://schemas.openxmlformats.org/officeDocument/2006/relationships/hyperlink" Target="https://www.google.com/maps/dir/?api=1&amp;origin=Gymnasium+Kirchheim,+Heimstettner+Str.+3,+85551+Kirchheim+bei+M&#252;nchen&amp;destination=48.16090801323117,11.997320130001427&amp;travelmode=car" TargetMode="External"/><Relationship Id="rId1682" Type="http://schemas.openxmlformats.org/officeDocument/2006/relationships/hyperlink" Target="https://www.google.com/maps/dir/?api=1&amp;origin=Gymnasium+Kirchheim,+Heimstettner+Str.+3,+85551+Kirchheim+bei+M&#252;nchen&amp;destination=48.14065669300461,11.327744523821421&amp;travelmode=car" TargetMode="External"/><Relationship Id="rId2319" Type="http://schemas.openxmlformats.org/officeDocument/2006/relationships/hyperlink" Target="https://www.google.com/maps/dir/?api=1&amp;origin=Gymnasium+Kirchheim,+Heimstettner+Str.+3,+85551+Kirchheim+bei+M&#252;nchen&amp;destination=48.087008319942676,11.593273348842407&amp;travelmode=car" TargetMode="External"/><Relationship Id="rId2526" Type="http://schemas.openxmlformats.org/officeDocument/2006/relationships/hyperlink" Target="https://www.google.com/maps/dir/?api=1&amp;origin=Gymnasium+Kirchheim,+Heimstettner+Str.+3,+85551+Kirchheim+bei+M&#252;nchen&amp;destination=48.070290737269765,11.928057368395926&amp;travelmode=car" TargetMode="External"/><Relationship Id="rId2733" Type="http://schemas.openxmlformats.org/officeDocument/2006/relationships/hyperlink" Target="https://www.google.com/maps/dir/?api=1&amp;origin=Gymnasium+Kirchheim,+Heimstettner+Str.+3,+85551+Kirchheim+bei+M&#252;nchen&amp;destination=48.04962925327782,11.281565179283442&amp;travelmode=car" TargetMode="External"/><Relationship Id="rId705" Type="http://schemas.openxmlformats.org/officeDocument/2006/relationships/hyperlink" Target="https://www.google.com/maps/dir/?api=1&amp;origin=Gymnasium+Kirchheim,+Heimstettner+Str.+3,+85551+Kirchheim+bei+M&#252;nchen&amp;destination=48.22416764788934,11.235385797131558&amp;travelmode=car" TargetMode="External"/><Relationship Id="rId1128" Type="http://schemas.openxmlformats.org/officeDocument/2006/relationships/hyperlink" Target="https://www.google.com/maps/dir/?api=1&amp;origin=Gymnasium+Kirchheim,+Heimstettner+Str.+3,+85551+Kirchheim+bei+M&#252;nchen&amp;destination=48.19086189975711,12.055038147665204&amp;travelmode=car" TargetMode="External"/><Relationship Id="rId1335" Type="http://schemas.openxmlformats.org/officeDocument/2006/relationships/hyperlink" Target="https://www.google.com/maps/dir/?api=1&amp;origin=Gymnasium+Kirchheim,+Heimstettner+Str.+3,+85551+Kirchheim+bei+M&#252;nchen&amp;destination=48.170929460161844,11.397013396964736&amp;travelmode=car" TargetMode="External"/><Relationship Id="rId1542" Type="http://schemas.openxmlformats.org/officeDocument/2006/relationships/hyperlink" Target="https://www.google.com/maps/dir/?api=1&amp;origin=Gymnasium+Kirchheim,+Heimstettner+Str.+3,+85551+Kirchheim+bei+M&#252;nchen&amp;destination=48.15467865058146,11.754895734161472&amp;travelmode=car" TargetMode="External"/><Relationship Id="rId2940" Type="http://schemas.openxmlformats.org/officeDocument/2006/relationships/hyperlink" Target="https://www.google.com/maps/dir/?api=1&amp;origin=Gymnasium+Kirchheim,+Heimstettner+Str.+3,+85551+Kirchheim+bei+M&#252;nchen&amp;destination=48.033736626114056,11.639451564999296&amp;travelmode=car" TargetMode="External"/><Relationship Id="rId912" Type="http://schemas.openxmlformats.org/officeDocument/2006/relationships/hyperlink" Target="https://www.google.com/maps/dir/?api=1&amp;origin=Gymnasium+Kirchheim,+Heimstettner+Str.+3,+85551+Kirchheim+bei+M&#252;nchen&amp;destination=48.20841829558641,11.593273348842407&amp;travelmode=car" TargetMode="External"/><Relationship Id="rId2800" Type="http://schemas.openxmlformats.org/officeDocument/2006/relationships/hyperlink" Target="https://www.google.com/maps/dir/?api=1&amp;origin=Gymnasium+Kirchheim,+Heimstettner+Str.+3,+85551+Kirchheim+bei+M&#252;nchen&amp;destination=48.046687553680165,12.055038147665204&amp;travelmode=car" TargetMode="External"/><Relationship Id="rId41" Type="http://schemas.openxmlformats.org/officeDocument/2006/relationships/hyperlink" Target="https://www.google.com/maps/dir/?api=1&amp;origin=Gymnasium+Kirchheim,+Heimstettner+Str.+3,+85551+Kirchheim+bei+M&#252;nchen&amp;destination=48.283925167553306,11.69717391402856&amp;travelmode=car" TargetMode="External"/><Relationship Id="rId1402" Type="http://schemas.openxmlformats.org/officeDocument/2006/relationships/hyperlink" Target="https://www.google.com/maps/dir/?api=1&amp;origin=Gymnasium+Kirchheim,+Heimstettner+Str.+3,+85551+Kirchheim+bei+M&#252;nchen&amp;destination=48.16721367481044,12.170471317116936&amp;travelmode=car" TargetMode="External"/><Relationship Id="rId288" Type="http://schemas.openxmlformats.org/officeDocument/2006/relationships/hyperlink" Target="https://www.google.com/maps/dir/?api=1&amp;origin=Gymnasium+Kirchheim,+Heimstettner+Str.+3,+85551+Kirchheim+bei+M&#252;nchen&amp;destination=48.26178935887918,11.500916160110199&amp;travelmode=car" TargetMode="External"/><Relationship Id="rId3367" Type="http://schemas.openxmlformats.org/officeDocument/2006/relationships/hyperlink" Target="https://www.google.com/maps/dir/?api=1&amp;origin=Gymnasium+Kirchheim,+Heimstettner+Str.+3,+85551+Kirchheim+bei+M&#252;nchen&amp;destination=47.9962050371585,11.500916160110199&amp;travelmode=car" TargetMode="External"/><Relationship Id="rId3574" Type="http://schemas.openxmlformats.org/officeDocument/2006/relationships/hyperlink" Target="https://www.google.com/maps/dir/?api=1&amp;origin=Gymnasium+Kirchheim,+Heimstettner+Str.+3,+85551+Kirchheim+bei+M&#252;nchen&amp;destination=47.97975550062888,11.835705269507187&amp;travelmode=car" TargetMode="External"/><Relationship Id="rId495" Type="http://schemas.openxmlformats.org/officeDocument/2006/relationships/hyperlink" Target="https://www.google.com/maps/dir/?api=1&amp;origin=Gymnasium+Kirchheim,+Heimstettner+Str.+3,+85551+Kirchheim+bei+M&#252;nchen&amp;destination=48.2452161929233,11.858793469207484&amp;travelmode=car" TargetMode="External"/><Relationship Id="rId2176" Type="http://schemas.openxmlformats.org/officeDocument/2006/relationships/hyperlink" Target="https://www.google.com/maps/dir/?api=1&amp;origin=Gymnasium+Kirchheim,+Heimstettner+Str.+3,+85551+Kirchheim+bei+M&#252;nchen&amp;destination=48.10042832697621,11.962688898444616&amp;travelmode=car" TargetMode="External"/><Relationship Id="rId2383" Type="http://schemas.openxmlformats.org/officeDocument/2006/relationships/hyperlink" Target="https://www.google.com/maps/dir/?api=1&amp;origin=Gymnasium+Kirchheim,+Heimstettner+Str.+3,+85551+Kirchheim+bei+M&#252;nchen&amp;destination=48.07996903710655,11.304654858343824&amp;travelmode=car" TargetMode="External"/><Relationship Id="rId2590" Type="http://schemas.openxmlformats.org/officeDocument/2006/relationships/hyperlink" Target="https://www.google.com/maps/dir/?api=1&amp;origin=Gymnasium+Kirchheim,+Heimstettner+Str.+3,+85551+Kirchheim+bei+M&#252;nchen&amp;destination=48.06400477286907,11.66254056390037&amp;travelmode=car" TargetMode="External"/><Relationship Id="rId3227" Type="http://schemas.openxmlformats.org/officeDocument/2006/relationships/hyperlink" Target="https://www.google.com/maps/dir/?api=1&amp;origin=Gymnasium+Kirchheim,+Heimstettner+Str.+3,+85551+Kirchheim+bei+M&#252;nchen&amp;destination=48.009723242522774,11.90496952282889&amp;travelmode=car" TargetMode="External"/><Relationship Id="rId3434" Type="http://schemas.openxmlformats.org/officeDocument/2006/relationships/hyperlink" Target="https://www.google.com/maps/dir/?api=1&amp;origin=Gymnasium+Kirchheim,+Heimstettner+Str.+3,+85551+Kirchheim+bei+M&#252;nchen&amp;destination=47.98893582007959,11.235385797131558&amp;travelmode=car" TargetMode="External"/><Relationship Id="rId148" Type="http://schemas.openxmlformats.org/officeDocument/2006/relationships/hyperlink" Target="https://www.google.com/maps/dir/?api=1&amp;origin=Gymnasium+Kirchheim,+Heimstettner+Str.+3,+85551+Kirchheim+bei+M&#252;nchen&amp;destination=48.27523939534949,11.916513461151142&amp;travelmode=car" TargetMode="External"/><Relationship Id="rId355" Type="http://schemas.openxmlformats.org/officeDocument/2006/relationships/hyperlink" Target="https://www.google.com/maps/dir/?api=1&amp;origin=Gymnasium+Kirchheim,+Heimstettner+Str.+3,+85551+Kirchheim+bei+M&#252;nchen&amp;destination=48.25451667541282,11.258475490819581&amp;travelmode=car" TargetMode="External"/><Relationship Id="rId562" Type="http://schemas.openxmlformats.org/officeDocument/2006/relationships/hyperlink" Target="https://www.google.com/maps/dir/?api=1&amp;origin=Gymnasium+Kirchheim,+Heimstettner+Str.+3,+85551+Kirchheim+bei+M&#252;nchen&amp;destination=48.23869568556878,11.616362491920484&amp;travelmode=car" TargetMode="External"/><Relationship Id="rId1192" Type="http://schemas.openxmlformats.org/officeDocument/2006/relationships/hyperlink" Target="https://www.google.com/maps/dir/?api=1&amp;origin=Gymnasium+Kirchheim,+Heimstettner+Str.+3,+85551+Kirchheim+bei+M&#252;nchen&amp;destination=48.18492368980275,11.777984299500497&amp;travelmode=car" TargetMode="External"/><Relationship Id="rId2036" Type="http://schemas.openxmlformats.org/officeDocument/2006/relationships/hyperlink" Target="https://www.google.com/maps/dir/?api=1&amp;origin=Gymnasium+Kirchheim,+Heimstettner+Str.+3,+85551+Kirchheim+bei+M&#252;nchen&amp;destination=48.1102822453342,11.350834171536942&amp;travelmode=car" TargetMode="External"/><Relationship Id="rId2243" Type="http://schemas.openxmlformats.org/officeDocument/2006/relationships/hyperlink" Target="https://www.google.com/maps/dir/?api=1&amp;origin=Gymnasium+Kirchheim,+Heimstettner+Str.+3,+85551+Kirchheim+bei+M&#252;nchen&amp;destination=48.094076496009926,11.731807073753979&amp;travelmode=car" TargetMode="External"/><Relationship Id="rId2450" Type="http://schemas.openxmlformats.org/officeDocument/2006/relationships/hyperlink" Target="https://www.google.com/maps/dir/?api=1&amp;origin=Gymnasium+Kirchheim,+Heimstettner+Str.+3,+85551+Kirchheim+bei+M&#252;nchen&amp;destination=48.076872518125455,12.078125096991752&amp;travelmode=car" TargetMode="External"/><Relationship Id="rId3501" Type="http://schemas.openxmlformats.org/officeDocument/2006/relationships/hyperlink" Target="https://www.google.com/maps/dir/?api=1&amp;origin=Gymnasium+Kirchheim,+Heimstettner+Str.+3,+85551+Kirchheim+bei+M&#252;nchen&amp;destination=47.98622519597186,12.02040744491661&amp;travelmode=car" TargetMode="External"/><Relationship Id="rId215" Type="http://schemas.openxmlformats.org/officeDocument/2006/relationships/hyperlink" Target="https://www.google.com/maps/dir/?api=1&amp;origin=Gymnasium+Kirchheim,+Heimstettner+Str.+3,+85551+Kirchheim+bei+M&#252;nchen&amp;destination=48.26884020009892,11.67408503422851&amp;travelmode=car" TargetMode="External"/><Relationship Id="rId422" Type="http://schemas.openxmlformats.org/officeDocument/2006/relationships/hyperlink" Target="https://www.google.com/maps/dir/?api=1&amp;origin=Gymnasium+Kirchheim,+Heimstettner+Str.+3,+85551+Kirchheim+bei+M&#252;nchen&amp;destination=48.2517297962087,12.031951048971356&amp;travelmode=car" TargetMode="External"/><Relationship Id="rId1052" Type="http://schemas.openxmlformats.org/officeDocument/2006/relationships/hyperlink" Target="https://www.google.com/maps/dir/?api=1&amp;origin=Gymnasium+Kirchheim,+Heimstettner+Str.+3,+85551+Kirchheim+bei+M&#252;nchen&amp;destination=48.19747142990844,12.182014408588692&amp;travelmode=car" TargetMode="External"/><Relationship Id="rId2103" Type="http://schemas.openxmlformats.org/officeDocument/2006/relationships/hyperlink" Target="https://www.google.com/maps/dir/?api=1&amp;origin=Gymnasium+Kirchheim,+Heimstettner+Str.+3,+85551+Kirchheim+bei+M&#252;nchen&amp;destination=48.10678597259641,12.135841789424584&amp;travelmode=car" TargetMode="External"/><Relationship Id="rId2310" Type="http://schemas.openxmlformats.org/officeDocument/2006/relationships/hyperlink" Target="https://www.google.com/maps/dir/?api=1&amp;origin=Gymnasium+Kirchheim,+Heimstettner+Str.+3,+85551+Kirchheim+bei+M&#252;nchen&amp;destination=48.08731451432796,11.477826729716085&amp;travelmode=car" TargetMode="External"/><Relationship Id="rId1869" Type="http://schemas.openxmlformats.org/officeDocument/2006/relationships/hyperlink" Target="https://www.google.com/maps/dir/?api=1&amp;origin=Gymnasium+Kirchheim,+Heimstettner+Str.+3,+85551+Kirchheim+bei+M&#252;nchen&amp;destination=48.12527939627664,11.466281997410366&amp;travelmode=car" TargetMode="External"/><Relationship Id="rId3084" Type="http://schemas.openxmlformats.org/officeDocument/2006/relationships/hyperlink" Target="https://www.google.com/maps/dir/?api=1&amp;origin=Gymnasium+Kirchheim,+Heimstettner+Str.+3,+85551+Kirchheim+bei+M&#252;nchen&amp;destination=48.01928138121594,11.27002033596574&amp;travelmode=car" TargetMode="External"/><Relationship Id="rId3291" Type="http://schemas.openxmlformats.org/officeDocument/2006/relationships/hyperlink" Target="https://www.google.com/maps/dir/?api=1&amp;origin=Gymnasium+Kirchheim,+Heimstettner+Str.+3,+85551+Kirchheim+bei+M&#252;nchen&amp;destination=48.00338413220311,11.639451564999296&amp;travelmode=car" TargetMode="External"/><Relationship Id="rId1729" Type="http://schemas.openxmlformats.org/officeDocument/2006/relationships/hyperlink" Target="https://www.google.com/maps/dir/?api=1&amp;origin=Gymnasium+Kirchheim,+Heimstettner+Str.+3,+85551+Kirchheim+bei+M&#252;nchen&amp;destination=48.13885421354802,11.881881555040426&amp;travelmode=car" TargetMode="External"/><Relationship Id="rId1936" Type="http://schemas.openxmlformats.org/officeDocument/2006/relationships/hyperlink" Target="https://www.google.com/maps/dir/?api=1&amp;origin=Gymnasium+Kirchheim,+Heimstettner+Str.+3,+85551+Kirchheim+bei+M&#252;nchen&amp;destination=48.12109917435722,12.239729209273484&amp;travelmode=car" TargetMode="External"/><Relationship Id="rId3151" Type="http://schemas.openxmlformats.org/officeDocument/2006/relationships/hyperlink" Target="https://www.google.com/maps/dir/?api=1&amp;origin=Gymnasium+Kirchheim,+Heimstettner+Str.+3,+85551+Kirchheim+bei+M&#252;nchen&amp;destination=48.016417091692105,12.043494616728212&amp;travelmode=car" TargetMode="External"/><Relationship Id="rId3011" Type="http://schemas.openxmlformats.org/officeDocument/2006/relationships/hyperlink" Target="https://www.google.com/maps/dir/?api=1&amp;origin=Gymnasium+Kirchheim,+Heimstettner+Str.+3,+85551+Kirchheim+bei+M&#252;nchen&amp;destination=48.026678853859096,11.44319250119349&amp;travelmode=car" TargetMode="External"/><Relationship Id="rId5" Type="http://schemas.openxmlformats.org/officeDocument/2006/relationships/hyperlink" Target="https://www.google.com/maps/dir/?api=1&amp;origin=Gymnasium+Kirchheim,+Heimstettner+Str.+3,+85551+Kirchheim+bei+M&#252;nchen&amp;destination=48.284861081087556,11.281565179283442&amp;travelmode=car" TargetMode="External"/><Relationship Id="rId889" Type="http://schemas.openxmlformats.org/officeDocument/2006/relationships/hyperlink" Target="https://www.google.com/maps/dir/?api=1&amp;origin=Gymnasium+Kirchheim,+Heimstettner+Str.+3,+85551+Kirchheim+bei+M&#252;nchen&amp;destination=48.208949804304225,11.327744523821421&amp;travelmode=car" TargetMode="External"/><Relationship Id="rId2777" Type="http://schemas.openxmlformats.org/officeDocument/2006/relationships/hyperlink" Target="https://www.google.com/maps/dir/?api=1&amp;origin=Gymnasium+Kirchheim,+Heimstettner+Str.+3,+85551+Kirchheim+bei+M&#252;nchen&amp;destination=48.04828200683044,11.789528545213775&amp;travelmode=car" TargetMode="External"/><Relationship Id="rId749" Type="http://schemas.openxmlformats.org/officeDocument/2006/relationships/hyperlink" Target="https://www.google.com/maps/dir/?api=1&amp;origin=Gymnasium+Kirchheim,+Heimstettner+Str.+3,+85551+Kirchheim+bei+M&#252;nchen&amp;destination=48.22302375618839,11.743351415580166&amp;travelmode=car" TargetMode="External"/><Relationship Id="rId1379" Type="http://schemas.openxmlformats.org/officeDocument/2006/relationships/hyperlink" Target="https://www.google.com/maps/dir/?api=1&amp;origin=Gymnasium+Kirchheim,+Heimstettner+Str.+3,+85551+Kirchheim+bei+M&#252;nchen&amp;destination=48.16907383555519,11.90496952282889&amp;travelmode=car" TargetMode="External"/><Relationship Id="rId1586" Type="http://schemas.openxmlformats.org/officeDocument/2006/relationships/hyperlink" Target="https://www.google.com/maps/dir/?api=1&amp;origin=Gymnasium+Kirchheim,+Heimstettner+Str.+3,+85551+Kirchheim+bei+M&#252;nchen&amp;destination=48.148286413112,11.235385797131558&amp;travelmode=car" TargetMode="External"/><Relationship Id="rId2984" Type="http://schemas.openxmlformats.org/officeDocument/2006/relationships/hyperlink" Target="https://www.google.com/maps/dir/?api=1&amp;origin=Gymnasium+Kirchheim,+Heimstettner+Str.+3,+85551+Kirchheim+bei+M&#252;nchen&amp;destination=48.030813464429606,12.147385007013046&amp;travelmode=car" TargetMode="External"/><Relationship Id="rId609" Type="http://schemas.openxmlformats.org/officeDocument/2006/relationships/hyperlink" Target="https://www.google.com/maps/dir/?api=1&amp;origin=Gymnasium+Kirchheim,+Heimstettner+Str.+3,+85551+Kirchheim+bei+M&#252;nchen&amp;destination=48.235600369789815,12.158928183084447&amp;travelmode=car" TargetMode="External"/><Relationship Id="rId956" Type="http://schemas.openxmlformats.org/officeDocument/2006/relationships/hyperlink" Target="https://www.google.com/maps/dir/?api=1&amp;origin=Gymnasium+Kirchheim,+Heimstettner+Str.+3,+85551+Kirchheim+bei+M&#252;nchen&amp;destination=48.20569846700287,12.101211892775435&amp;travelmode=car" TargetMode="External"/><Relationship Id="rId1239" Type="http://schemas.openxmlformats.org/officeDocument/2006/relationships/hyperlink" Target="https://www.google.com/maps/dir/?api=1&amp;origin=Gymnasium+Kirchheim,+Heimstettner+Str.+3,+85551+Kirchheim+bei+M&#252;nchen&amp;destination=48.178614642317086,11.304654858343824&amp;travelmode=car" TargetMode="External"/><Relationship Id="rId1793" Type="http://schemas.openxmlformats.org/officeDocument/2006/relationships/hyperlink" Target="https://www.google.com/maps/dir/?api=1&amp;origin=Gymnasium+Kirchheim,+Heimstettner+Str.+3,+85551+Kirchheim+bei+M&#252;nchen&amp;destination=48.13250008654987,11.604817928870196&amp;travelmode=car" TargetMode="External"/><Relationship Id="rId2637" Type="http://schemas.openxmlformats.org/officeDocument/2006/relationships/hyperlink" Target="https://www.google.com/maps/dir/?api=1&amp;origin=Gymnasium+Kirchheim,+Heimstettner+Str.+3,+85551+Kirchheim+bei+M&#252;nchen&amp;destination=48.06069226431654,12.205100461762754&amp;travelmode=car" TargetMode="External"/><Relationship Id="rId2844" Type="http://schemas.openxmlformats.org/officeDocument/2006/relationships/hyperlink" Target="https://www.google.com/maps/dir/?api=1&amp;origin=Gymnasium+Kirchheim,+Heimstettner+Str.+3,+85551+Kirchheim+bei+M&#252;nchen&amp;destination=48.041615921949735,11.547094869402834&amp;travelmode=car" TargetMode="External"/><Relationship Id="rId85" Type="http://schemas.openxmlformats.org/officeDocument/2006/relationships/hyperlink" Target="https://www.google.com/maps/dir/?api=1&amp;origin=Gymnasium+Kirchheim,+Heimstettner+Str.+3,+85551+Kirchheim+bei+M&#252;nchen&amp;destination=48.28064964100762,12.21664342242148&amp;travelmode=car" TargetMode="External"/><Relationship Id="rId816" Type="http://schemas.openxmlformats.org/officeDocument/2006/relationships/hyperlink" Target="https://www.google.com/maps/dir/?api=1&amp;origin=Gymnasium+Kirchheim,+Heimstettner+Str.+3,+85551+Kirchheim+bei+M&#252;nchen&amp;destination=48.216260618012775,11.500916160110199&amp;travelmode=car" TargetMode="External"/><Relationship Id="rId1446" Type="http://schemas.openxmlformats.org/officeDocument/2006/relationships/hyperlink" Target="https://www.google.com/maps/dir/?api=1&amp;origin=Gymnasium+Kirchheim,+Heimstettner+Str.+3,+85551+Kirchheim+bei+M&#252;nchen&amp;destination=48.16265037807962,11.66254056390037&amp;travelmode=car" TargetMode="External"/><Relationship Id="rId1653" Type="http://schemas.openxmlformats.org/officeDocument/2006/relationships/hyperlink" Target="https://www.google.com/maps/dir/?api=1&amp;origin=Gymnasium+Kirchheim,+Heimstettner+Str.+3,+85551+Kirchheim+bei+M&#252;nchen&amp;destination=48.14557578900426,12.02040744491661&amp;travelmode=car" TargetMode="External"/><Relationship Id="rId1860" Type="http://schemas.openxmlformats.org/officeDocument/2006/relationships/hyperlink" Target="https://www.google.com/maps/dir/?api=1&amp;origin=Gymnasium+Kirchheim,+Heimstettner+Str.+3,+85551+Kirchheim+bei+M&#252;nchen&amp;destination=48.125445782223835,11.362378987427904&amp;travelmode=car" TargetMode="External"/><Relationship Id="rId2704" Type="http://schemas.openxmlformats.org/officeDocument/2006/relationships/hyperlink" Target="https://www.google.com/maps/dir/?api=1&amp;origin=Gymnasium+Kirchheim,+Heimstettner+Str.+3,+85551+Kirchheim+bei+M&#252;nchen&amp;destination=48.054899586109805,11.962688898444616&amp;travelmode=car" TargetMode="External"/><Relationship Id="rId2911" Type="http://schemas.openxmlformats.org/officeDocument/2006/relationships/hyperlink" Target="https://www.google.com/maps/dir/?api=1&amp;origin=Gymnasium+Kirchheim,+Heimstettner+Str.+3,+85551+Kirchheim+bei+M&#252;nchen&amp;destination=48.03443220800812,11.316199693041677&amp;travelmode=car" TargetMode="External"/><Relationship Id="rId1306" Type="http://schemas.openxmlformats.org/officeDocument/2006/relationships/hyperlink" Target="https://www.google.com/maps/dir/?api=1&amp;origin=Gymnasium+Kirchheim,+Heimstettner+Str.+3,+85551+Kirchheim+bei+M&#252;nchen&amp;destination=48.17551812333599,12.078125096991752&amp;travelmode=car" TargetMode="External"/><Relationship Id="rId1513" Type="http://schemas.openxmlformats.org/officeDocument/2006/relationships/hyperlink" Target="https://www.google.com/maps/dir/?api=1&amp;origin=Gymnasium+Kirchheim,+Heimstettner+Str.+3,+85551+Kirchheim+bei+M&#252;nchen&amp;destination=48.15571739399148,11.420102966318577&amp;travelmode=car" TargetMode="External"/><Relationship Id="rId1720" Type="http://schemas.openxmlformats.org/officeDocument/2006/relationships/hyperlink" Target="https://www.google.com/maps/dir/?api=1&amp;origin=Gymnasium+Kirchheim,+Heimstettner+Str.+3,+85551+Kirchheim+bei+M&#252;nchen&amp;destination=48.13944925395881,11.766440028975659&amp;travelmode=car" TargetMode="External"/><Relationship Id="rId12" Type="http://schemas.openxmlformats.org/officeDocument/2006/relationships/hyperlink" Target="https://www.google.com/maps/dir/?api=1&amp;origin=Gymnasium+Kirchheim,+Heimstettner+Str.+3,+85551+Kirchheim+bei+M&#252;nchen&amp;destination=48.284796375256256,11.362378987427904&amp;travelmode=car" TargetMode="External"/><Relationship Id="rId3478" Type="http://schemas.openxmlformats.org/officeDocument/2006/relationships/hyperlink" Target="https://www.google.com/maps/dir/?api=1&amp;origin=Gymnasium+Kirchheim,+Heimstettner+Str.+3,+85551+Kirchheim+bei+M&#252;nchen&amp;destination=47.98773993407132,11.754895734161472&amp;travelmode=car" TargetMode="External"/><Relationship Id="rId399" Type="http://schemas.openxmlformats.org/officeDocument/2006/relationships/hyperlink" Target="https://www.google.com/maps/dir/?api=1&amp;origin=Gymnasium+Kirchheim,+Heimstettner+Str.+3,+85551+Kirchheim+bei+M&#252;nchen&amp;destination=48.253271106124814,11.766440028975659&amp;travelmode=car" TargetMode="External"/><Relationship Id="rId2287" Type="http://schemas.openxmlformats.org/officeDocument/2006/relationships/hyperlink" Target="https://www.google.com/maps/dir/?api=1&amp;origin=Gymnasium+Kirchheim,+Heimstettner+Str.+3,+85551+Kirchheim+bei+M&#252;nchen&amp;destination=48.09084719480103,12.228186338432307&amp;travelmode=car" TargetMode="External"/><Relationship Id="rId2494" Type="http://schemas.openxmlformats.org/officeDocument/2006/relationships/hyperlink" Target="https://www.google.com/maps/dir/?api=1&amp;origin=Gymnasium+Kirchheim,+Heimstettner+Str.+3,+85551+Kirchheim+bei+M&#252;nchen&amp;destination=48.07190255526261,11.570184139943638&amp;travelmode=car" TargetMode="External"/><Relationship Id="rId3338" Type="http://schemas.openxmlformats.org/officeDocument/2006/relationships/hyperlink" Target="https://www.google.com/maps/dir/?api=1&amp;origin=Gymnasium+Kirchheim,+Heimstettner+Str.+3,+85551+Kirchheim+bei+M&#252;nchen&amp;destination=48.000274958300295,12.170471317116936&amp;travelmode=car" TargetMode="External"/><Relationship Id="rId3545" Type="http://schemas.openxmlformats.org/officeDocument/2006/relationships/hyperlink" Target="https://www.google.com/maps/dir/?api=1&amp;origin=Gymnasium+Kirchheim,+Heimstettner+Str.+3,+85551+Kirchheim+bei+M&#252;nchen&amp;destination=47.981001059330865,11.512460857153851&amp;travelmode=car" TargetMode="External"/><Relationship Id="rId259" Type="http://schemas.openxmlformats.org/officeDocument/2006/relationships/hyperlink" Target="https://www.google.com/maps/dir/?api=1&amp;origin=Gymnasium+Kirchheim,+Heimstettner+Str.+3,+85551+Kirchheim+bei+M&#252;nchen&amp;destination=48.26576454120805,12.182014408588692&amp;travelmode=car" TargetMode="External"/><Relationship Id="rId466" Type="http://schemas.openxmlformats.org/officeDocument/2006/relationships/hyperlink" Target="https://www.google.com/maps/dir/?api=1&amp;origin=Gymnasium+Kirchheim,+Heimstettner+Str.+3,+85551+Kirchheim+bei+M&#252;nchen&amp;destination=48.24658538105154,11.512460857153851&amp;travelmode=car" TargetMode="External"/><Relationship Id="rId673" Type="http://schemas.openxmlformats.org/officeDocument/2006/relationships/hyperlink" Target="https://www.google.com/maps/dir/?api=1&amp;origin=Gymnasium+Kirchheim,+Heimstettner+Str.+3,+85551+Kirchheim+bei+M&#252;nchen&amp;destination=48.22991169528081,11.881881555040426&amp;travelmode=car" TargetMode="External"/><Relationship Id="rId880" Type="http://schemas.openxmlformats.org/officeDocument/2006/relationships/hyperlink" Target="https://www.google.com/maps/dir/?api=1&amp;origin=Gymnasium+Kirchheim,+Heimstettner+Str.+3,+85551+Kirchheim+bei+M&#252;nchen&amp;destination=48.21225717044478,12.228186338432307&amp;travelmode=car" TargetMode="External"/><Relationship Id="rId1096" Type="http://schemas.openxmlformats.org/officeDocument/2006/relationships/hyperlink" Target="https://www.google.com/maps/dir/?api=1&amp;origin=Gymnasium+Kirchheim,+Heimstettner+Str.+3,+85551+Kirchheim+bei+M&#252;nchen&amp;destination=48.19291390326361,11.685629484445332&amp;travelmode=car" TargetMode="External"/><Relationship Id="rId2147" Type="http://schemas.openxmlformats.org/officeDocument/2006/relationships/hyperlink" Target="https://www.google.com/maps/dir/?api=1&amp;origin=Gymnasium+Kirchheim,+Heimstettner+Str.+3,+85551+Kirchheim+bei+M&#252;nchen&amp;destination=48.10207017789336,11.627907037470955&amp;travelmode=car" TargetMode="External"/><Relationship Id="rId2354" Type="http://schemas.openxmlformats.org/officeDocument/2006/relationships/hyperlink" Target="https://www.google.com/maps/dir/?api=1&amp;origin=Gymnasium+Kirchheim,+Heimstettner+Str.+3,+85551+Kirchheim+bei+M&#252;nchen&amp;destination=48.08510303422806,11.985776420185003&amp;travelmode=car" TargetMode="External"/><Relationship Id="rId2561" Type="http://schemas.openxmlformats.org/officeDocument/2006/relationships/hyperlink" Target="https://www.google.com/maps/dir/?api=1&amp;origin=Gymnasium+Kirchheim,+Heimstettner+Str.+3,+85551+Kirchheim+bei+M&#252;nchen&amp;destination=48.064775458227274,11.327744523821421&amp;travelmode=car" TargetMode="External"/><Relationship Id="rId3405" Type="http://schemas.openxmlformats.org/officeDocument/2006/relationships/hyperlink" Target="https://www.google.com/maps/dir/?api=1&amp;origin=Gymnasium+Kirchheim,+Heimstettner+Str.+3,+85551+Kirchheim+bei+M&#252;nchen&amp;destination=47.99440950249243,11.928057368395926&amp;travelmode=car" TargetMode="External"/><Relationship Id="rId119" Type="http://schemas.openxmlformats.org/officeDocument/2006/relationships/hyperlink" Target="https://www.google.com/maps/dir/?api=1&amp;origin=Gymnasium+Kirchheim,+Heimstettner+Str.+3,+85551+Kirchheim+bei+M&#252;nchen&amp;destination=48.27674722573192,11.581728752359444&amp;travelmode=car" TargetMode="External"/><Relationship Id="rId326" Type="http://schemas.openxmlformats.org/officeDocument/2006/relationships/hyperlink" Target="https://www.google.com/maps/dir/?api=1&amp;origin=Gymnasium+Kirchheim,+Heimstettner+Str.+3,+85551+Kirchheim+bei+M&#252;nchen&amp;destination=48.25992334475119,11.939601244041153&amp;travelmode=car" TargetMode="External"/><Relationship Id="rId533" Type="http://schemas.openxmlformats.org/officeDocument/2006/relationships/hyperlink" Target="https://www.google.com/maps/dir/?api=1&amp;origin=Gymnasium+Kirchheim,+Heimstettner+Str.+3,+85551+Kirchheim+bei+M&#252;nchen&amp;destination=48.23933234022115,11.281565179283442&amp;travelmode=car" TargetMode="External"/><Relationship Id="rId1163" Type="http://schemas.openxmlformats.org/officeDocument/2006/relationships/hyperlink" Target="https://www.google.com/maps/dir/?api=1&amp;origin=Gymnasium+Kirchheim,+Heimstettner+Str.+3,+85551+Kirchheim+bei+M&#252;nchen&amp;destination=48.186029446891524,11.44319250119349&amp;travelmode=car" TargetMode="External"/><Relationship Id="rId1370" Type="http://schemas.openxmlformats.org/officeDocument/2006/relationships/hyperlink" Target="https://www.google.com/maps/dir/?api=1&amp;origin=Gymnasium+Kirchheim,+Heimstettner+Str.+3,+85551+Kirchheim+bei+M&#252;nchen&amp;destination=48.169635366755216,11.801072765593279&amp;travelmode=car" TargetMode="External"/><Relationship Id="rId2007" Type="http://schemas.openxmlformats.org/officeDocument/2006/relationships/hyperlink" Target="https://www.google.com/maps/dir/?api=1&amp;origin=Gymnasium+Kirchheim,+Heimstettner+Str.+3,+85551+Kirchheim+bei+M&#252;nchen&amp;destination=48.11506269690264,12.043494616728212&amp;travelmode=car" TargetMode="External"/><Relationship Id="rId2214" Type="http://schemas.openxmlformats.org/officeDocument/2006/relationships/hyperlink" Target="https://www.google.com/maps/dir/?api=1&amp;origin=Gymnasium+Kirchheim,+Heimstettner+Str.+3,+85551+Kirchheim+bei+M&#252;nchen&amp;destination=48.09506440181456,11.385468600664204&amp;travelmode=car" TargetMode="External"/><Relationship Id="rId740" Type="http://schemas.openxmlformats.org/officeDocument/2006/relationships/hyperlink" Target="https://www.google.com/maps/dir/?api=1&amp;origin=Gymnasium+Kirchheim,+Heimstettner+Str.+3,+85551+Kirchheim+bei+M&#252;nchen&amp;destination=48.223480153537096,11.627907037470955&amp;travelmode=car" TargetMode="External"/><Relationship Id="rId1023" Type="http://schemas.openxmlformats.org/officeDocument/2006/relationships/hyperlink" Target="https://www.google.com/maps/dir/?api=1&amp;origin=Gymnasium+Kirchheim,+Heimstettner+Str.+3,+85551+Kirchheim+bei+M&#252;nchen&amp;destination=48.1996874520569,11.858793469207484&amp;travelmode=car" TargetMode="External"/><Relationship Id="rId2421" Type="http://schemas.openxmlformats.org/officeDocument/2006/relationships/hyperlink" Target="https://www.google.com/maps/dir/?api=1&amp;origin=Gymnasium+Kirchheim,+Heimstettner+Str.+3,+85551+Kirchheim+bei+M&#252;nchen&amp;destination=48.07884941011145,11.743351415580166&amp;travelmode=car" TargetMode="External"/><Relationship Id="rId600" Type="http://schemas.openxmlformats.org/officeDocument/2006/relationships/hyperlink" Target="https://www.google.com/maps/dir/?api=1&amp;origin=Gymnasium+Kirchheim,+Heimstettner+Str.+3,+85551+Kirchheim+bei+M&#252;nchen&amp;destination=48.236390640623505,12.055038147665204&amp;travelmode=car" TargetMode="External"/><Relationship Id="rId1230" Type="http://schemas.openxmlformats.org/officeDocument/2006/relationships/hyperlink" Target="https://www.google.com/maps/dir/?api=1&amp;origin=Gymnasium+Kirchheim,+Heimstettner+Str.+3,+85551+Kirchheim+bei+M&#252;nchen&amp;destination=48.182004035797085,12.21664342242148&amp;travelmode=car" TargetMode="External"/><Relationship Id="rId3195" Type="http://schemas.openxmlformats.org/officeDocument/2006/relationships/hyperlink" Target="https://www.google.com/maps/dir/?api=1&amp;origin=Gymnasium+Kirchheim,+Heimstettner+Str.+3,+85551+Kirchheim+bei+M&#252;nchen&amp;destination=48.0112946252017,11.535550212322528&amp;travelmode=car" TargetMode="External"/><Relationship Id="rId3055" Type="http://schemas.openxmlformats.org/officeDocument/2006/relationships/hyperlink" Target="https://www.google.com/maps/dir/?api=1&amp;origin=Gymnasium+Kirchheim,+Heimstettner+Str.+3,+85551+Kirchheim+bei+M&#252;nchen&amp;destination=48.02454709219889,11.962688898444616&amp;travelmode=car" TargetMode="External"/><Relationship Id="rId3262" Type="http://schemas.openxmlformats.org/officeDocument/2006/relationships/hyperlink" Target="https://www.google.com/maps/dir/?api=1&amp;origin=Gymnasium+Kirchheim,+Heimstettner+Str.+3,+85551+Kirchheim+bei+M&#252;nchen&amp;destination=48.00409473510082,11.293110020250275&amp;travelmode=car" TargetMode="External"/><Relationship Id="rId183" Type="http://schemas.openxmlformats.org/officeDocument/2006/relationships/hyperlink" Target="https://www.google.com/maps/dir/?api=1&amp;origin=Gymnasium+Kirchheim,+Heimstettner+Str.+3,+85551+Kirchheim+bei+M&#252;nchen&amp;destination=48.26967212404989,11.304654858343824&amp;travelmode=car" TargetMode="External"/><Relationship Id="rId390" Type="http://schemas.openxmlformats.org/officeDocument/2006/relationships/hyperlink" Target="https://www.google.com/maps/dir/?api=1&amp;origin=Gymnasium+Kirchheim,+Heimstettner+Str.+3,+85551+Kirchheim+bei+M&#252;nchen&amp;destination=48.253707859812415,11.66254056390037&amp;travelmode=car" TargetMode="External"/><Relationship Id="rId1907" Type="http://schemas.openxmlformats.org/officeDocument/2006/relationships/hyperlink" Target="https://www.google.com/maps/dir/?api=1&amp;origin=Gymnasium+Kirchheim,+Heimstettner+Str.+3,+85551+Kirchheim+bei+M&#252;nchen&amp;destination=48.12354509468879,11.90496952282889&amp;travelmode=car" TargetMode="External"/><Relationship Id="rId2071" Type="http://schemas.openxmlformats.org/officeDocument/2006/relationships/hyperlink" Target="https://www.google.com/maps/dir/?api=1&amp;origin=Gymnasium+Kirchheim,+Heimstettner+Str.+3,+85551+Kirchheim+bei+M&#252;nchen&amp;destination=48.109096760047876,11.766440028975659&amp;travelmode=car" TargetMode="External"/><Relationship Id="rId3122" Type="http://schemas.openxmlformats.org/officeDocument/2006/relationships/hyperlink" Target="https://www.google.com/maps/dir/?api=1&amp;origin=Gymnasium+Kirchheim,+Heimstettner+Str.+3,+85551+Kirchheim+bei+M&#252;nchen&amp;destination=48.01829347300835,11.708718322455919&amp;travelmode=car" TargetMode="External"/><Relationship Id="rId250" Type="http://schemas.openxmlformats.org/officeDocument/2006/relationships/hyperlink" Target="https://www.google.com/maps/dir/?api=1&amp;origin=Gymnasium+Kirchheim,+Heimstettner+Str.+3,+85551+Kirchheim+bei+M&#252;nchen&amp;destination=48.266575605068795,12.078125096991752&amp;travelmode=car" TargetMode="External"/><Relationship Id="rId110" Type="http://schemas.openxmlformats.org/officeDocument/2006/relationships/hyperlink" Target="https://www.google.com/maps/dir/?api=1&amp;origin=Gymnasium+Kirchheim,+Heimstettner+Str.+3,+85551+Kirchheim+bei+M&#252;nchen&amp;destination=48.2770176012713,11.477826729716085&amp;travelmode=car" TargetMode="External"/><Relationship Id="rId2888" Type="http://schemas.openxmlformats.org/officeDocument/2006/relationships/hyperlink" Target="https://www.google.com/maps/dir/?api=1&amp;origin=Gymnasium+Kirchheim,+Heimstettner+Str.+3,+85551+Kirchheim+bei+M&#252;nchen&amp;destination=48.039099430202434,12.055038147665204&amp;travelmode=car" TargetMode="External"/><Relationship Id="rId1697" Type="http://schemas.openxmlformats.org/officeDocument/2006/relationships/hyperlink" Target="https://www.google.com/maps/dir/?api=1&amp;origin=Gymnasium+Kirchheim,+Heimstettner+Str.+3,+85551+Kirchheim+bei+M&#252;nchen&amp;destination=48.14035165236327,11.512460857153851&amp;travelmode=car" TargetMode="External"/><Relationship Id="rId2748" Type="http://schemas.openxmlformats.org/officeDocument/2006/relationships/hyperlink" Target="https://www.google.com/maps/dir/?api=1&amp;origin=Gymnasium+Kirchheim,+Heimstettner+Str.+3,+85551+Kirchheim+bei+M&#252;nchen&amp;destination=48.049421270617636,11.454737254395377&amp;travelmode=car" TargetMode="External"/><Relationship Id="rId2955" Type="http://schemas.openxmlformats.org/officeDocument/2006/relationships/hyperlink" Target="https://www.google.com/maps/dir/?api=1&amp;origin=Gymnasium+Kirchheim,+Heimstettner+Str.+3,+85551+Kirchheim+bei+M&#252;nchen&amp;destination=48.032991373096046,11.81261696011681&amp;travelmode=car" TargetMode="External"/><Relationship Id="rId927" Type="http://schemas.openxmlformats.org/officeDocument/2006/relationships/hyperlink" Target="https://www.google.com/maps/dir/?api=1&amp;origin=Gymnasium+Kirchheim,+Heimstettner+Str.+3,+85551+Kirchheim+bei+M&#252;nchen&amp;destination=48.20774236525842,11.766440028975659&amp;travelmode=car" TargetMode="External"/><Relationship Id="rId1557" Type="http://schemas.openxmlformats.org/officeDocument/2006/relationships/hyperlink" Target="https://www.google.com/maps/dir/?api=1&amp;origin=Gymnasium+Kirchheim,+Heimstettner+Str.+3,+85551+Kirchheim+bei+M&#252;nchen&amp;destination=48.15376009552484,11.928057368395926&amp;travelmode=car" TargetMode="External"/><Relationship Id="rId1764" Type="http://schemas.openxmlformats.org/officeDocument/2006/relationships/hyperlink" Target="https://www.google.com/maps/dir/?api=1&amp;origin=Gymnasium+Kirchheim,+Heimstettner+Str.+3,+85551+Kirchheim+bei+M&#252;nchen&amp;destination=48.13310323338194,11.27002033596574&amp;travelmode=car" TargetMode="External"/><Relationship Id="rId1971" Type="http://schemas.openxmlformats.org/officeDocument/2006/relationships/hyperlink" Target="https://www.google.com/maps/dir/?api=1&amp;origin=Gymnasium+Kirchheim,+Heimstettner+Str.+3,+85551+Kirchheim+bei+M&#252;nchen&amp;destination=48.11724642484882,11.627907037470955&amp;travelmode=car" TargetMode="External"/><Relationship Id="rId2608" Type="http://schemas.openxmlformats.org/officeDocument/2006/relationships/hyperlink" Target="https://www.google.com/maps/dir/?api=1&amp;origin=Gymnasium+Kirchheim,+Heimstettner+Str.+3,+85551+Kirchheim+bei+M&#252;nchen&amp;destination=48.06303768176907,11.870337526618448&amp;travelmode=car" TargetMode="External"/><Relationship Id="rId2815" Type="http://schemas.openxmlformats.org/officeDocument/2006/relationships/hyperlink" Target="https://www.google.com/maps/dir/?api=1&amp;origin=Gymnasium+Kirchheim,+Heimstettner+Str.+3,+85551+Kirchheim+bei+M&#252;nchen&amp;destination=48.045318453934634,12.228186338432307&amp;travelmode=car" TargetMode="External"/><Relationship Id="rId56" Type="http://schemas.openxmlformats.org/officeDocument/2006/relationships/hyperlink" Target="https://www.google.com/maps/dir/?api=1&amp;origin=Gymnasium+Kirchheim,+Heimstettner+Str.+3,+85551+Kirchheim+bei+M&#252;nchen&amp;destination=48.283093262623346,11.870337526618448&amp;travelmode=car" TargetMode="External"/><Relationship Id="rId1417" Type="http://schemas.openxmlformats.org/officeDocument/2006/relationships/hyperlink" Target="https://www.google.com/maps/dir/?api=1&amp;origin=Gymnasium+Kirchheim,+Heimstettner+Str.+3,+85551+Kirchheim+bei+M&#252;nchen&amp;destination=48.16342106343781,11.327744523821421&amp;travelmode=car" TargetMode="External"/><Relationship Id="rId1624" Type="http://schemas.openxmlformats.org/officeDocument/2006/relationships/hyperlink" Target="https://www.google.com/maps/dir/?api=1&amp;origin=Gymnasium+Kirchheim,+Heimstettner+Str.+3,+85551+Kirchheim+bei+M&#252;nchen&amp;destination=48.14743022445519,11.67408503422851&amp;travelmode=car" TargetMode="External"/><Relationship Id="rId1831" Type="http://schemas.openxmlformats.org/officeDocument/2006/relationships/hyperlink" Target="https://www.google.com/maps/dir/?api=1&amp;origin=Gymnasium+Kirchheim,+Heimstettner+Str.+3,+85551+Kirchheim+bei+M&#252;nchen&amp;destination=48.13023894385812,12.043494616728212&amp;travelmode=car" TargetMode="External"/><Relationship Id="rId3589" Type="http://schemas.openxmlformats.org/officeDocument/2006/relationships/hyperlink" Target="https://www.google.com/maps/dir/?api=1&amp;origin=Gymnasium+Kirchheim,+Heimstettner+Str.+3,+85551+Kirchheim+bei+M&#252;nchen&amp;destination=47.978637072494124,12.02040744491661&amp;travelmode=car" TargetMode="External"/><Relationship Id="rId2398" Type="http://schemas.openxmlformats.org/officeDocument/2006/relationships/hyperlink" Target="https://www.google.com/maps/dir/?api=1&amp;origin=Gymnasium+Kirchheim,+Heimstettner+Str.+3,+85551+Kirchheim+bei+M&#252;nchen&amp;destination=48.07975065541023,11.466281997410366&amp;travelmode=car" TargetMode="External"/><Relationship Id="rId3449" Type="http://schemas.openxmlformats.org/officeDocument/2006/relationships/hyperlink" Target="https://www.google.com/maps/dir/?api=1&amp;origin=Gymnasium+Kirchheim,+Heimstettner+Str.+3,+85551+Kirchheim+bei+M&#252;nchen&amp;destination=47.988778677481335,11.420102966318577&amp;travelmode=car" TargetMode="External"/><Relationship Id="rId577" Type="http://schemas.openxmlformats.org/officeDocument/2006/relationships/hyperlink" Target="https://www.google.com/maps/dir/?api=1&amp;origin=Gymnasium+Kirchheim,+Heimstettner+Str.+3,+85551+Kirchheim+bei+M&#252;nchen&amp;destination=48.23798509377377,11.789528545213775&amp;travelmode=car" TargetMode="External"/><Relationship Id="rId2258" Type="http://schemas.openxmlformats.org/officeDocument/2006/relationships/hyperlink" Target="https://www.google.com/maps/dir/?api=1&amp;origin=Gymnasium+Kirchheim,+Heimstettner+Str.+3,+85551+Kirchheim+bei+M&#252;nchen&amp;destination=48.09325961437902,11.893425553951282&amp;travelmode=car" TargetMode="External"/><Relationship Id="rId784" Type="http://schemas.openxmlformats.org/officeDocument/2006/relationships/hyperlink" Target="https://www.google.com/maps/dir/?api=1&amp;origin=Gymnasium+Kirchheim,+Heimstettner+Str.+3,+85551+Kirchheim+bei+M&#252;nchen&amp;destination=48.22051655137294,12.147385007013046&amp;travelmode=car" TargetMode="External"/><Relationship Id="rId991" Type="http://schemas.openxmlformats.org/officeDocument/2006/relationships/hyperlink" Target="https://www.google.com/maps/dir/?api=1&amp;origin=Gymnasium+Kirchheim,+Heimstettner+Str.+3,+85551+Kirchheim+bei+M&#252;nchen&amp;destination=48.201110946494346,11.489371450790154&amp;travelmode=car" TargetMode="External"/><Relationship Id="rId1067" Type="http://schemas.openxmlformats.org/officeDocument/2006/relationships/hyperlink" Target="https://www.google.com/maps/dir/?api=1&amp;origin=Gymnasium+Kirchheim,+Heimstettner+Str.+3,+85551+Kirchheim+bei+M&#252;nchen&amp;destination=48.19373889352345,11.362378987427904&amp;travelmode=car" TargetMode="External"/><Relationship Id="rId2465" Type="http://schemas.openxmlformats.org/officeDocument/2006/relationships/hyperlink" Target="https://www.google.com/maps/dir/?api=1&amp;origin=Gymnasium+Kirchheim,+Heimstettner+Str.+3,+85551+Kirchheim+bei+M&#252;nchen&amp;destination=48.07240402287214,11.246930644367383&amp;travelmode=car" TargetMode="External"/><Relationship Id="rId2672" Type="http://schemas.openxmlformats.org/officeDocument/2006/relationships/hyperlink" Target="https://www.google.com/maps/dir/?api=1&amp;origin=Gymnasium+Kirchheim,+Heimstettner+Str.+3,+85551+Kirchheim+bei+M&#252;nchen&amp;destination=48.056655826031744,11.593273348842407&amp;travelmode=car" TargetMode="External"/><Relationship Id="rId3309" Type="http://schemas.openxmlformats.org/officeDocument/2006/relationships/hyperlink" Target="https://www.google.com/maps/dir/?api=1&amp;origin=Gymnasium+Kirchheim,+Heimstettner+Str.+3,+85551+Kirchheim+bei+M&#252;nchen&amp;destination=48.002458634009244,11.847249383329679&amp;travelmode=car" TargetMode="External"/><Relationship Id="rId3516" Type="http://schemas.openxmlformats.org/officeDocument/2006/relationships/hyperlink" Target="https://www.google.com/maps/dir/?api=1&amp;origin=Gymnasium+Kirchheim,+Heimstettner+Str.+3,+85551+Kirchheim+bei+M&#252;nchen&amp;destination=47.98490807859396,12.193557456977898&amp;travelmode=car" TargetMode="External"/><Relationship Id="rId437" Type="http://schemas.openxmlformats.org/officeDocument/2006/relationships/hyperlink" Target="https://www.google.com/maps/dir/?api=1&amp;origin=Gymnasium+Kirchheim,+Heimstettner+Str.+3,+85551+Kirchheim+bei+M&#252;nchen&amp;destination=48.25039535125989,12.205100461762754&amp;travelmode=car" TargetMode="External"/><Relationship Id="rId644" Type="http://schemas.openxmlformats.org/officeDocument/2006/relationships/hyperlink" Target="https://www.google.com/maps/dir/?api=1&amp;origin=Gymnasium+Kirchheim,+Heimstettner+Str.+3,+85551+Kirchheim+bei+M&#252;nchen&amp;destination=48.231319008893074,11.547094869402834&amp;travelmode=car" TargetMode="External"/><Relationship Id="rId851" Type="http://schemas.openxmlformats.org/officeDocument/2006/relationships/hyperlink" Target="https://www.google.com/maps/dir/?api=1&amp;origin=Gymnasium+Kirchheim,+Heimstettner+Str.+3,+85551+Kirchheim+bei+M&#252;nchen&amp;destination=48.21460257642158,11.90496952282889&amp;travelmode=car" TargetMode="External"/><Relationship Id="rId1274" Type="http://schemas.openxmlformats.org/officeDocument/2006/relationships/hyperlink" Target="https://www.google.com/maps/dir/?api=1&amp;origin=Gymnasium+Kirchheim,+Heimstettner+Str.+3,+85551+Kirchheim+bei+M&#252;nchen&amp;destination=48.177644066040756,11.708718322455919&amp;travelmode=car" TargetMode="External"/><Relationship Id="rId1481" Type="http://schemas.openxmlformats.org/officeDocument/2006/relationships/hyperlink" Target="https://www.google.com/maps/dir/?api=1&amp;origin=Gymnasium+Kirchheim,+Heimstettner+Str.+3,+85551+Kirchheim+bei+M&#252;nchen&amp;destination=48.16042621871429,12.066581641260367&amp;travelmode=car" TargetMode="External"/><Relationship Id="rId2118" Type="http://schemas.openxmlformats.org/officeDocument/2006/relationships/hyperlink" Target="https://www.google.com/maps/dir/?api=1&amp;origin=Gymnasium+Kirchheim,+Heimstettner+Str.+3,+85551+Kirchheim+bei+M&#252;nchen&amp;destination=48.10274034031136,11.293110020250275&amp;travelmode=car" TargetMode="External"/><Relationship Id="rId2325" Type="http://schemas.openxmlformats.org/officeDocument/2006/relationships/hyperlink" Target="https://www.google.com/maps/dir/?api=1&amp;origin=Gymnasium+Kirchheim,+Heimstettner+Str.+3,+85551+Kirchheim+bei+M&#252;nchen&amp;destination=48.08681189457846,11.650996073983201&amp;travelmode=car" TargetMode="External"/><Relationship Id="rId2532" Type="http://schemas.openxmlformats.org/officeDocument/2006/relationships/hyperlink" Target="https://www.google.com/maps/dir/?api=1&amp;origin=Gymnasium+Kirchheim,+Heimstettner+Str.+3,+85551+Kirchheim+bei+M&#252;nchen&amp;destination=48.06977312048093,12.00886380508597&amp;travelmode=car" TargetMode="External"/><Relationship Id="rId504" Type="http://schemas.openxmlformats.org/officeDocument/2006/relationships/hyperlink" Target="https://www.google.com/maps/dir/?api=1&amp;origin=Gymnasium+Kirchheim,+Heimstettner+Str.+3,+85551+Kirchheim+bei+M&#252;nchen&amp;destination=48.24460267305316,11.962688898444616&amp;travelmode=car" TargetMode="External"/><Relationship Id="rId711" Type="http://schemas.openxmlformats.org/officeDocument/2006/relationships/hyperlink" Target="https://www.google.com/maps/dir/?api=1&amp;origin=Gymnasium+Kirchheim,+Heimstettner+Str.+3,+85551+Kirchheim+bei+M&#252;nchen&amp;destination=48.22414338318349,11.304654858343824&amp;travelmode=car" TargetMode="External"/><Relationship Id="rId1134" Type="http://schemas.openxmlformats.org/officeDocument/2006/relationships/hyperlink" Target="https://www.google.com/maps/dir/?api=1&amp;origin=Gymnasium+Kirchheim,+Heimstettner+Str.+3,+85551+Kirchheim+bei+M&#252;nchen&amp;destination=48.19043441215187,12.112755231783899&amp;travelmode=car" TargetMode="External"/><Relationship Id="rId1341" Type="http://schemas.openxmlformats.org/officeDocument/2006/relationships/hyperlink" Target="https://www.google.com/maps/dir/?api=1&amp;origin=Gymnasium+Kirchheim,+Heimstettner+Str.+3,+85551+Kirchheim+bei+M&#252;nchen&amp;destination=48.170808137143034,11.466281997410366&amp;travelmode=car" TargetMode="External"/><Relationship Id="rId1201" Type="http://schemas.openxmlformats.org/officeDocument/2006/relationships/hyperlink" Target="https://www.google.com/maps/dir/?api=1&amp;origin=Gymnasium+Kirchheim,+Heimstettner+Str.+3,+85551+Kirchheim+bei+M&#252;nchen&amp;destination=48.18438295441442,11.881881555040426&amp;travelmode=car" TargetMode="External"/><Relationship Id="rId3099" Type="http://schemas.openxmlformats.org/officeDocument/2006/relationships/hyperlink" Target="https://www.google.com/maps/dir/?api=1&amp;origin=Gymnasium+Kirchheim,+Heimstettner+Str.+3,+85551+Kirchheim+bei+M&#252;nchen&amp;destination=48.01909073038138,11.44319250119349&amp;travelmode=car" TargetMode="External"/><Relationship Id="rId3166" Type="http://schemas.openxmlformats.org/officeDocument/2006/relationships/hyperlink" Target="https://www.google.com/maps/dir/?api=1&amp;origin=Gymnasium+Kirchheim,+Heimstettner+Str.+3,+85551+Kirchheim+bei+M&#252;nchen&amp;destination=48.01506531928695,12.21664342242148&amp;travelmode=car" TargetMode="External"/><Relationship Id="rId3373" Type="http://schemas.openxmlformats.org/officeDocument/2006/relationships/hyperlink" Target="https://www.google.com/maps/dir/?api=1&amp;origin=Gymnasium+Kirchheim,+Heimstettner+Str.+3,+85551+Kirchheim+bei+M&#252;nchen&amp;destination=47.99605482849543,11.55863951211732&amp;travelmode=car" TargetMode="External"/><Relationship Id="rId3580" Type="http://schemas.openxmlformats.org/officeDocument/2006/relationships/hyperlink" Target="https://www.google.com/maps/dir/?api=1&amp;origin=Gymnasium+Kirchheim,+Heimstettner+Str.+3,+85551+Kirchheim+bei+M&#252;nchen&amp;destination=47.97930257971789,11.916513461151142&amp;travelmode=car" TargetMode="External"/><Relationship Id="rId294" Type="http://schemas.openxmlformats.org/officeDocument/2006/relationships/hyperlink" Target="https://www.google.com/maps/dir/?api=1&amp;origin=Gymnasium+Kirchheim,+Heimstettner+Str.+3,+85551+Kirchheim+bei+M&#252;nchen&amp;destination=48.261605642205964,11.570184139943638&amp;travelmode=car" TargetMode="External"/><Relationship Id="rId2182" Type="http://schemas.openxmlformats.org/officeDocument/2006/relationships/hyperlink" Target="https://www.google.com/maps/dir/?api=1&amp;origin=Gymnasium+Kirchheim,+Heimstettner+Str.+3,+85551+Kirchheim+bei+M&#252;nchen&amp;destination=48.09996732665402,12.031951048971356&amp;travelmode=car" TargetMode="External"/><Relationship Id="rId3026" Type="http://schemas.openxmlformats.org/officeDocument/2006/relationships/hyperlink" Target="https://www.google.com/maps/dir/?api=1&amp;origin=Gymnasium+Kirchheim,+Heimstettner+Str.+3,+85551+Kirchheim+bei+M&#252;nchen&amp;destination=48.02622822819224,11.616362491920484&amp;travelmode=car" TargetMode="External"/><Relationship Id="rId3233" Type="http://schemas.openxmlformats.org/officeDocument/2006/relationships/hyperlink" Target="https://www.google.com/maps/dir/?api=1&amp;origin=Gymnasium+Kirchheim,+Heimstettner+Str.+3,+85551+Kirchheim+bei+M&#252;nchen&amp;destination=48.00929689997516,11.97423267615872&amp;travelmode=car" TargetMode="External"/><Relationship Id="rId154" Type="http://schemas.openxmlformats.org/officeDocument/2006/relationships/hyperlink" Target="https://www.google.com/maps/dir/?api=1&amp;origin=Gymnasium+Kirchheim,+Heimstettner+Str.+3,+85551+Kirchheim+bei+M&#252;nchen&amp;destination=48.27480612117141,11.985776420185003&amp;travelmode=car" TargetMode="External"/><Relationship Id="rId361" Type="http://schemas.openxmlformats.org/officeDocument/2006/relationships/hyperlink" Target="https://www.google.com/maps/dir/?api=1&amp;origin=Gymnasium+Kirchheim,+Heimstettner+Str.+3,+85551+Kirchheim+bei+M&#252;nchen&amp;destination=48.25447854517062,11.327744523821421&amp;travelmode=car" TargetMode="External"/><Relationship Id="rId2042" Type="http://schemas.openxmlformats.org/officeDocument/2006/relationships/hyperlink" Target="https://www.google.com/maps/dir/?api=1&amp;origin=Gymnasium+Kirchheim,+Heimstettner+Str.+3,+85551+Kirchheim+bei+M&#252;nchen&amp;destination=48.11016901034329,11.431647738327094&amp;travelmode=car" TargetMode="External"/><Relationship Id="rId3440" Type="http://schemas.openxmlformats.org/officeDocument/2006/relationships/hyperlink" Target="https://www.google.com/maps/dir/?api=1&amp;origin=Gymnasium+Kirchheim,+Heimstettner+Str.+3,+85551+Kirchheim+bei+M&#252;nchen&amp;destination=47.98890346714171,11.316199693041677&amp;travelmode=car" TargetMode="External"/><Relationship Id="rId2999" Type="http://schemas.openxmlformats.org/officeDocument/2006/relationships/hyperlink" Target="https://www.google.com/maps/dir/?api=1&amp;origin=Gymnasium+Kirchheim,+Heimstettner+Str.+3,+85551+Kirchheim+bei+M&#252;nchen&amp;destination=48.026844084530374,11.316199693041677&amp;travelmode=car" TargetMode="External"/><Relationship Id="rId3300" Type="http://schemas.openxmlformats.org/officeDocument/2006/relationships/hyperlink" Target="https://www.google.com/maps/dir/?api=1&amp;origin=Gymnasium+Kirchheim,+Heimstettner+Str.+3,+85551+Kirchheim+bei+M&#252;nchen&amp;destination=48.00301901427712,11.731807073753979&amp;travelmode=car" TargetMode="External"/><Relationship Id="rId221" Type="http://schemas.openxmlformats.org/officeDocument/2006/relationships/hyperlink" Target="https://www.google.com/maps/dir/?api=1&amp;origin=Gymnasium+Kirchheim,+Heimstettner+Str.+3,+85551+Kirchheim+bei+M&#252;nchen&amp;destination=48.26855249705479,11.743351415580166&amp;travelmode=car" TargetMode="External"/><Relationship Id="rId2859" Type="http://schemas.openxmlformats.org/officeDocument/2006/relationships/hyperlink" Target="https://www.google.com/maps/dir/?api=1&amp;origin=Gymnasium+Kirchheim,+Heimstettner+Str.+3,+85551+Kirchheim+bei+M&#252;nchen&amp;destination=48.04100931524015,11.720262709205143&amp;travelmode=car" TargetMode="External"/><Relationship Id="rId1668" Type="http://schemas.openxmlformats.org/officeDocument/2006/relationships/hyperlink" Target="https://www.google.com/maps/dir/?api=1&amp;origin=Gymnasium+Kirchheim,+Heimstettner+Str.+3,+85551+Kirchheim+bei+M&#252;nchen&amp;destination=48.14425867162637,12.193557456977898&amp;travelmode=car" TargetMode="External"/><Relationship Id="rId1875" Type="http://schemas.openxmlformats.org/officeDocument/2006/relationships/hyperlink" Target="https://www.google.com/maps/dir/?api=1&amp;origin=Gymnasium+Kirchheim,+Heimstettner+Str.+3,+85551+Kirchheim+bei+M&#252;nchen&amp;destination=48.125116477367705,11.535550212322528&amp;travelmode=car" TargetMode="External"/><Relationship Id="rId2719" Type="http://schemas.openxmlformats.org/officeDocument/2006/relationships/hyperlink" Target="https://www.google.com/maps/dir/?api=1&amp;origin=Gymnasium+Kirchheim,+Heimstettner+Str.+3,+85551+Kirchheim+bei+M&#252;nchen&amp;destination=48.05366910825227,12.135841789424584&amp;travelmode=car" TargetMode="External"/><Relationship Id="rId1528" Type="http://schemas.openxmlformats.org/officeDocument/2006/relationships/hyperlink" Target="https://www.google.com/maps/dir/?api=1&amp;origin=Gymnasium+Kirchheim,+Heimstettner+Str.+3,+85551+Kirchheim+bei+M&#252;nchen&amp;destination=48.15530143124228,11.593273348842407&amp;travelmode=car" TargetMode="External"/><Relationship Id="rId2926" Type="http://schemas.openxmlformats.org/officeDocument/2006/relationships/hyperlink" Target="https://www.google.com/maps/dir/?api=1&amp;origin=Gymnasium+Kirchheim,+Heimstettner+Str.+3,+85551+Kirchheim+bei+M&#252;nchen&amp;destination=48.03419764998383,11.477826729716085&amp;travelmode=car" TargetMode="External"/><Relationship Id="rId3090" Type="http://schemas.openxmlformats.org/officeDocument/2006/relationships/hyperlink" Target="https://www.google.com/maps/dir/?api=1&amp;origin=Gymnasium+Kirchheim,+Heimstettner+Str.+3,+85551+Kirchheim+bei+M&#252;nchen&amp;destination=48.01923631821017,11.339289350160644&amp;travelmode=car" TargetMode="External"/><Relationship Id="rId1735" Type="http://schemas.openxmlformats.org/officeDocument/2006/relationships/hyperlink" Target="https://www.google.com/maps/dir/?api=1&amp;origin=Gymnasium+Kirchheim,+Heimstettner+Str.+3,+85551+Kirchheim+bei+M&#252;nchen&amp;destination=48.13844173437056,11.95114508756474&amp;travelmode=car" TargetMode="External"/><Relationship Id="rId1942" Type="http://schemas.openxmlformats.org/officeDocument/2006/relationships/hyperlink" Target="https://www.google.com/maps/dir/?api=1&amp;origin=Gymnasium+Kirchheim,+Heimstettner+Str.+3,+85551+Kirchheim+bei+M&#252;nchen&amp;destination=48.11791658726682,11.293110020250275&amp;travelmode=car" TargetMode="External"/><Relationship Id="rId27" Type="http://schemas.openxmlformats.org/officeDocument/2006/relationships/hyperlink" Target="https://www.google.com/maps/dir/?api=1&amp;origin=Gymnasium+Kirchheim,+Heimstettner+Str.+3,+85551+Kirchheim+bei+M&#252;nchen&amp;destination=48.28446707040011,11.535550212322528&amp;travelmode=car" TargetMode="External"/><Relationship Id="rId1802" Type="http://schemas.openxmlformats.org/officeDocument/2006/relationships/hyperlink" Target="https://www.google.com/maps/dir/?api=1&amp;origin=Gymnasium+Kirchheim,+Heimstettner+Str.+3,+85551+Kirchheim+bei+M&#252;nchen&amp;destination=48.13211532517433,11.708718322455919&amp;travelmode=car" TargetMode="External"/><Relationship Id="rId688" Type="http://schemas.openxmlformats.org/officeDocument/2006/relationships/hyperlink" Target="https://www.google.com/maps/dir/?api=1&amp;origin=Gymnasium+Kirchheim,+Heimstettner+Str.+3,+85551+Kirchheim+bei+M&#252;nchen&amp;destination=48.22880251714577,12.055038147665204&amp;travelmode=car" TargetMode="External"/><Relationship Id="rId895" Type="http://schemas.openxmlformats.org/officeDocument/2006/relationships/hyperlink" Target="https://www.google.com/maps/dir/?api=1&amp;origin=Gymnasium+Kirchheim,+Heimstettner+Str.+3,+85551+Kirchheim+bei+M&#252;nchen&amp;destination=48.20887007755052,11.397013396964736&amp;travelmode=car" TargetMode="External"/><Relationship Id="rId2369" Type="http://schemas.openxmlformats.org/officeDocument/2006/relationships/hyperlink" Target="https://www.google.com/maps/dir/?api=1&amp;origin=Gymnasium+Kirchheim,+Heimstettner+Str.+3,+85551+Kirchheim+bei+M&#252;nchen&amp;destination=48.083837900235146,12.158928183084447&amp;travelmode=car" TargetMode="External"/><Relationship Id="rId2576" Type="http://schemas.openxmlformats.org/officeDocument/2006/relationships/hyperlink" Target="https://www.google.com/maps/dir/?api=1&amp;origin=Gymnasium+Kirchheim,+Heimstettner+Str.+3,+85551+Kirchheim+bei+M&#252;nchen&amp;destination=48.06449814845809,11.500916160110199&amp;travelmode=car" TargetMode="External"/><Relationship Id="rId2783" Type="http://schemas.openxmlformats.org/officeDocument/2006/relationships/hyperlink" Target="https://www.google.com/maps/dir/?api=1&amp;origin=Gymnasium+Kirchheim,+Heimstettner+Str.+3,+85551+Kirchheim+bei+M&#252;nchen&amp;destination=48.04792498250223,11.858793469207484&amp;travelmode=car" TargetMode="External"/><Relationship Id="rId2990" Type="http://schemas.openxmlformats.org/officeDocument/2006/relationships/hyperlink" Target="https://www.google.com/maps/dir/?api=1&amp;origin=Gymnasium+Kirchheim,+Heimstettner+Str.+3,+85551+Kirchheim+bei+M&#252;nchen&amp;destination=48.03024156624241,12.21664342242148&amp;travelmode=car" TargetMode="External"/><Relationship Id="rId548" Type="http://schemas.openxmlformats.org/officeDocument/2006/relationships/hyperlink" Target="https://www.google.com/maps/dir/?api=1&amp;origin=Gymnasium+Kirchheim,+Heimstettner+Str.+3,+85551+Kirchheim+bei+M&#252;nchen&amp;destination=48.23912435756097,11.454737254395377&amp;travelmode=car" TargetMode="External"/><Relationship Id="rId755" Type="http://schemas.openxmlformats.org/officeDocument/2006/relationships/hyperlink" Target="https://www.google.com/maps/dir/?api=1&amp;origin=Gymnasium+Kirchheim,+Heimstettner+Str.+3,+85551+Kirchheim+bei+M&#252;nchen&amp;destination=48.22269446003938,11.81261696011681&amp;travelmode=car" TargetMode="External"/><Relationship Id="rId962" Type="http://schemas.openxmlformats.org/officeDocument/2006/relationships/hyperlink" Target="https://www.google.com/maps/dir/?api=1&amp;origin=Gymnasium+Kirchheim,+Heimstettner+Str.+3,+85551+Kirchheim+bei+M&#252;nchen&amp;destination=48.20515429219912,12.170471317116936&amp;travelmode=car" TargetMode="External"/><Relationship Id="rId1178" Type="http://schemas.openxmlformats.org/officeDocument/2006/relationships/hyperlink" Target="https://www.google.com/maps/dir/?api=1&amp;origin=Gymnasium+Kirchheim,+Heimstettner+Str.+3,+85551+Kirchheim+bei+M&#252;nchen&amp;destination=48.185578821224645,11.616362491920484&amp;travelmode=car" TargetMode="External"/><Relationship Id="rId1385" Type="http://schemas.openxmlformats.org/officeDocument/2006/relationships/hyperlink" Target="https://www.google.com/maps/dir/?api=1&amp;origin=Gymnasium+Kirchheim,+Heimstettner+Str.+3,+85551+Kirchheim+bei+M&#252;nchen&amp;destination=48.168647493007576,11.97423267615872&amp;travelmode=car" TargetMode="External"/><Relationship Id="rId1592" Type="http://schemas.openxmlformats.org/officeDocument/2006/relationships/hyperlink" Target="https://www.google.com/maps/dir/?api=1&amp;origin=Gymnasium+Kirchheim,+Heimstettner+Str.+3,+85551+Kirchheim+bei+M&#252;nchen&amp;destination=48.14825406017412,11.316199693041677&amp;travelmode=car" TargetMode="External"/><Relationship Id="rId2229" Type="http://schemas.openxmlformats.org/officeDocument/2006/relationships/hyperlink" Target="https://www.google.com/maps/dir/?api=1&amp;origin=Gymnasium+Kirchheim,+Heimstettner+Str.+3,+85551+Kirchheim+bei+M&#252;nchen&amp;destination=48.09470043370597,11.55863951211732&amp;travelmode=car" TargetMode="External"/><Relationship Id="rId2436" Type="http://schemas.openxmlformats.org/officeDocument/2006/relationships/hyperlink" Target="https://www.google.com/maps/dir/?api=1&amp;origin=Gymnasium+Kirchheim,+Heimstettner+Str.+3,+85551+Kirchheim+bei+M&#252;nchen&amp;destination=48.07794818492842,11.916513461151142&amp;travelmode=car" TargetMode="External"/><Relationship Id="rId2643" Type="http://schemas.openxmlformats.org/officeDocument/2006/relationships/hyperlink" Target="https://www.google.com/maps/dir/?api=1&amp;origin=Gymnasium+Kirchheim,+Heimstettner+Str.+3,+85551+Kirchheim+bei+M&#252;nchen&amp;destination=48.057225464991745,11.258475490819581&amp;travelmode=car" TargetMode="External"/><Relationship Id="rId2850" Type="http://schemas.openxmlformats.org/officeDocument/2006/relationships/hyperlink" Target="https://www.google.com/maps/dir/?api=1&amp;origin=Gymnasium+Kirchheim,+Heimstettner+Str.+3,+85551+Kirchheim+bei+M&#252;nchen&amp;destination=48.04140447514771,11.616362491920484&amp;travelmode=car" TargetMode="External"/><Relationship Id="rId91" Type="http://schemas.openxmlformats.org/officeDocument/2006/relationships/hyperlink" Target="https://www.google.com/maps/dir/?api=1&amp;origin=Gymnasium+Kirchheim,+Heimstettner+Str.+3,+85551+Kirchheim+bei+M&#252;nchen&amp;destination=48.27728104584603,11.258475490819581&amp;travelmode=car" TargetMode="External"/><Relationship Id="rId408" Type="http://schemas.openxmlformats.org/officeDocument/2006/relationships/hyperlink" Target="https://www.google.com/maps/dir/?api=1&amp;origin=Gymnasium+Kirchheim,+Heimstettner+Str.+3,+85551+Kirchheim+bei+M&#252;nchen&amp;destination=48.252740768712414,11.870337526618448&amp;travelmode=car" TargetMode="External"/><Relationship Id="rId615" Type="http://schemas.openxmlformats.org/officeDocument/2006/relationships/hyperlink" Target="https://www.google.com/maps/dir/?api=1&amp;origin=Gymnasium+Kirchheim,+Heimstettner+Str.+3,+85551+Kirchheim+bei+M&#252;nchen&amp;destination=48.235021540877966,12.228186338432307&amp;travelmode=car" TargetMode="External"/><Relationship Id="rId822" Type="http://schemas.openxmlformats.org/officeDocument/2006/relationships/hyperlink" Target="https://www.google.com/maps/dir/?api=1&amp;origin=Gymnasium+Kirchheim,+Heimstettner+Str.+3,+85551+Kirchheim+bei+M&#252;nchen&amp;destination=48.216076901339555,11.570184139943638&amp;travelmode=car" TargetMode="External"/><Relationship Id="rId1038" Type="http://schemas.openxmlformats.org/officeDocument/2006/relationships/hyperlink" Target="https://www.google.com/maps/dir/?api=1&amp;origin=Gymnasium+Kirchheim,+Heimstettner+Str.+3,+85551+Kirchheim+bei+M&#252;nchen&amp;destination=48.19861293186457,12.031951048971356&amp;travelmode=car" TargetMode="External"/><Relationship Id="rId1245" Type="http://schemas.openxmlformats.org/officeDocument/2006/relationships/hyperlink" Target="https://www.google.com/maps/dir/?api=1&amp;origin=Gymnasium+Kirchheim,+Heimstettner+Str.+3,+85551+Kirchheim+bei+M&#252;nchen&amp;destination=48.178548781046196,11.373923797311125&amp;travelmode=car" TargetMode="External"/><Relationship Id="rId1452" Type="http://schemas.openxmlformats.org/officeDocument/2006/relationships/hyperlink" Target="https://www.google.com/maps/dir/?api=1&amp;origin=Gymnasium+Kirchheim,+Heimstettner+Str.+3,+85551+Kirchheim+bei+M&#252;nchen&amp;destination=48.16236960730954,11.731807073753979&amp;travelmode=car" TargetMode="External"/><Relationship Id="rId2503" Type="http://schemas.openxmlformats.org/officeDocument/2006/relationships/hyperlink" Target="https://www.google.com/maps/dir/?api=1&amp;origin=Gymnasium+Kirchheim,+Heimstettner+Str.+3,+85551+Kirchheim+bei+M&#252;nchen&amp;destination=48.07154898967784,11.67408503422851&amp;travelmode=car" TargetMode="External"/><Relationship Id="rId1105" Type="http://schemas.openxmlformats.org/officeDocument/2006/relationships/hyperlink" Target="https://www.google.com/maps/dir/?api=1&amp;origin=Gymnasium+Kirchheim,+Heimstettner+Str.+3,+85551+Kirchheim+bei+M&#252;nchen&amp;destination=48.192456352907385,11.789528545213775&amp;travelmode=car" TargetMode="External"/><Relationship Id="rId1312" Type="http://schemas.openxmlformats.org/officeDocument/2006/relationships/hyperlink" Target="https://www.google.com/maps/dir/?api=1&amp;origin=Gymnasium+Kirchheim,+Heimstettner+Str.+3,+85551+Kirchheim+bei+M&#252;nchen&amp;destination=48.17498781050654,12.147385007013046&amp;travelmode=car" TargetMode="External"/><Relationship Id="rId2710" Type="http://schemas.openxmlformats.org/officeDocument/2006/relationships/hyperlink" Target="https://www.google.com/maps/dir/?api=1&amp;origin=Gymnasium+Kirchheim,+Heimstettner+Str.+3,+85551+Kirchheim+bei+M&#252;nchen&amp;destination=48.05443858578762,12.031951048971356&amp;travelmode=car" TargetMode="External"/><Relationship Id="rId3277" Type="http://schemas.openxmlformats.org/officeDocument/2006/relationships/hyperlink" Target="https://www.google.com/maps/dir/?api=1&amp;origin=Gymnasium+Kirchheim,+Heimstettner+Str.+3,+85551+Kirchheim+bei+M&#252;nchen&amp;destination=48.003869420632896,11.466281997410366&amp;travelmode=car" TargetMode="External"/><Relationship Id="rId198" Type="http://schemas.openxmlformats.org/officeDocument/2006/relationships/hyperlink" Target="https://www.google.com/maps/dir/?api=1&amp;origin=Gymnasium+Kirchheim,+Heimstettner+Str.+3,+85551+Kirchheim+bei+M&#252;nchen&amp;destination=48.26942947779357,11.477826729716085&amp;travelmode=car" TargetMode="External"/><Relationship Id="rId2086" Type="http://schemas.openxmlformats.org/officeDocument/2006/relationships/hyperlink" Target="https://www.google.com/maps/dir/?api=1&amp;origin=Gymnasium+Kirchheim,+Heimstettner+Str.+3,+85551+Kirchheim+bei+M&#252;nchen&amp;destination=48.10816087519651,11.939601244041153&amp;travelmode=car" TargetMode="External"/><Relationship Id="rId3484" Type="http://schemas.openxmlformats.org/officeDocument/2006/relationships/hyperlink" Target="https://www.google.com/maps/dir/?api=1&amp;origin=Gymnasium+Kirchheim,+Heimstettner+Str.+3,+85551+Kirchheim+bei+M&#252;nchen&amp;destination=47.98740370583362,11.824161128262173&amp;travelmode=car" TargetMode="External"/><Relationship Id="rId2293" Type="http://schemas.openxmlformats.org/officeDocument/2006/relationships/hyperlink" Target="https://www.google.com/maps/dir/?api=1&amp;origin=Gymnasium+Kirchheim,+Heimstettner+Str.+3,+85551+Kirchheim+bei+M&#252;nchen&amp;destination=48.08756987066648,11.281565179283442&amp;travelmode=car" TargetMode="External"/><Relationship Id="rId3137" Type="http://schemas.openxmlformats.org/officeDocument/2006/relationships/hyperlink" Target="https://www.google.com/maps/dir/?api=1&amp;origin=Gymnasium+Kirchheim,+Heimstettner+Str.+3,+85551+Kirchheim+bei+M&#252;nchen&amp;destination=48.01737837960169,11.893425553951282&amp;travelmode=car" TargetMode="External"/><Relationship Id="rId3344" Type="http://schemas.openxmlformats.org/officeDocument/2006/relationships/hyperlink" Target="https://www.google.com/maps/dir/?api=1&amp;origin=Gymnasium+Kirchheim,+Heimstettner+Str.+3,+85551+Kirchheim+bei+M&#252;nchen&amp;destination=47.99968919871347,12.239729209273484&amp;travelmode=car" TargetMode="External"/><Relationship Id="rId3551" Type="http://schemas.openxmlformats.org/officeDocument/2006/relationships/hyperlink" Target="https://www.google.com/maps/dir/?api=1&amp;origin=Gymnasium+Kirchheim,+Heimstettner+Str.+3,+85551+Kirchheim+bei+M&#252;nchen&amp;destination=47.980810410100304,11.581728752359444&amp;travelmode=car" TargetMode="External"/><Relationship Id="rId265" Type="http://schemas.openxmlformats.org/officeDocument/2006/relationships/hyperlink" Target="https://www.google.com/maps/dir/?api=1&amp;origin=Gymnasium+Kirchheim,+Heimstettner+Str.+3,+85551+Kirchheim+bei+M&#252;nchen&amp;destination=48.26210826527801,11.235385797131558&amp;travelmode=car" TargetMode="External"/><Relationship Id="rId472" Type="http://schemas.openxmlformats.org/officeDocument/2006/relationships/hyperlink" Target="https://www.google.com/maps/dir/?api=1&amp;origin=Gymnasium+Kirchheim,+Heimstettner+Str.+3,+85551+Kirchheim+bei+M&#252;nchen&amp;destination=48.24635891297509,11.593273348842407&amp;travelmode=car" TargetMode="External"/><Relationship Id="rId2153" Type="http://schemas.openxmlformats.org/officeDocument/2006/relationships/hyperlink" Target="https://www.google.com/maps/dir/?api=1&amp;origin=Gymnasium+Kirchheim,+Heimstettner+Str.+3,+85551+Kirchheim+bei+M&#252;nchen&amp;destination=48.1018102040877,11.69717391402856&amp;travelmode=car" TargetMode="External"/><Relationship Id="rId2360" Type="http://schemas.openxmlformats.org/officeDocument/2006/relationships/hyperlink" Target="https://www.google.com/maps/dir/?api=1&amp;origin=Gymnasium+Kirchheim,+Heimstettner+Str.+3,+85551+Kirchheim+bei+M&#252;nchen&amp;destination=48.08462817106883,12.055038147665204&amp;travelmode=car" TargetMode="External"/><Relationship Id="rId3204" Type="http://schemas.openxmlformats.org/officeDocument/2006/relationships/hyperlink" Target="https://www.google.com/maps/dir/?api=1&amp;origin=Gymnasium+Kirchheim,+Heimstettner+Str.+3,+85551+Kirchheim+bei+M&#252;nchen&amp;destination=48.01097225568085,11.639451564999296&amp;travelmode=car" TargetMode="External"/><Relationship Id="rId3411" Type="http://schemas.openxmlformats.org/officeDocument/2006/relationships/hyperlink" Target="https://www.google.com/maps/dir/?api=1&amp;origin=Gymnasium+Kirchheim,+Heimstettner+Str.+3,+85551+Kirchheim+bei+M&#252;nchen&amp;destination=47.99396929672104,11.997320130001427&amp;travelmode=car" TargetMode="External"/><Relationship Id="rId125" Type="http://schemas.openxmlformats.org/officeDocument/2006/relationships/hyperlink" Target="https://www.google.com/maps/dir/?api=1&amp;origin=Gymnasium+Kirchheim,+Heimstettner+Str.+3,+85551+Kirchheim+bei+M&#252;nchen&amp;destination=48.27651498152179,11.650996073983201&amp;travelmode=car" TargetMode="External"/><Relationship Id="rId332" Type="http://schemas.openxmlformats.org/officeDocument/2006/relationships/hyperlink" Target="https://www.google.com/maps/dir/?api=1&amp;origin=Gymnasium+Kirchheim,+Heimstettner+Str.+3,+85551+Kirchheim+bei+M&#252;nchen&amp;destination=48.25947620742428,12.00886380508597&amp;travelmode=car" TargetMode="External"/><Relationship Id="rId2013" Type="http://schemas.openxmlformats.org/officeDocument/2006/relationships/hyperlink" Target="https://www.google.com/maps/dir/?api=1&amp;origin=Gymnasium+Kirchheim,+Heimstettner+Str.+3,+85551+Kirchheim+bei+M&#252;nchen&amp;destination=48.11455317737453,12.112755231783899&amp;travelmode=car" TargetMode="External"/><Relationship Id="rId2220" Type="http://schemas.openxmlformats.org/officeDocument/2006/relationships/hyperlink" Target="https://www.google.com/maps/dir/?api=1&amp;origin=Gymnasium+Kirchheim,+Heimstettner+Str.+3,+85551+Kirchheim+bei+M&#252;nchen&amp;destination=48.09497196515872,11.44319250119349&amp;travelmode=car" TargetMode="External"/><Relationship Id="rId1779" Type="http://schemas.openxmlformats.org/officeDocument/2006/relationships/hyperlink" Target="https://www.google.com/maps/dir/?api=1&amp;origin=Gymnasium+Kirchheim,+Heimstettner+Str.+3,+85551+Kirchheim+bei+M&#252;nchen&amp;destination=48.13291258254737,11.44319250119349&amp;travelmode=car" TargetMode="External"/><Relationship Id="rId1986" Type="http://schemas.openxmlformats.org/officeDocument/2006/relationships/hyperlink" Target="https://www.google.com/maps/dir/?api=1&amp;origin=Gymnasium+Kirchheim,+Heimstettner+Str.+3,+85551+Kirchheim+bei+M&#252;nchen&amp;destination=48.11651850241108,11.801072765593279&amp;travelmode=car" TargetMode="External"/><Relationship Id="rId1639" Type="http://schemas.openxmlformats.org/officeDocument/2006/relationships/hyperlink" Target="https://www.google.com/maps/dir/?api=1&amp;origin=Gymnasium+Kirchheim,+Heimstettner+Str.+3,+85551+Kirchheim+bei+M&#252;nchen&amp;destination=48.14657058771277,11.858793469207484&amp;travelmode=car" TargetMode="External"/><Relationship Id="rId1846" Type="http://schemas.openxmlformats.org/officeDocument/2006/relationships/hyperlink" Target="https://www.google.com/maps/dir/?api=1&amp;origin=Gymnasium+Kirchheim,+Heimstettner+Str.+3,+85551+Kirchheim+bei+M&#252;nchen&amp;destination=48.12888717145294,12.21664342242148&amp;travelmode=car" TargetMode="External"/><Relationship Id="rId3061" Type="http://schemas.openxmlformats.org/officeDocument/2006/relationships/hyperlink" Target="https://www.google.com/maps/dir/?api=1&amp;origin=Gymnasium+Kirchheim,+Heimstettner+Str.+3,+85551+Kirchheim+bei+M&#252;nchen&amp;destination=48.024165813360526,12.02040744491661&amp;travelmode=car" TargetMode="External"/><Relationship Id="rId1706" Type="http://schemas.openxmlformats.org/officeDocument/2006/relationships/hyperlink" Target="https://www.google.com/maps/dir/?api=1&amp;origin=Gymnasium+Kirchheim,+Heimstettner+Str.+3,+85551+Kirchheim+bei+M&#252;nchen&amp;destination=48.14005008035824,11.616362491920484&amp;travelmode=car" TargetMode="External"/><Relationship Id="rId1913" Type="http://schemas.openxmlformats.org/officeDocument/2006/relationships/hyperlink" Target="https://www.google.com/maps/dir/?api=1&amp;origin=Gymnasium+Kirchheim,+Heimstettner+Str.+3,+85551+Kirchheim+bei+M&#252;nchen&amp;destination=48.12311875214117,11.97423267615872&amp;travelmode=car" TargetMode="External"/><Relationship Id="rId799" Type="http://schemas.openxmlformats.org/officeDocument/2006/relationships/hyperlink" Target="https://www.google.com/maps/dir/?api=1&amp;origin=Gymnasium+Kirchheim,+Heimstettner+Str.+3,+85551+Kirchheim+bei+M&#252;nchen&amp;destination=48.21655525970576,11.304654858343824&amp;travelmode=car" TargetMode="External"/><Relationship Id="rId2687" Type="http://schemas.openxmlformats.org/officeDocument/2006/relationships/hyperlink" Target="https://www.google.com/maps/dir/?api=1&amp;origin=Gymnasium+Kirchheim,+Heimstettner+Str.+3,+85551+Kirchheim+bei+M&#252;nchen&amp;destination=48.05597989570373,11.766440028975659&amp;travelmode=car" TargetMode="External"/><Relationship Id="rId2894" Type="http://schemas.openxmlformats.org/officeDocument/2006/relationships/hyperlink" Target="https://www.google.com/maps/dir/?api=1&amp;origin=Gymnasium+Kirchheim,+Heimstettner+Str.+3,+85551+Kirchheim+bei+M&#252;nchen&amp;destination=48.038582979529345,12.12429853084091&amp;travelmode=car" TargetMode="External"/><Relationship Id="rId659" Type="http://schemas.openxmlformats.org/officeDocument/2006/relationships/hyperlink" Target="https://www.google.com/maps/dir/?api=1&amp;origin=Gymnasium+Kirchheim,+Heimstettner+Str.+3,+85551+Kirchheim+bei+M&#252;nchen&amp;destination=48.2307124021835,11.720262709205143&amp;travelmode=car" TargetMode="External"/><Relationship Id="rId866" Type="http://schemas.openxmlformats.org/officeDocument/2006/relationships/hyperlink" Target="https://www.google.com/maps/dir/?api=1&amp;origin=Gymnasium+Kirchheim,+Heimstettner+Str.+3,+85551+Kirchheim+bei+M&#252;nchen&amp;destination=48.21345874072466,12.078125096991752&amp;travelmode=car" TargetMode="External"/><Relationship Id="rId1289" Type="http://schemas.openxmlformats.org/officeDocument/2006/relationships/hyperlink" Target="https://www.google.com/maps/dir/?api=1&amp;origin=Gymnasium+Kirchheim,+Heimstettner+Str.+3,+85551+Kirchheim+bei+M&#252;nchen&amp;destination=48.176794830936686,11.881881555040426&amp;travelmode=car" TargetMode="External"/><Relationship Id="rId1496" Type="http://schemas.openxmlformats.org/officeDocument/2006/relationships/hyperlink" Target="https://www.google.com/maps/dir/?api=1&amp;origin=Gymnasium+Kirchheim,+Heimstettner+Str.+3,+85551+Kirchheim+bei+M&#252;nchen&amp;destination=48.15903979174588,12.239729209273484&amp;travelmode=car" TargetMode="External"/><Relationship Id="rId2547" Type="http://schemas.openxmlformats.org/officeDocument/2006/relationships/hyperlink" Target="https://www.google.com/maps/dir/?api=1&amp;origin=Gymnasium+Kirchheim,+Heimstettner+Str.+3,+85551+Kirchheim+bei+M&#252;nchen&amp;destination=48.06847333078697,12.182014408588692&amp;travelmode=car" TargetMode="External"/><Relationship Id="rId519" Type="http://schemas.openxmlformats.org/officeDocument/2006/relationships/hyperlink" Target="https://www.google.com/maps/dir/?api=1&amp;origin=Gymnasium+Kirchheim,+Heimstettner+Str.+3,+85551+Kirchheim+bei+M&#252;nchen&amp;destination=48.243280921806154,12.147385007013046&amp;travelmode=car" TargetMode="External"/><Relationship Id="rId1149" Type="http://schemas.openxmlformats.org/officeDocument/2006/relationships/hyperlink" Target="https://www.google.com/maps/dir/?api=1&amp;origin=Gymnasium+Kirchheim,+Heimstettner+Str.+3,+85551+Kirchheim+bei+M&#252;nchen&amp;destination=48.186215475877006,11.281565179283442&amp;travelmode=car" TargetMode="External"/><Relationship Id="rId1356" Type="http://schemas.openxmlformats.org/officeDocument/2006/relationships/hyperlink" Target="https://www.google.com/maps/dir/?api=1&amp;origin=Gymnasium+Kirchheim,+Heimstettner+Str.+3,+85551+Kirchheim+bei+M&#252;nchen&amp;destination=48.17032284871325,11.639451564999296&amp;travelmode=car" TargetMode="External"/><Relationship Id="rId2754" Type="http://schemas.openxmlformats.org/officeDocument/2006/relationships/hyperlink" Target="https://www.google.com/maps/dir/?api=1&amp;origin=Gymnasium+Kirchheim,+Heimstettner+Str.+3,+85551+Kirchheim+bei+M&#252;nchen&amp;destination=48.04926528432554,11.524005541398747&amp;travelmode=car" TargetMode="External"/><Relationship Id="rId2961" Type="http://schemas.openxmlformats.org/officeDocument/2006/relationships/hyperlink" Target="https://www.google.com/maps/dir/?api=1&amp;origin=Gymnasium+Kirchheim,+Heimstettner+Str.+3,+85551+Kirchheim+bei+M&#252;nchen&amp;destination=48.03262048485974,11.881881555040426&amp;travelmode=car" TargetMode="External"/><Relationship Id="rId726" Type="http://schemas.openxmlformats.org/officeDocument/2006/relationships/hyperlink" Target="https://www.google.com/maps/dir/?api=1&amp;origin=Gymnasium+Kirchheim,+Heimstettner+Str.+3,+85551+Kirchheim+bei+M&#252;nchen&amp;destination=48.22390073692716,11.477826729716085&amp;travelmode=car" TargetMode="External"/><Relationship Id="rId933" Type="http://schemas.openxmlformats.org/officeDocument/2006/relationships/hyperlink" Target="https://www.google.com/maps/dir/?api=1&amp;origin=Gymnasium+Kirchheim,+Heimstettner+Str.+3,+85551+Kirchheim+bei+M&#252;nchen&amp;destination=48.20739920496089,11.835705269507187&amp;travelmode=car" TargetMode="External"/><Relationship Id="rId1009" Type="http://schemas.openxmlformats.org/officeDocument/2006/relationships/hyperlink" Target="https://www.google.com/maps/dir/?api=1&amp;origin=Gymnasium+Kirchheim,+Heimstettner+Str.+3,+85551+Kirchheim+bei+M&#252;nchen&amp;destination=48.20045580929825,11.69717391402856&amp;travelmode=car" TargetMode="External"/><Relationship Id="rId1563" Type="http://schemas.openxmlformats.org/officeDocument/2006/relationships/hyperlink" Target="https://www.google.com/maps/dir/?api=1&amp;origin=Gymnasium+Kirchheim,+Heimstettner+Str.+3,+85551+Kirchheim+bei+M&#252;nchen&amp;destination=48.15331988975344,11.997320130001427&amp;travelmode=car" TargetMode="External"/><Relationship Id="rId1770" Type="http://schemas.openxmlformats.org/officeDocument/2006/relationships/hyperlink" Target="https://www.google.com/maps/dir/?api=1&amp;origin=Gymnasium+Kirchheim,+Heimstettner+Str.+3,+85551+Kirchheim+bei+M&#252;nchen&amp;destination=48.133058170376174,11.339289350160644&amp;travelmode=car" TargetMode="External"/><Relationship Id="rId2407" Type="http://schemas.openxmlformats.org/officeDocument/2006/relationships/hyperlink" Target="https://www.google.com/maps/dir/?api=1&amp;origin=Gymnasium+Kirchheim,+Heimstettner+Str.+3,+85551+Kirchheim+bei+M&#252;nchen&amp;destination=48.079420196464945,11.593273348842407&amp;travelmode=car" TargetMode="External"/><Relationship Id="rId2614" Type="http://schemas.openxmlformats.org/officeDocument/2006/relationships/hyperlink" Target="https://www.google.com/maps/dir/?api=1&amp;origin=Gymnasium+Kirchheim,+Heimstettner+Str.+3,+85551+Kirchheim+bei+M&#252;nchen&amp;destination=48.0626321343301,11.939601244041153&amp;travelmode=car" TargetMode="External"/><Relationship Id="rId2821" Type="http://schemas.openxmlformats.org/officeDocument/2006/relationships/hyperlink" Target="https://www.google.com/maps/dir/?api=1&amp;origin=Gymnasium+Kirchheim,+Heimstettner+Str.+3,+85551+Kirchheim+bei+M&#252;nchen&amp;destination=48.042041129800076,11.281565179283442&amp;travelmode=car" TargetMode="External"/><Relationship Id="rId62" Type="http://schemas.openxmlformats.org/officeDocument/2006/relationships/hyperlink" Target="https://www.google.com/maps/dir/?api=1&amp;origin=Gymnasium+Kirchheim,+Heimstettner+Str.+3,+85551+Kirchheim+bei+M&#252;nchen&amp;destination=48.28268771518438,11.939601244041153&amp;travelmode=car" TargetMode="External"/><Relationship Id="rId1216" Type="http://schemas.openxmlformats.org/officeDocument/2006/relationships/hyperlink" Target="https://www.google.com/maps/dir/?api=1&amp;origin=Gymnasium+Kirchheim,+Heimstettner+Str.+3,+85551+Kirchheim+bei+M&#252;nchen&amp;destination=48.18335580820225,12.043494616728212&amp;travelmode=car" TargetMode="External"/><Relationship Id="rId1423" Type="http://schemas.openxmlformats.org/officeDocument/2006/relationships/hyperlink" Target="https://www.google.com/maps/dir/?api=1&amp;origin=Gymnasium+Kirchheim,+Heimstettner+Str.+3,+85551+Kirchheim+bei+M&#252;nchen&amp;destination=48.16332400480196,11.408558185690326&amp;travelmode=car" TargetMode="External"/><Relationship Id="rId1630" Type="http://schemas.openxmlformats.org/officeDocument/2006/relationships/hyperlink" Target="https://www.google.com/maps/dir/?api=1&amp;origin=Gymnasium+Kirchheim,+Heimstettner+Str.+3,+85551+Kirchheim+bei+M&#252;nchen&amp;destination=48.14709052710373,11.754895734161472&amp;travelmode=car" TargetMode="External"/><Relationship Id="rId3388" Type="http://schemas.openxmlformats.org/officeDocument/2006/relationships/hyperlink" Target="https://www.google.com/maps/dir/?api=1&amp;origin=Gymnasium+Kirchheim,+Heimstettner+Str.+3,+85551+Kirchheim+bei+M&#252;nchen&amp;destination=47.99543089079939,11.731807073753979&amp;travelmode=car" TargetMode="External"/><Relationship Id="rId3595" Type="http://schemas.openxmlformats.org/officeDocument/2006/relationships/hyperlink" Target="https://www.google.com/maps/dir/?api=1&amp;origin=Gymnasium+Kirchheim,+Heimstettner+Str.+3,+85551+Kirchheim+bei+M&#252;nchen&amp;destination=47.97814141538653,12.089668514337413&amp;travelmode=car" TargetMode="External"/><Relationship Id="rId2197" Type="http://schemas.openxmlformats.org/officeDocument/2006/relationships/hyperlink" Target="https://www.google.com/maps/dir/?api=1&amp;origin=Gymnasium+Kirchheim,+Heimstettner+Str.+3,+85551+Kirchheim+bei+M&#252;nchen&amp;destination=48.098632881705214,12.205100461762754&amp;travelmode=car" TargetMode="External"/><Relationship Id="rId3248" Type="http://schemas.openxmlformats.org/officeDocument/2006/relationships/hyperlink" Target="https://www.google.com/maps/dir/?api=1&amp;origin=Gymnasium+Kirchheim,+Heimstettner+Str.+3,+85551+Kirchheim+bei+M&#252;nchen&amp;destination=48.008049093996405,12.147385007013046&amp;travelmode=car" TargetMode="External"/><Relationship Id="rId3455" Type="http://schemas.openxmlformats.org/officeDocument/2006/relationships/hyperlink" Target="https://www.google.com/maps/dir/?api=1&amp;origin=Gymnasium+Kirchheim,+Heimstettner+Str.+3,+85551+Kirchheim+bei+M&#252;nchen&amp;destination=47.988643489117806,11.489371450790154&amp;travelmode=car" TargetMode="External"/><Relationship Id="rId169" Type="http://schemas.openxmlformats.org/officeDocument/2006/relationships/hyperlink" Target="https://www.google.com/maps/dir/?api=1&amp;origin=Gymnasium+Kirchheim,+Heimstettner+Str.+3,+85551+Kirchheim+bei+M&#252;nchen&amp;destination=48.27354098717848,12.158928183084447&amp;travelmode=car" TargetMode="External"/><Relationship Id="rId376" Type="http://schemas.openxmlformats.org/officeDocument/2006/relationships/hyperlink" Target="https://www.google.com/maps/dir/?api=1&amp;origin=Gymnasium+Kirchheim,+Heimstettner+Str.+3,+85551+Kirchheim+bei+M&#252;nchen&amp;destination=48.254201235401446,11.500916160110199&amp;travelmode=car" TargetMode="External"/><Relationship Id="rId583" Type="http://schemas.openxmlformats.org/officeDocument/2006/relationships/hyperlink" Target="https://www.google.com/maps/dir/?api=1&amp;origin=Gymnasium+Kirchheim,+Heimstettner+Str.+3,+85551+Kirchheim+bei+M&#252;nchen&amp;destination=48.23762806944556,11.858793469207484&amp;travelmode=car" TargetMode="External"/><Relationship Id="rId790" Type="http://schemas.openxmlformats.org/officeDocument/2006/relationships/hyperlink" Target="https://www.google.com/maps/dir/?api=1&amp;origin=Gymnasium+Kirchheim,+Heimstettner+Str.+3,+85551+Kirchheim+bei+M&#252;nchen&amp;destination=48.21994465318574,12.21664342242148&amp;travelmode=car" TargetMode="External"/><Relationship Id="rId2057" Type="http://schemas.openxmlformats.org/officeDocument/2006/relationships/hyperlink" Target="https://www.google.com/maps/dir/?api=1&amp;origin=Gymnasium+Kirchheim,+Heimstettner+Str.+3,+85551+Kirchheim+bei+M&#252;nchen&amp;destination=48.10973571611666,11.604817928870196&amp;travelmode=car" TargetMode="External"/><Relationship Id="rId2264" Type="http://schemas.openxmlformats.org/officeDocument/2006/relationships/hyperlink" Target="https://www.google.com/maps/dir/?api=1&amp;origin=Gymnasium+Kirchheim,+Heimstettner+Str.+3,+85551+Kirchheim+bei+M&#252;nchen&amp;destination=48.092840203498476,11.962688898444616&amp;travelmode=car" TargetMode="External"/><Relationship Id="rId2471" Type="http://schemas.openxmlformats.org/officeDocument/2006/relationships/hyperlink" Target="https://www.google.com/maps/dir/?api=1&amp;origin=Gymnasium+Kirchheim,+Heimstettner+Str.+3,+85551+Kirchheim+bei+M&#252;nchen&amp;destination=48.072372825396776,11.316199693041677&amp;travelmode=car" TargetMode="External"/><Relationship Id="rId3108" Type="http://schemas.openxmlformats.org/officeDocument/2006/relationships/hyperlink" Target="https://www.google.com/maps/dir/?api=1&amp;origin=Gymnasium+Kirchheim,+Heimstettner+Str.+3,+85551+Kirchheim+bei+M&#252;nchen&amp;destination=48.01885155151655,11.547094869402834&amp;travelmode=car" TargetMode="External"/><Relationship Id="rId3315" Type="http://schemas.openxmlformats.org/officeDocument/2006/relationships/hyperlink" Target="https://www.google.com/maps/dir/?api=1&amp;origin=Gymnasium+Kirchheim,+Heimstettner+Str.+3,+85551+Kirchheim+bei+M&#252;nchen&amp;destination=48.00213511904504,11.90496952282889&amp;travelmode=car" TargetMode="External"/><Relationship Id="rId3522" Type="http://schemas.openxmlformats.org/officeDocument/2006/relationships/hyperlink" Target="https://www.google.com/maps/dir/?api=1&amp;origin=Gymnasium+Kirchheim,+Heimstettner+Str.+3,+85551+Kirchheim+bei+M&#252;nchen&amp;destination=47.98134654113934,11.246930644367383&amp;travelmode=car" TargetMode="External"/><Relationship Id="rId236" Type="http://schemas.openxmlformats.org/officeDocument/2006/relationships/hyperlink" Target="https://www.google.com/maps/dir/?api=1&amp;origin=Gymnasium+Kirchheim,+Heimstettner+Str.+3,+85551+Kirchheim+bei+M&#252;nchen&amp;destination=48.26765127187176,11.916513461151142&amp;travelmode=car" TargetMode="External"/><Relationship Id="rId443" Type="http://schemas.openxmlformats.org/officeDocument/2006/relationships/hyperlink" Target="https://www.google.com/maps/dir/?api=1&amp;origin=Gymnasium+Kirchheim,+Heimstettner+Str.+3,+85551+Kirchheim+bei+M&#252;nchen&amp;destination=48.246928551935106,11.258475490819581&amp;travelmode=car" TargetMode="External"/><Relationship Id="rId650" Type="http://schemas.openxmlformats.org/officeDocument/2006/relationships/hyperlink" Target="https://www.google.com/maps/dir/?api=1&amp;origin=Gymnasium+Kirchheim,+Heimstettner+Str.+3,+85551+Kirchheim+bei+M&#252;nchen&amp;destination=48.23110756209105,11.616362491920484&amp;travelmode=car" TargetMode="External"/><Relationship Id="rId1073" Type="http://schemas.openxmlformats.org/officeDocument/2006/relationships/hyperlink" Target="https://www.google.com/maps/dir/?api=1&amp;origin=Gymnasium+Kirchheim,+Heimstettner+Str.+3,+85551+Kirchheim+bei+M&#252;nchen&amp;destination=48.193658011380144,11.420102966318577&amp;travelmode=car" TargetMode="External"/><Relationship Id="rId1280" Type="http://schemas.openxmlformats.org/officeDocument/2006/relationships/hyperlink" Target="https://www.google.com/maps/dir/?api=1&amp;origin=Gymnasium+Kirchheim,+Heimstettner+Str.+3,+85551+Kirchheim+bei+M&#252;nchen&amp;destination=48.17733556632501,11.777984299500497&amp;travelmode=car" TargetMode="External"/><Relationship Id="rId2124" Type="http://schemas.openxmlformats.org/officeDocument/2006/relationships/hyperlink" Target="https://www.google.com/maps/dir/?api=1&amp;origin=Gymnasium+Kirchheim,+Heimstettner+Str.+3,+85551+Kirchheim+bei+M&#252;nchen&amp;destination=48.10268141179065,11.362378987427904&amp;travelmode=car" TargetMode="External"/><Relationship Id="rId2331" Type="http://schemas.openxmlformats.org/officeDocument/2006/relationships/hyperlink" Target="https://www.google.com/maps/dir/?api=1&amp;origin=Gymnasium+Kirchheim,+Heimstettner+Str.+3,+85551+Kirchheim+bei+M&#252;nchen&amp;destination=48.08653805610655,11.720262709205143&amp;travelmode=car" TargetMode="External"/><Relationship Id="rId303" Type="http://schemas.openxmlformats.org/officeDocument/2006/relationships/hyperlink" Target="https://www.google.com/maps/dir/?api=1&amp;origin=Gymnasium+Kirchheim,+Heimstettner+Str.+3,+85551+Kirchheim+bei+M&#252;nchen&amp;destination=48.26125207662118,11.67408503422851&amp;travelmode=car" TargetMode="External"/><Relationship Id="rId1140" Type="http://schemas.openxmlformats.org/officeDocument/2006/relationships/hyperlink" Target="https://www.google.com/maps/dir/?api=1&amp;origin=Gymnasium+Kirchheim,+Heimstettner+Str.+3,+85551+Kirchheim+bei+M&#252;nchen&amp;destination=48.18988330643071,12.182014408588692&amp;travelmode=car" TargetMode="External"/><Relationship Id="rId510" Type="http://schemas.openxmlformats.org/officeDocument/2006/relationships/hyperlink" Target="https://www.google.com/maps/dir/?api=1&amp;origin=Gymnasium+Kirchheim,+Heimstettner+Str.+3,+85551+Kirchheim+bei+M&#252;nchen&amp;destination=48.24414167273097,12.031951048971356&amp;travelmode=car" TargetMode="External"/><Relationship Id="rId1000" Type="http://schemas.openxmlformats.org/officeDocument/2006/relationships/hyperlink" Target="https://www.google.com/maps/dir/?api=1&amp;origin=Gymnasium+Kirchheim,+Heimstettner+Str.+3,+85551+Kirchheim+bei+M&#252;nchen&amp;destination=48.20083017210868,11.593273348842407&amp;travelmode=car" TargetMode="External"/><Relationship Id="rId1957" Type="http://schemas.openxmlformats.org/officeDocument/2006/relationships/hyperlink" Target="https://www.google.com/maps/dir/?api=1&amp;origin=Gymnasium+Kirchheim,+Heimstettner+Str.+3,+85551+Kirchheim+bei+M&#252;nchen&amp;destination=48.11769127279891,11.466281997410366&amp;travelmode=car" TargetMode="External"/><Relationship Id="rId1817" Type="http://schemas.openxmlformats.org/officeDocument/2006/relationships/hyperlink" Target="https://www.google.com/maps/dir/?api=1&amp;origin=Gymnasium+Kirchheim,+Heimstettner+Str.+3,+85551+Kirchheim+bei+M&#252;nchen&amp;destination=48.131266090070284,11.881881555040426&amp;travelmode=car" TargetMode="External"/><Relationship Id="rId3172" Type="http://schemas.openxmlformats.org/officeDocument/2006/relationships/hyperlink" Target="https://www.google.com/maps/dir/?api=1&amp;origin=Gymnasium+Kirchheim,+Heimstettner+Str.+3,+85551+Kirchheim+bei+M&#252;nchen&amp;destination=48.01169325773819,11.27002033596574&amp;travelmode=car" TargetMode="External"/><Relationship Id="rId3032" Type="http://schemas.openxmlformats.org/officeDocument/2006/relationships/hyperlink" Target="https://www.google.com/maps/dir/?api=1&amp;origin=Gymnasium+Kirchheim,+Heimstettner+Str.+3,+85551+Kirchheim+bei+M&#252;nchen&amp;destination=48.02597518675348,11.685629484445332&amp;travelmode=car" TargetMode="External"/><Relationship Id="rId160" Type="http://schemas.openxmlformats.org/officeDocument/2006/relationships/hyperlink" Target="https://www.google.com/maps/dir/?api=1&amp;origin=Gymnasium+Kirchheim,+Heimstettner+Str.+3,+85551+Kirchheim+bei+M&#252;nchen&amp;destination=48.274331258012175,12.055038147665204&amp;travelmode=car" TargetMode="External"/><Relationship Id="rId2798" Type="http://schemas.openxmlformats.org/officeDocument/2006/relationships/hyperlink" Target="https://www.google.com/maps/dir/?api=1&amp;origin=Gymnasium+Kirchheim,+Heimstettner+Str.+3,+85551+Kirchheim+bei+M&#252;nchen&amp;destination=48.04685046230989,12.031951048971356&amp;travelmode=car" TargetMode="External"/><Relationship Id="rId977" Type="http://schemas.openxmlformats.org/officeDocument/2006/relationships/hyperlink" Target="https://www.google.com/maps/dir/?api=1&amp;origin=Gymnasium+Kirchheim,+Heimstettner+Str.+3,+85551+Kirchheim+bei+M&#252;nchen&amp;destination=48.20136168082648,11.327744523821421&amp;travelmode=car" TargetMode="External"/><Relationship Id="rId2658" Type="http://schemas.openxmlformats.org/officeDocument/2006/relationships/hyperlink" Target="https://www.google.com/maps/dir/?api=1&amp;origin=Gymnasium+Kirchheim,+Heimstettner+Str.+3,+85551+Kirchheim+bei+M&#252;nchen&amp;destination=48.05705214599916,11.431647738327094&amp;travelmode=car" TargetMode="External"/><Relationship Id="rId2865" Type="http://schemas.openxmlformats.org/officeDocument/2006/relationships/hyperlink" Target="https://www.google.com/maps/dir/?api=1&amp;origin=Gymnasium+Kirchheim,+Heimstettner+Str.+3,+85551+Kirchheim+bei+M&#252;nchen&amp;destination=48.0406938833527,11.789528545213775&amp;travelmode=car" TargetMode="External"/><Relationship Id="rId837" Type="http://schemas.openxmlformats.org/officeDocument/2006/relationships/hyperlink" Target="https://www.google.com/maps/dir/?api=1&amp;origin=Gymnasium+Kirchheim,+Heimstettner+Str.+3,+85551+Kirchheim+bei+M&#252;nchen&amp;destination=48.215435632710665,11.743351415580166&amp;travelmode=car" TargetMode="External"/><Relationship Id="rId1467" Type="http://schemas.openxmlformats.org/officeDocument/2006/relationships/hyperlink" Target="https://www.google.com/maps/dir/?api=1&amp;origin=Gymnasium+Kirchheim,+Heimstettner+Str.+3,+85551+Kirchheim+bei+M&#252;nchen&amp;destination=48.16148571207746,11.90496952282889&amp;travelmode=car" TargetMode="External"/><Relationship Id="rId1674" Type="http://schemas.openxmlformats.org/officeDocument/2006/relationships/hyperlink" Target="https://www.google.com/maps/dir/?api=1&amp;origin=Gymnasium+Kirchheim,+Heimstettner+Str.+3,+85551+Kirchheim+bei+M&#252;nchen&amp;destination=48.140697134171745,11.246930644367383&amp;travelmode=car" TargetMode="External"/><Relationship Id="rId1881" Type="http://schemas.openxmlformats.org/officeDocument/2006/relationships/hyperlink" Target="https://www.google.com/maps/dir/?api=1&amp;origin=Gymnasium+Kirchheim,+Heimstettner+Str.+3,+85551+Kirchheim+bei+M&#252;nchen&amp;destination=48.12491196307213,11.604817928870196&amp;travelmode=car" TargetMode="External"/><Relationship Id="rId2518" Type="http://schemas.openxmlformats.org/officeDocument/2006/relationships/hyperlink" Target="https://www.google.com/maps/dir/?api=1&amp;origin=Gymnasium+Kirchheim,+Heimstettner+Str.+3,+85551+Kirchheim+bei+M&#252;nchen&amp;destination=48.07075174530885,11.847249383329679&amp;travelmode=car" TargetMode="External"/><Relationship Id="rId2725" Type="http://schemas.openxmlformats.org/officeDocument/2006/relationships/hyperlink" Target="https://www.google.com/maps/dir/?api=1&amp;origin=Gymnasium+Kirchheim,+Heimstettner+Str.+3,+85551+Kirchheim+bei+M&#252;nchen&amp;destination=48.05310414083881,12.205100461762754&amp;travelmode=car" TargetMode="External"/><Relationship Id="rId2932" Type="http://schemas.openxmlformats.org/officeDocument/2006/relationships/hyperlink" Target="https://www.google.com/maps/dir/?api=1&amp;origin=Gymnasium+Kirchheim,+Heimstettner+Str.+3,+85551+Kirchheim+bei+M&#252;nchen&amp;destination=48.034027798472,11.547094869402834&amp;travelmode=car" TargetMode="External"/><Relationship Id="rId904" Type="http://schemas.openxmlformats.org/officeDocument/2006/relationships/hyperlink" Target="https://www.google.com/maps/dir/?api=1&amp;origin=Gymnasium+Kirchheim,+Heimstettner+Str.+3,+85551+Kirchheim+bei+M&#252;nchen&amp;destination=48.208672494535044,11.500916160110199&amp;travelmode=car" TargetMode="External"/><Relationship Id="rId1327" Type="http://schemas.openxmlformats.org/officeDocument/2006/relationships/hyperlink" Target="https://www.google.com/maps/dir/?api=1&amp;origin=Gymnasium+Kirchheim,+Heimstettner+Str.+3,+85551+Kirchheim+bei+M&#252;nchen&amp;destination=48.17101843060732,11.316199693041677&amp;travelmode=car" TargetMode="External"/><Relationship Id="rId1534" Type="http://schemas.openxmlformats.org/officeDocument/2006/relationships/hyperlink" Target="https://www.google.com/maps/dir/?api=1&amp;origin=Gymnasium+Kirchheim,+Heimstettner+Str.+3,+85551+Kirchheim+bei+M&#252;nchen&amp;destination=48.15506225460187,11.66254056390037&amp;travelmode=car" TargetMode="External"/><Relationship Id="rId1741" Type="http://schemas.openxmlformats.org/officeDocument/2006/relationships/hyperlink" Target="https://www.google.com/maps/dir/?api=1&amp;origin=Gymnasium+Kirchheim,+Heimstettner+Str.+3,+85551+Kirchheim+bei+M&#252;nchen&amp;destination=48.137907944042695,12.031951048971356&amp;travelmode=car" TargetMode="External"/><Relationship Id="rId33" Type="http://schemas.openxmlformats.org/officeDocument/2006/relationships/hyperlink" Target="https://www.google.com/maps/dir/?api=1&amp;origin=Gymnasium+Kirchheim,+Heimstettner+Str.+3,+85551+Kirchheim+bei+M&#252;nchen&amp;destination=48.284262556104544,11.604817928870196&amp;travelmode=car" TargetMode="External"/><Relationship Id="rId1601" Type="http://schemas.openxmlformats.org/officeDocument/2006/relationships/hyperlink" Target="https://www.google.com/maps/dir/?api=1&amp;origin=Gymnasium+Kirchheim,+Heimstettner+Str.+3,+85551+Kirchheim+bei+M&#252;nchen&amp;destination=48.14812927051374,11.420102966318577&amp;travelmode=car" TargetMode="External"/><Relationship Id="rId3499" Type="http://schemas.openxmlformats.org/officeDocument/2006/relationships/hyperlink" Target="https://www.google.com/maps/dir/?api=1&amp;origin=Gymnasium+Kirchheim,+Heimstettner+Str.+3,+85551+Kirchheim+bei+M&#252;nchen&amp;destination=47.986381173243295,11.997320130001427&amp;travelmode=car" TargetMode="External"/><Relationship Id="rId3359" Type="http://schemas.openxmlformats.org/officeDocument/2006/relationships/hyperlink" Target="https://www.google.com/maps/dir/?api=1&amp;origin=Gymnasium+Kirchheim,+Heimstettner+Str.+3,+85551+Kirchheim+bei+M&#252;nchen&amp;destination=47.99638528829182,11.408558185690326&amp;travelmode=car" TargetMode="External"/><Relationship Id="rId3566" Type="http://schemas.openxmlformats.org/officeDocument/2006/relationships/hyperlink" Target="https://www.google.com/maps/dir/?api=1&amp;origin=Gymnasium+Kirchheim,+Heimstettner+Str.+3,+85551+Kirchheim+bei+M&#252;nchen&amp;destination=47.98015181059358,11.754895734161472&amp;travelmode=car" TargetMode="External"/><Relationship Id="rId487" Type="http://schemas.openxmlformats.org/officeDocument/2006/relationships/hyperlink" Target="https://www.google.com/maps/dir/?api=1&amp;origin=Gymnasium+Kirchheim,+Heimstettner+Str.+3,+85551+Kirchheim+bei+M&#252;nchen&amp;destination=48.24562867762463,11.777984299500497&amp;travelmode=car" TargetMode="External"/><Relationship Id="rId694" Type="http://schemas.openxmlformats.org/officeDocument/2006/relationships/hyperlink" Target="https://www.google.com/maps/dir/?api=1&amp;origin=Gymnasium+Kirchheim,+Heimstettner+Str.+3,+85551+Kirchheim+bei+M&#252;nchen&amp;destination=48.228286066472684,12.12429853084091&amp;travelmode=car" TargetMode="External"/><Relationship Id="rId2168" Type="http://schemas.openxmlformats.org/officeDocument/2006/relationships/hyperlink" Target="https://www.google.com/maps/dir/?api=1&amp;origin=Gymnasium+Kirchheim,+Heimstettner+Str.+3,+85551+Kirchheim+bei+M&#252;nchen&amp;destination=48.10097829915774,11.870337526618448&amp;travelmode=car" TargetMode="External"/><Relationship Id="rId2375" Type="http://schemas.openxmlformats.org/officeDocument/2006/relationships/hyperlink" Target="https://www.google.com/maps/dir/?api=1&amp;origin=Gymnasium+Kirchheim,+Heimstettner+Str.+3,+85551+Kirchheim+bei+M&#252;nchen&amp;destination=48.0832590713233,12.228186338432307&amp;travelmode=car" TargetMode="External"/><Relationship Id="rId3219" Type="http://schemas.openxmlformats.org/officeDocument/2006/relationships/hyperlink" Target="https://www.google.com/maps/dir/?api=1&amp;origin=Gymnasium+Kirchheim,+Heimstettner+Str.+3,+85551+Kirchheim+bei+M&#252;nchen&amp;destination=48.010227002662845,11.81261696011681&amp;travelmode=car" TargetMode="External"/><Relationship Id="rId347" Type="http://schemas.openxmlformats.org/officeDocument/2006/relationships/hyperlink" Target="https://www.google.com/maps/dir/?api=1&amp;origin=Gymnasium+Kirchheim,+Heimstettner+Str.+3,+85551+Kirchheim+bei+M&#252;nchen&amp;destination=48.25808052379237,12.193557456977898&amp;travelmode=car" TargetMode="External"/><Relationship Id="rId1184" Type="http://schemas.openxmlformats.org/officeDocument/2006/relationships/hyperlink" Target="https://www.google.com/maps/dir/?api=1&amp;origin=Gymnasium+Kirchheim,+Heimstettner+Str.+3,+85551+Kirchheim+bei+M&#252;nchen&amp;destination=48.18532577978588,11.685629484445332&amp;travelmode=car" TargetMode="External"/><Relationship Id="rId2028" Type="http://schemas.openxmlformats.org/officeDocument/2006/relationships/hyperlink" Target="https://www.google.com/maps/dir/?api=1&amp;origin=Gymnasium+Kirchheim,+Heimstettner+Str.+3,+85551+Kirchheim+bei+M&#252;nchen&amp;destination=48.110342329335886,11.258475490819581&amp;travelmode=car" TargetMode="External"/><Relationship Id="rId2582" Type="http://schemas.openxmlformats.org/officeDocument/2006/relationships/hyperlink" Target="https://www.google.com/maps/dir/?api=1&amp;origin=Gymnasium+Kirchheim,+Heimstettner+Str.+3,+85551+Kirchheim+bei+M&#252;nchen&amp;destination=48.06431443178488,11.570184139943638&amp;travelmode=car" TargetMode="External"/><Relationship Id="rId3426" Type="http://schemas.openxmlformats.org/officeDocument/2006/relationships/hyperlink" Target="https://www.google.com/maps/dir/?api=1&amp;origin=Gymnasium+Kirchheim,+Heimstettner+Str.+3,+85551+Kirchheim+bei+M&#252;nchen&amp;destination=47.99278041850234,12.158928183084447&amp;travelmode=car" TargetMode="External"/><Relationship Id="rId554" Type="http://schemas.openxmlformats.org/officeDocument/2006/relationships/hyperlink" Target="https://www.google.com/maps/dir/?api=1&amp;origin=Gymnasium+Kirchheim,+Heimstettner+Str.+3,+85551+Kirchheim+bei+M&#252;nchen&amp;destination=48.23896837126888,11.524005541398747&amp;travelmode=car" TargetMode="External"/><Relationship Id="rId761" Type="http://schemas.openxmlformats.org/officeDocument/2006/relationships/hyperlink" Target="https://www.google.com/maps/dir/?api=1&amp;origin=Gymnasium+Kirchheim,+Heimstettner+Str.+3,+85551+Kirchheim+bei+M&#252;nchen&amp;destination=48.22232357180309,11.881881555040426&amp;travelmode=car" TargetMode="External"/><Relationship Id="rId1391" Type="http://schemas.openxmlformats.org/officeDocument/2006/relationships/hyperlink" Target="https://www.google.com/maps/dir/?api=1&amp;origin=Gymnasium+Kirchheim,+Heimstettner+Str.+3,+85551+Kirchheim+bei+M&#252;nchen&amp;destination=48.168097529323894,12.055038147665204&amp;travelmode=car" TargetMode="External"/><Relationship Id="rId2235" Type="http://schemas.openxmlformats.org/officeDocument/2006/relationships/hyperlink" Target="https://www.google.com/maps/dir/?api=1&amp;origin=Gymnasium+Kirchheim,+Heimstettner+Str.+3,+85551+Kirchheim+bei+M&#252;nchen&amp;destination=48.09448205441562,11.627907037470955&amp;travelmode=car" TargetMode="External"/><Relationship Id="rId2442" Type="http://schemas.openxmlformats.org/officeDocument/2006/relationships/hyperlink" Target="https://www.google.com/maps/dir/?api=1&amp;origin=Gymnasium+Kirchheim,+Heimstettner+Str.+3,+85551+Kirchheim+bei+M&#252;nchen&amp;destination=48.077514910750324,11.985776420185003&amp;travelmode=car" TargetMode="External"/><Relationship Id="rId207" Type="http://schemas.openxmlformats.org/officeDocument/2006/relationships/hyperlink" Target="https://www.google.com/maps/dir/?api=1&amp;origin=Gymnasium+Kirchheim,+Heimstettner+Str.+3,+85551+Kirchheim+bei+M&#252;nchen&amp;destination=48.269159102254186,11.581728752359444&amp;travelmode=car" TargetMode="External"/><Relationship Id="rId414" Type="http://schemas.openxmlformats.org/officeDocument/2006/relationships/hyperlink" Target="https://www.google.com/maps/dir/?api=1&amp;origin=Gymnasium+Kirchheim,+Heimstettner+Str.+3,+85551+Kirchheim+bei+M&#252;nchen&amp;destination=48.25233522127345,11.939601244041153&amp;travelmode=car" TargetMode="External"/><Relationship Id="rId621" Type="http://schemas.openxmlformats.org/officeDocument/2006/relationships/hyperlink" Target="https://www.google.com/maps/dir/?api=1&amp;origin=Gymnasium+Kirchheim,+Heimstettner+Str.+3,+85551+Kirchheim+bei+M&#252;nchen&amp;destination=48.231744216743415,11.281565179283442&amp;travelmode=car" TargetMode="External"/><Relationship Id="rId1044" Type="http://schemas.openxmlformats.org/officeDocument/2006/relationships/hyperlink" Target="https://www.google.com/maps/dir/?api=1&amp;origin=Gymnasium+Kirchheim,+Heimstettner+Str.+3,+85551+Kirchheim+bei+M&#252;nchen&amp;destination=48.19811034352513,12.101211892775435&amp;travelmode=car" TargetMode="External"/><Relationship Id="rId1251" Type="http://schemas.openxmlformats.org/officeDocument/2006/relationships/hyperlink" Target="https://www.google.com/maps/dir/?api=1&amp;origin=Gymnasium+Kirchheim,+Heimstettner+Str.+3,+85551+Kirchheim+bei+M&#252;nchen&amp;destination=48.178441323413786,11.44319250119349&amp;travelmode=car" TargetMode="External"/><Relationship Id="rId2302" Type="http://schemas.openxmlformats.org/officeDocument/2006/relationships/hyperlink" Target="https://www.google.com/maps/dir/?api=1&amp;origin=Gymnasium+Kirchheim,+Heimstettner+Str.+3,+85551+Kirchheim+bei+M&#252;nchen&amp;destination=48.08747627833682,11.385468600664204&amp;travelmode=car" TargetMode="External"/><Relationship Id="rId1111" Type="http://schemas.openxmlformats.org/officeDocument/2006/relationships/hyperlink" Target="https://www.google.com/maps/dir/?api=1&amp;origin=Gymnasium+Kirchheim,+Heimstettner+Str.+3,+85551+Kirchheim+bei+M&#252;nchen&amp;destination=48.19209932857917,11.858793469207484&amp;travelmode=car" TargetMode="External"/><Relationship Id="rId3076" Type="http://schemas.openxmlformats.org/officeDocument/2006/relationships/hyperlink" Target="https://www.google.com/maps/dir/?api=1&amp;origin=Gymnasium+Kirchheim,+Heimstettner+Str.+3,+85551+Kirchheim+bei+M&#252;nchen&amp;destination=48.02284869598262,12.193557456977898&amp;travelmode=car" TargetMode="External"/><Relationship Id="rId3283" Type="http://schemas.openxmlformats.org/officeDocument/2006/relationships/hyperlink" Target="https://www.google.com/maps/dir/?api=1&amp;origin=Gymnasium+Kirchheim,+Heimstettner+Str.+3,+85551+Kirchheim+bei+M&#252;nchen&amp;destination=48.003706501723975,11.535550212322528&amp;travelmode=car" TargetMode="External"/><Relationship Id="rId3490" Type="http://schemas.openxmlformats.org/officeDocument/2006/relationships/hyperlink" Target="https://www.google.com/maps/dir/?api=1&amp;origin=Gymnasium+Kirchheim,+Heimstettner+Str.+3,+85551+Kirchheim+bei+M&#252;nchen&amp;destination=47.98702588569075,11.893425553951282&amp;travelmode=car" TargetMode="External"/><Relationship Id="rId1928" Type="http://schemas.openxmlformats.org/officeDocument/2006/relationships/hyperlink" Target="https://www.google.com/maps/dir/?api=1&amp;origin=Gymnasium+Kirchheim,+Heimstettner+Str.+3,+85551+Kirchheim+bei+M&#252;nchen&amp;destination=48.1218709461624,12.147385007013046&amp;travelmode=car" TargetMode="External"/><Relationship Id="rId2092" Type="http://schemas.openxmlformats.org/officeDocument/2006/relationships/hyperlink" Target="https://www.google.com/maps/dir/?api=1&amp;origin=Gymnasium+Kirchheim,+Heimstettner+Str.+3,+85551+Kirchheim+bei+M&#252;nchen&amp;destination=48.1077137378696,12.00886380508597&amp;travelmode=car" TargetMode="External"/><Relationship Id="rId3143" Type="http://schemas.openxmlformats.org/officeDocument/2006/relationships/hyperlink" Target="https://www.google.com/maps/dir/?api=1&amp;origin=Gymnasium+Kirchheim,+Heimstettner+Str.+3,+85551+Kirchheim+bei+M&#252;nchen&amp;destination=48.01703175872683,11.95114508756474&amp;travelmode=car" TargetMode="External"/><Relationship Id="rId3350" Type="http://schemas.openxmlformats.org/officeDocument/2006/relationships/hyperlink" Target="https://www.google.com/maps/dir/?api=1&amp;origin=Gymnasium+Kirchheim,+Heimstettner+Str.+3,+85551+Kirchheim+bei+M&#252;nchen&amp;destination=47.9965066116231,11.293110020250275&amp;travelmode=car" TargetMode="External"/><Relationship Id="rId271" Type="http://schemas.openxmlformats.org/officeDocument/2006/relationships/hyperlink" Target="https://www.google.com/maps/dir/?api=1&amp;origin=Gymnasium+Kirchheim,+Heimstettner+Str.+3,+85551+Kirchheim+bei+M&#252;nchen&amp;destination=48.262084000572166,11.304654858343824&amp;travelmode=car" TargetMode="External"/><Relationship Id="rId3003" Type="http://schemas.openxmlformats.org/officeDocument/2006/relationships/hyperlink" Target="https://www.google.com/maps/dir/?api=1&amp;origin=Gymnasium+Kirchheim,+Heimstettner+Str.+3,+85551+Kirchheim+bei+M&#252;nchen&amp;destination=48.02680017701331,11.362378987427904&amp;travelmode=car" TargetMode="External"/><Relationship Id="rId131" Type="http://schemas.openxmlformats.org/officeDocument/2006/relationships/hyperlink" Target="https://www.google.com/maps/dir/?api=1&amp;origin=Gymnasium+Kirchheim,+Heimstettner+Str.+3,+85551+Kirchheim+bei+M&#252;nchen&amp;destination=48.2762411430499,11.720262709205143&amp;travelmode=car" TargetMode="External"/><Relationship Id="rId3210" Type="http://schemas.openxmlformats.org/officeDocument/2006/relationships/hyperlink" Target="https://www.google.com/maps/dir/?api=1&amp;origin=Gymnasium+Kirchheim,+Heimstettner+Str.+3,+85551+Kirchheim+bei+M&#252;nchen&amp;destination=48.0107053495306,11.708718322455919&amp;travelmode=car" TargetMode="External"/><Relationship Id="rId2769" Type="http://schemas.openxmlformats.org/officeDocument/2006/relationships/hyperlink" Target="https://www.google.com/maps/dir/?api=1&amp;origin=Gymnasium+Kirchheim,+Heimstettner+Str.+3,+85551+Kirchheim+bei+M&#252;nchen&amp;destination=48.04869333974356,11.69717391402856&amp;travelmode=car" TargetMode="External"/><Relationship Id="rId2976" Type="http://schemas.openxmlformats.org/officeDocument/2006/relationships/hyperlink" Target="https://www.google.com/maps/dir/?api=1&amp;origin=Gymnasium+Kirchheim,+Heimstettner+Str.+3,+85551+Kirchheim+bei+M&#252;nchen&amp;destination=48.0315113067247,12.055038147665204&amp;travelmode=car" TargetMode="External"/><Relationship Id="rId948" Type="http://schemas.openxmlformats.org/officeDocument/2006/relationships/hyperlink" Target="https://www.google.com/maps/dir/?api=1&amp;origin=Gymnasium+Kirchheim,+Heimstettner+Str.+3,+85551+Kirchheim+bei+M&#252;nchen&amp;destination=48.20635934308014,12.00886380508597&amp;travelmode=car" TargetMode="External"/><Relationship Id="rId1578" Type="http://schemas.openxmlformats.org/officeDocument/2006/relationships/hyperlink" Target="https://www.google.com/maps/dir/?api=1&amp;origin=Gymnasium+Kirchheim,+Heimstettner+Str.+3,+85551+Kirchheim+bei+M&#252;nchen&amp;destination=48.152131011534735,12.158928183084447&amp;travelmode=car" TargetMode="External"/><Relationship Id="rId1785" Type="http://schemas.openxmlformats.org/officeDocument/2006/relationships/hyperlink" Target="https://www.google.com/maps/dir/?api=1&amp;origin=Gymnasium+Kirchheim,+Heimstettner+Str.+3,+85551+Kirchheim+bei+M&#252;nchen&amp;destination=48.13276352888554,11.512460857153851&amp;travelmode=car" TargetMode="External"/><Relationship Id="rId1992" Type="http://schemas.openxmlformats.org/officeDocument/2006/relationships/hyperlink" Target="https://www.google.com/maps/dir/?api=1&amp;origin=Gymnasium+Kirchheim,+Heimstettner+Str.+3,+85551+Kirchheim+bei+M&#252;nchen&amp;destination=48.1161545461132,11.870337526618448&amp;travelmode=car" TargetMode="External"/><Relationship Id="rId2629" Type="http://schemas.openxmlformats.org/officeDocument/2006/relationships/hyperlink" Target="https://www.google.com/maps/dir/?api=1&amp;origin=Gymnasium+Kirchheim,+Heimstettner+Str.+3,+85551+Kirchheim+bei+M&#252;nchen&amp;destination=48.061436313030384,12.112755231783899&amp;travelmode=car" TargetMode="External"/><Relationship Id="rId2836" Type="http://schemas.openxmlformats.org/officeDocument/2006/relationships/hyperlink" Target="https://www.google.com/maps/dir/?api=1&amp;origin=Gymnasium+Kirchheim,+Heimstettner+Str.+3,+85551+Kirchheim+bei+M&#252;nchen&amp;destination=48.0418331471399,11.454737254395377&amp;travelmode=car" TargetMode="External"/><Relationship Id="rId77" Type="http://schemas.openxmlformats.org/officeDocument/2006/relationships/hyperlink" Target="https://www.google.com/maps/dir/?api=1&amp;origin=Gymnasium+Kirchheim,+Heimstettner+Str.+3,+85551+Kirchheim+bei+M&#252;nchen&amp;destination=48.28149189388468,12.112755231783899&amp;travelmode=car" TargetMode="External"/><Relationship Id="rId808" Type="http://schemas.openxmlformats.org/officeDocument/2006/relationships/hyperlink" Target="https://www.google.com/maps/dir/?api=1&amp;origin=Gymnasium+Kirchheim,+Heimstettner+Str.+3,+85551+Kirchheim+bei+M&#252;nchen&amp;destination=48.216440869146105,11.408558185690326&amp;travelmode=car" TargetMode="External"/><Relationship Id="rId1438" Type="http://schemas.openxmlformats.org/officeDocument/2006/relationships/hyperlink" Target="https://www.google.com/maps/dir/?api=1&amp;origin=Gymnasium+Kirchheim,+Heimstettner+Str.+3,+85551+Kirchheim+bei+M&#252;nchen&amp;destination=48.16296003699541,11.570184139943638&amp;travelmode=car" TargetMode="External"/><Relationship Id="rId1645" Type="http://schemas.openxmlformats.org/officeDocument/2006/relationships/hyperlink" Target="https://www.google.com/maps/dir/?api=1&amp;origin=Gymnasium+Kirchheim,+Heimstettner+Str.+3,+85551+Kirchheim+bei+M&#252;nchen&amp;destination=48.14617197204711,11.928057368395926&amp;travelmode=car" TargetMode="External"/><Relationship Id="rId1852" Type="http://schemas.openxmlformats.org/officeDocument/2006/relationships/hyperlink" Target="https://www.google.com/maps/dir/?api=1&amp;origin=Gymnasium+Kirchheim,+Heimstettner+Str.+3,+85551+Kirchheim+bei+M&#252;nchen&amp;destination=48.125515109904214,11.27002033596574&amp;travelmode=car" TargetMode="External"/><Relationship Id="rId2903" Type="http://schemas.openxmlformats.org/officeDocument/2006/relationships/hyperlink" Target="https://www.google.com/maps/dir/?api=1&amp;origin=Gymnasium+Kirchheim,+Heimstettner+Str.+3,+85551+Kirchheim+bei+M&#252;nchen&amp;destination=48.03762981610214,12.239729209273484&amp;travelmode=car" TargetMode="External"/><Relationship Id="rId1505" Type="http://schemas.openxmlformats.org/officeDocument/2006/relationships/hyperlink" Target="https://www.google.com/maps/dir/?api=1&amp;origin=Gymnasium+Kirchheim,+Heimstettner+Str.+3,+85551+Kirchheim+bei+M&#252;nchen&amp;destination=48.15583293996008,11.327744523821421&amp;travelmode=car" TargetMode="External"/><Relationship Id="rId1712" Type="http://schemas.openxmlformats.org/officeDocument/2006/relationships/hyperlink" Target="https://www.google.com/maps/dir/?api=1&amp;origin=Gymnasium+Kirchheim,+Heimstettner+Str.+3,+85551+Kirchheim+bei+M&#252;nchen&amp;destination=48.139797038919475,11.685629484445332&amp;travelmode=car" TargetMode="External"/><Relationship Id="rId598" Type="http://schemas.openxmlformats.org/officeDocument/2006/relationships/hyperlink" Target="https://www.google.com/maps/dir/?api=1&amp;origin=Gymnasium+Kirchheim,+Heimstettner+Str.+3,+85551+Kirchheim+bei+M&#252;nchen&amp;destination=48.23655354925324,12.031951048971356&amp;travelmode=car" TargetMode="External"/><Relationship Id="rId2279" Type="http://schemas.openxmlformats.org/officeDocument/2006/relationships/hyperlink" Target="https://www.google.com/maps/dir/?api=1&amp;origin=Gymnasium+Kirchheim,+Heimstettner+Str.+3,+85551+Kirchheim+bei+M&#252;nchen&amp;destination=48.09160972564095,12.135841789424584&amp;travelmode=car" TargetMode="External"/><Relationship Id="rId2486" Type="http://schemas.openxmlformats.org/officeDocument/2006/relationships/hyperlink" Target="https://www.google.com/maps/dir/?api=1&amp;origin=Gymnasium+Kirchheim,+Heimstettner+Str.+3,+85551+Kirchheim+bei+M&#252;nchen&amp;destination=48.0721625319325,11.466281997410366&amp;travelmode=car" TargetMode="External"/><Relationship Id="rId2693" Type="http://schemas.openxmlformats.org/officeDocument/2006/relationships/hyperlink" Target="https://www.google.com/maps/dir/?api=1&amp;origin=Gymnasium+Kirchheim,+Heimstettner+Str.+3,+85551+Kirchheim+bei+M&#252;nchen&amp;destination=48.055575498353384,11.847249383329679&amp;travelmode=car" TargetMode="External"/><Relationship Id="rId3537" Type="http://schemas.openxmlformats.org/officeDocument/2006/relationships/hyperlink" Target="https://www.google.com/maps/dir/?api=1&amp;origin=Gymnasium+Kirchheim,+Heimstettner+Str.+3,+85551+Kirchheim+bei+M&#252;nchen&amp;destination=47.981190554003604,11.420102966318577&amp;travelmode=car" TargetMode="External"/><Relationship Id="rId458" Type="http://schemas.openxmlformats.org/officeDocument/2006/relationships/hyperlink" Target="https://www.google.com/maps/dir/?api=1&amp;origin=Gymnasium+Kirchheim,+Heimstettner+Str.+3,+85551+Kirchheim+bei+M&#252;nchen&amp;destination=48.246755232942505,11.431647738327094&amp;travelmode=car" TargetMode="External"/><Relationship Id="rId665" Type="http://schemas.openxmlformats.org/officeDocument/2006/relationships/hyperlink" Target="https://www.google.com/maps/dir/?api=1&amp;origin=Gymnasium+Kirchheim,+Heimstettner+Str.+3,+85551+Kirchheim+bei+M&#252;nchen&amp;destination=48.230396970296034,11.789528545213775&amp;travelmode=car" TargetMode="External"/><Relationship Id="rId872" Type="http://schemas.openxmlformats.org/officeDocument/2006/relationships/hyperlink" Target="https://www.google.com/maps/dir/?api=1&amp;origin=Gymnasium+Kirchheim,+Heimstettner+Str.+3,+85551+Kirchheim+bei+M&#252;nchen&amp;destination=48.2129284278952,12.147385007013046&amp;travelmode=car" TargetMode="External"/><Relationship Id="rId1088" Type="http://schemas.openxmlformats.org/officeDocument/2006/relationships/hyperlink" Target="https://www.google.com/maps/dir/?api=1&amp;origin=Gymnasium+Kirchheim,+Heimstettner+Str.+3,+85551+Kirchheim+bei+M&#252;nchen&amp;destination=48.19324204863095,11.593273348842407&amp;travelmode=car" TargetMode="External"/><Relationship Id="rId1295" Type="http://schemas.openxmlformats.org/officeDocument/2006/relationships/hyperlink" Target="https://www.google.com/maps/dir/?api=1&amp;origin=Gymnasium+Kirchheim,+Heimstettner+Str.+3,+85551+Kirchheim+bei+M&#252;nchen&amp;destination=48.17638235175924,11.95114508756474&amp;travelmode=car" TargetMode="External"/><Relationship Id="rId2139" Type="http://schemas.openxmlformats.org/officeDocument/2006/relationships/hyperlink" Target="https://www.google.com/maps/dir/?api=1&amp;origin=Gymnasium+Kirchheim,+Heimstettner+Str.+3,+85551+Kirchheim+bei+M&#252;nchen&amp;destination=48.102352106934504,11.535550212322528&amp;travelmode=car" TargetMode="External"/><Relationship Id="rId2346" Type="http://schemas.openxmlformats.org/officeDocument/2006/relationships/hyperlink" Target="https://www.google.com/maps/dir/?api=1&amp;origin=Gymnasium+Kirchheim,+Heimstettner+Str.+3,+85551+Kirchheim+bei+M&#252;nchen&amp;destination=48.085671490901284,11.893425553951282&amp;travelmode=car" TargetMode="External"/><Relationship Id="rId2553" Type="http://schemas.openxmlformats.org/officeDocument/2006/relationships/hyperlink" Target="https://www.google.com/maps/dir/?api=1&amp;origin=Gymnasium+Kirchheim,+Heimstettner+Str.+3,+85551+Kirchheim+bei+M&#252;nchen&amp;destination=48.06481705485693,11.235385797131558&amp;travelmode=car" TargetMode="External"/><Relationship Id="rId2760" Type="http://schemas.openxmlformats.org/officeDocument/2006/relationships/hyperlink" Target="https://www.google.com/maps/dir/?api=1&amp;origin=Gymnasium+Kirchheim,+Heimstettner+Str.+3,+85551+Kirchheim+bei+M&#252;nchen&amp;destination=48.049103521399914,11.581728752359444&amp;travelmode=car" TargetMode="External"/><Relationship Id="rId3604" Type="http://schemas.openxmlformats.org/officeDocument/2006/relationships/hyperlink" Target="https://www.google.com/maps/dir/?api=1&amp;origin=Gymnasium+Kirchheim,+Heimstettner+Str.+3,+85551+Kirchheim+bei+M&#252;nchen&amp;destination=47.97731995511623,12.193557456977898&amp;travelmode=car" TargetMode="External"/><Relationship Id="rId318" Type="http://schemas.openxmlformats.org/officeDocument/2006/relationships/hyperlink" Target="https://www.google.com/maps/dir/?api=1&amp;origin=Gymnasium+Kirchheim,+Heimstettner+Str.+3,+85551+Kirchheim+bei+M&#252;nchen&amp;destination=48.260516069305034,11.835705269507187&amp;travelmode=car" TargetMode="External"/><Relationship Id="rId525" Type="http://schemas.openxmlformats.org/officeDocument/2006/relationships/hyperlink" Target="https://www.google.com/maps/dir/?api=1&amp;origin=Gymnasium+Kirchheim,+Heimstettner+Str.+3,+85551+Kirchheim+bei+M&#252;nchen&amp;destination=48.24280722778216,12.205100461762754&amp;travelmode=car" TargetMode="External"/><Relationship Id="rId732" Type="http://schemas.openxmlformats.org/officeDocument/2006/relationships/hyperlink" Target="https://www.google.com/maps/dir/?api=1&amp;origin=Gymnasium+Kirchheim,+Heimstettner+Str.+3,+85551+Kirchheim+bei+M&#252;nchen&amp;destination=48.22373088541534,11.547094869402834&amp;travelmode=car" TargetMode="External"/><Relationship Id="rId1155" Type="http://schemas.openxmlformats.org/officeDocument/2006/relationships/hyperlink" Target="https://www.google.com/maps/dir/?api=1&amp;origin=Gymnasium+Kirchheim,+Heimstettner+Str.+3,+85551+Kirchheim+bei+M&#252;nchen&amp;destination=48.186163480111524,11.350834171536942&amp;travelmode=car" TargetMode="External"/><Relationship Id="rId1362" Type="http://schemas.openxmlformats.org/officeDocument/2006/relationships/hyperlink" Target="https://www.google.com/maps/dir/?api=1&amp;origin=Gymnasium+Kirchheim,+Heimstettner+Str.+3,+85551+Kirchheim+bei+M&#252;nchen&amp;destination=48.1701033153873,11.69717391402856&amp;travelmode=car" TargetMode="External"/><Relationship Id="rId2206" Type="http://schemas.openxmlformats.org/officeDocument/2006/relationships/hyperlink" Target="https://www.google.com/maps/dir/?api=1&amp;origin=Gymnasium+Kirchheim,+Heimstettner+Str.+3,+85551+Kirchheim+bei+M&#252;nchen&amp;destination=48.09515221683363,11.293110020250275&amp;travelmode=car" TargetMode="External"/><Relationship Id="rId2413" Type="http://schemas.openxmlformats.org/officeDocument/2006/relationships/hyperlink" Target="https://www.google.com/maps/dir/?api=1&amp;origin=Gymnasium+Kirchheim,+Heimstettner+Str.+3,+85551+Kirchheim+bei+M&#252;nchen&amp;destination=48.079223771100715,11.650996073983201&amp;travelmode=car" TargetMode="External"/><Relationship Id="rId2620" Type="http://schemas.openxmlformats.org/officeDocument/2006/relationships/hyperlink" Target="https://www.google.com/maps/dir/?api=1&amp;origin=Gymnasium+Kirchheim,+Heimstettner+Str.+3,+85551+Kirchheim+bei+M&#252;nchen&amp;destination=48.062262408020636,11.997320130001427&amp;travelmode=car" TargetMode="External"/><Relationship Id="rId1015" Type="http://schemas.openxmlformats.org/officeDocument/2006/relationships/hyperlink" Target="https://www.google.com/maps/dir/?api=1&amp;origin=Gymnasium+Kirchheim,+Heimstettner+Str.+3,+85551+Kirchheim+bei+M&#252;nchen&amp;destination=48.20015424178068,11.766440028975659&amp;travelmode=car" TargetMode="External"/><Relationship Id="rId1222" Type="http://schemas.openxmlformats.org/officeDocument/2006/relationships/hyperlink" Target="https://www.google.com/maps/dir/?api=1&amp;origin=Gymnasium+Kirchheim,+Heimstettner+Str.+3,+85551+Kirchheim+bei+M&#252;nchen&amp;destination=48.18275732560628,12.12429853084091&amp;travelmode=car" TargetMode="External"/><Relationship Id="rId3187" Type="http://schemas.openxmlformats.org/officeDocument/2006/relationships/hyperlink" Target="https://www.google.com/maps/dir/?api=1&amp;origin=Gymnasium+Kirchheim,+Heimstettner+Str.+3,+85551+Kirchheim+bei+M&#252;nchen&amp;destination=48.01150260690363,11.44319250119349&amp;travelmode=car" TargetMode="External"/><Relationship Id="rId3394" Type="http://schemas.openxmlformats.org/officeDocument/2006/relationships/hyperlink" Target="https://www.google.com/maps/dir/?api=1&amp;origin=Gymnasium+Kirchheim,+Heimstettner+Str.+3,+85551+Kirchheim+bei+M&#252;nchen&amp;destination=47.99510852676733,11.801072765593279&amp;travelmode=car" TargetMode="External"/><Relationship Id="rId3047" Type="http://schemas.openxmlformats.org/officeDocument/2006/relationships/hyperlink" Target="https://www.google.com/maps/dir/?api=1&amp;origin=Gymnasium+Kirchheim,+Heimstettner+Str.+3,+85551+Kirchheim+bei+M&#252;nchen&amp;destination=48.02516061206904,11.858793469207484&amp;travelmode=car" TargetMode="External"/><Relationship Id="rId175" Type="http://schemas.openxmlformats.org/officeDocument/2006/relationships/hyperlink" Target="https://www.google.com/maps/dir/?api=1&amp;origin=Gymnasium+Kirchheim,+Heimstettner+Str.+3,+85551+Kirchheim+bei+M&#252;nchen&amp;destination=48.272962158266644,12.228186338432307&amp;travelmode=car" TargetMode="External"/><Relationship Id="rId3254" Type="http://schemas.openxmlformats.org/officeDocument/2006/relationships/hyperlink" Target="https://www.google.com/maps/dir/?api=1&amp;origin=Gymnasium+Kirchheim,+Heimstettner+Str.+3,+85551+Kirchheim+bei+M&#252;nchen&amp;destination=48.0074771958092,12.21664342242148&amp;travelmode=car" TargetMode="External"/><Relationship Id="rId3461" Type="http://schemas.openxmlformats.org/officeDocument/2006/relationships/hyperlink" Target="https://www.google.com/maps/dir/?api=1&amp;origin=Gymnasium+Kirchheim,+Heimstettner+Str.+3,+85551+Kirchheim+bei+M&#252;nchen&amp;destination=47.988433197007545,11.570184139943638&amp;travelmode=car" TargetMode="External"/><Relationship Id="rId382" Type="http://schemas.openxmlformats.org/officeDocument/2006/relationships/hyperlink" Target="https://www.google.com/maps/dir/?api=1&amp;origin=Gymnasium+Kirchheim,+Heimstettner+Str.+3,+85551+Kirchheim+bei+M&#252;nchen&amp;destination=48.254017518728226,11.570184139943638&amp;travelmode=car" TargetMode="External"/><Relationship Id="rId2063" Type="http://schemas.openxmlformats.org/officeDocument/2006/relationships/hyperlink" Target="https://www.google.com/maps/dir/?api=1&amp;origin=Gymnasium+Kirchheim,+Heimstettner+Str.+3,+85551+Kirchheim+bei+M&#252;nchen&amp;destination=48.109489607066514,11.67408503422851&amp;travelmode=car" TargetMode="External"/><Relationship Id="rId2270" Type="http://schemas.openxmlformats.org/officeDocument/2006/relationships/hyperlink" Target="https://www.google.com/maps/dir/?api=1&amp;origin=Gymnasium+Kirchheim,+Heimstettner+Str.+3,+85551+Kirchheim+bei+M&#252;nchen&amp;destination=48.09237920317629,12.031951048971356&amp;travelmode=car" TargetMode="External"/><Relationship Id="rId3114" Type="http://schemas.openxmlformats.org/officeDocument/2006/relationships/hyperlink" Target="https://www.google.com/maps/dir/?api=1&amp;origin=Gymnasium+Kirchheim,+Heimstettner+Str.+3,+85551+Kirchheim+bei+M&#252;nchen&amp;destination=48.01864010471451,11.616362491920484&amp;travelmode=car" TargetMode="External"/><Relationship Id="rId3321" Type="http://schemas.openxmlformats.org/officeDocument/2006/relationships/hyperlink" Target="https://www.google.com/maps/dir/?api=1&amp;origin=Gymnasium+Kirchheim,+Heimstettner+Str.+3,+85551+Kirchheim+bei+M&#252;nchen&amp;destination=48.00170877649744,11.97423267615872&amp;travelmode=car" TargetMode="External"/><Relationship Id="rId242" Type="http://schemas.openxmlformats.org/officeDocument/2006/relationships/hyperlink" Target="https://www.google.com/maps/dir/?api=1&amp;origin=Gymnasium+Kirchheim,+Heimstettner+Str.+3,+85551+Kirchheim+bei+M&#252;nchen&amp;destination=48.26721799769367,11.985776420185003&amp;travelmode=car" TargetMode="External"/><Relationship Id="rId2130" Type="http://schemas.openxmlformats.org/officeDocument/2006/relationships/hyperlink" Target="https://www.google.com/maps/dir/?api=1&amp;origin=Gymnasium+Kirchheim,+Heimstettner+Str.+3,+85551+Kirchheim+bei+M&#252;nchen&amp;destination=48.10258088686556,11.431647738327094&amp;travelmode=car" TargetMode="External"/><Relationship Id="rId102" Type="http://schemas.openxmlformats.org/officeDocument/2006/relationships/hyperlink" Target="https://www.google.com/maps/dir/?api=1&amp;origin=Gymnasium+Kirchheim,+Heimstettner+Str.+3,+85551+Kirchheim+bei+M&#252;nchen&amp;destination=48.27717936528016,11.385468600664204&amp;travelmode=car" TargetMode="External"/><Relationship Id="rId1689" Type="http://schemas.openxmlformats.org/officeDocument/2006/relationships/hyperlink" Target="https://www.google.com/maps/dir/?api=1&amp;origin=Gymnasium+Kirchheim,+Heimstettner+Str.+3,+85551+Kirchheim+bei+M&#252;nchen&amp;destination=48.140541147036004,11.420102966318577&amp;travelmode=car" TargetMode="External"/><Relationship Id="rId1896" Type="http://schemas.openxmlformats.org/officeDocument/2006/relationships/hyperlink" Target="https://www.google.com/maps/dir/?api=1&amp;origin=Gymnasium+Kirchheim,+Heimstettner+Str.+3,+85551+Kirchheim+bei+M&#252;nchen&amp;destination=48.12421870198088,11.777984299500497&amp;travelmode=car" TargetMode="External"/><Relationship Id="rId2947" Type="http://schemas.openxmlformats.org/officeDocument/2006/relationships/hyperlink" Target="https://www.google.com/maps/dir/?api=1&amp;origin=Gymnasium+Kirchheim,+Heimstettner+Str.+3,+85551+Kirchheim+bei+M&#252;nchen&amp;destination=48.033421191762415,11.720262709205143&amp;travelmode=car" TargetMode="External"/><Relationship Id="rId919" Type="http://schemas.openxmlformats.org/officeDocument/2006/relationships/hyperlink" Target="https://www.google.com/maps/dir/?api=1&amp;origin=Gymnasium+Kirchheim,+Heimstettner+Str.+3,+85551+Kirchheim+bei+M&#252;nchen&amp;destination=48.20809015021908,11.685629484445332&amp;travelmode=car" TargetMode="External"/><Relationship Id="rId1549" Type="http://schemas.openxmlformats.org/officeDocument/2006/relationships/hyperlink" Target="https://www.google.com/maps/dir/?api=1&amp;origin=Gymnasium+Kirchheim,+Heimstettner+Str.+3,+85551+Kirchheim+bei+M&#252;nchen&amp;destination=48.15428234061675,11.835705269507187&amp;travelmode=car" TargetMode="External"/><Relationship Id="rId1756" Type="http://schemas.openxmlformats.org/officeDocument/2006/relationships/hyperlink" Target="https://www.google.com/maps/dir/?api=1&amp;origin=Gymnasium+Kirchheim,+Heimstettner+Str.+3,+85551+Kirchheim+bei+M&#252;nchen&amp;destination=48.136670548148636,12.193557456977898&amp;travelmode=car" TargetMode="External"/><Relationship Id="rId1963" Type="http://schemas.openxmlformats.org/officeDocument/2006/relationships/hyperlink" Target="https://www.google.com/maps/dir/?api=1&amp;origin=Gymnasium+Kirchheim,+Heimstettner+Str.+3,+85551+Kirchheim+bei+M&#252;nchen&amp;destination=48.11752835388997,11.535550212322528&amp;travelmode=car" TargetMode="External"/><Relationship Id="rId2807" Type="http://schemas.openxmlformats.org/officeDocument/2006/relationships/hyperlink" Target="https://www.google.com/maps/dir/?api=1&amp;origin=Gymnasium+Kirchheim,+Heimstettner+Str.+3,+85551+Kirchheim+bei+M&#252;nchen&amp;destination=48.046080984774555,12.135841789424584&amp;travelmode=car" TargetMode="External"/><Relationship Id="rId48" Type="http://schemas.openxmlformats.org/officeDocument/2006/relationships/hyperlink" Target="https://www.google.com/maps/dir/?api=1&amp;origin=Gymnasium+Kirchheim,+Heimstettner+Str.+3,+85551+Kirchheim+bei+M&#252;nchen&amp;destination=48.283623600035746,11.766440028975659&amp;travelmode=car" TargetMode="External"/><Relationship Id="rId1409" Type="http://schemas.openxmlformats.org/officeDocument/2006/relationships/hyperlink" Target="https://www.google.com/maps/dir/?api=1&amp;origin=Gymnasium+Kirchheim,+Heimstettner+Str.+3,+85551+Kirchheim+bei+M&#252;nchen&amp;destination=48.16346266006747,11.235385797131558&amp;travelmode=car" TargetMode="External"/><Relationship Id="rId1616" Type="http://schemas.openxmlformats.org/officeDocument/2006/relationships/hyperlink" Target="https://www.google.com/maps/dir/?api=1&amp;origin=Gymnasium+Kirchheim,+Heimstettner+Str.+3,+85551+Kirchheim+bei+M&#252;nchen&amp;destination=48.147713307764555,11.593273348842407&amp;travelmode=car" TargetMode="External"/><Relationship Id="rId1823" Type="http://schemas.openxmlformats.org/officeDocument/2006/relationships/hyperlink" Target="https://www.google.com/maps/dir/?api=1&amp;origin=Gymnasium+Kirchheim,+Heimstettner+Str.+3,+85551+Kirchheim+bei+M&#252;nchen&amp;destination=48.13085361089283,11.95114508756474&amp;travelmode=car" TargetMode="External"/><Relationship Id="rId2597" Type="http://schemas.openxmlformats.org/officeDocument/2006/relationships/hyperlink" Target="https://www.google.com/maps/dir/?api=1&amp;origin=Gymnasium+Kirchheim,+Heimstettner+Str.+3,+85551+Kirchheim+bei+M&#252;nchen&amp;destination=48.063673163155975,11.743351415580166&amp;travelmode=car" TargetMode="External"/><Relationship Id="rId569" Type="http://schemas.openxmlformats.org/officeDocument/2006/relationships/hyperlink" Target="https://www.google.com/maps/dir/?api=1&amp;origin=Gymnasium+Kirchheim,+Heimstettner+Str.+3,+85551+Kirchheim+bei+M&#252;nchen&amp;destination=48.238396426686904,11.69717391402856&amp;travelmode=car" TargetMode="External"/><Relationship Id="rId776" Type="http://schemas.openxmlformats.org/officeDocument/2006/relationships/hyperlink" Target="https://www.google.com/maps/dir/?api=1&amp;origin=Gymnasium+Kirchheim,+Heimstettner+Str.+3,+85551+Kirchheim+bei+M&#252;nchen&amp;destination=48.22129642559093,12.043494616728212&amp;travelmode=car" TargetMode="External"/><Relationship Id="rId983" Type="http://schemas.openxmlformats.org/officeDocument/2006/relationships/hyperlink" Target="https://www.google.com/maps/dir/?api=1&amp;origin=Gymnasium+Kirchheim,+Heimstettner+Str.+3,+85551+Kirchheim+bei+M&#252;nchen&amp;destination=48.20128195407278,11.397013396964736&amp;travelmode=car" TargetMode="External"/><Relationship Id="rId1199" Type="http://schemas.openxmlformats.org/officeDocument/2006/relationships/hyperlink" Target="https://www.google.com/maps/dir/?api=1&amp;origin=Gymnasium+Kirchheim,+Heimstettner+Str.+3,+85551+Kirchheim+bei+M&#252;nchen&amp;destination=48.18451120510144,11.858793469207484&amp;travelmode=car" TargetMode="External"/><Relationship Id="rId2457" Type="http://schemas.openxmlformats.org/officeDocument/2006/relationships/hyperlink" Target="https://www.google.com/maps/dir/?api=1&amp;origin=Gymnasium+Kirchheim,+Heimstettner+Str.+3,+85551+Kirchheim+bei+M&#252;nchen&amp;destination=48.07624977675741,12.158928183084447&amp;travelmode=car" TargetMode="External"/><Relationship Id="rId2664" Type="http://schemas.openxmlformats.org/officeDocument/2006/relationships/hyperlink" Target="https://www.google.com/maps/dir/?api=1&amp;origin=Gymnasium+Kirchheim,+Heimstettner+Str.+3,+85551+Kirchheim+bei+M&#252;nchen&amp;destination=48.05691002498037,11.500916160110199&amp;travelmode=car" TargetMode="External"/><Relationship Id="rId3508" Type="http://schemas.openxmlformats.org/officeDocument/2006/relationships/hyperlink" Target="https://www.google.com/maps/dir/?api=1&amp;origin=Gymnasium+Kirchheim,+Heimstettner+Str.+3,+85551+Kirchheim+bei+M&#252;nchen&amp;destination=47.98564288614859,12.101211892775435&amp;travelmode=car" TargetMode="External"/><Relationship Id="rId429" Type="http://schemas.openxmlformats.org/officeDocument/2006/relationships/hyperlink" Target="https://www.google.com/maps/dir/?api=1&amp;origin=Gymnasium+Kirchheim,+Heimstettner+Str.+3,+85551+Kirchheim+bei+M&#252;nchen&amp;destination=48.25113939997374,12.112755231783899&amp;travelmode=car" TargetMode="External"/><Relationship Id="rId636" Type="http://schemas.openxmlformats.org/officeDocument/2006/relationships/hyperlink" Target="https://www.google.com/maps/dir/?api=1&amp;origin=Gymnasium+Kirchheim,+Heimstettner+Str.+3,+85551+Kirchheim+bei+M&#252;nchen&amp;destination=48.23155818775791,11.44319250119349&amp;travelmode=car" TargetMode="External"/><Relationship Id="rId1059" Type="http://schemas.openxmlformats.org/officeDocument/2006/relationships/hyperlink" Target="https://www.google.com/maps/dir/?api=1&amp;origin=Gymnasium+Kirchheim,+Heimstettner+Str.+3,+85551+Kirchheim+bei+M&#252;nchen&amp;destination=48.19381168759095,11.258475490819581&amp;travelmode=car" TargetMode="External"/><Relationship Id="rId1266" Type="http://schemas.openxmlformats.org/officeDocument/2006/relationships/hyperlink" Target="https://www.google.com/maps/dir/?api=1&amp;origin=Gymnasium+Kirchheim,+Heimstettner+Str.+3,+85551+Kirchheim+bei+M&#252;nchen&amp;destination=48.177990697746914,11.616362491920484&amp;travelmode=car" TargetMode="External"/><Relationship Id="rId1473" Type="http://schemas.openxmlformats.org/officeDocument/2006/relationships/hyperlink" Target="https://www.google.com/maps/dir/?api=1&amp;origin=Gymnasium+Kirchheim,+Heimstettner+Str.+3,+85551+Kirchheim+bei+M&#252;nchen&amp;destination=48.1609842690054,11.985776420185003&amp;travelmode=car" TargetMode="External"/><Relationship Id="rId2317" Type="http://schemas.openxmlformats.org/officeDocument/2006/relationships/hyperlink" Target="https://www.google.com/maps/dir/?api=1&amp;origin=Gymnasium+Kirchheim,+Heimstettner+Str.+3,+85551+Kirchheim+bei+M&#252;nchen&amp;destination=48.087112310228235,11.55863951211732&amp;travelmode=car" TargetMode="External"/><Relationship Id="rId2871" Type="http://schemas.openxmlformats.org/officeDocument/2006/relationships/hyperlink" Target="https://www.google.com/maps/dir/?api=1&amp;origin=Gymnasium+Kirchheim,+Heimstettner+Str.+3,+85551+Kirchheim+bei+M&#252;nchen&amp;destination=48.0403368590245,11.858793469207484&amp;travelmode=car" TargetMode="External"/><Relationship Id="rId843" Type="http://schemas.openxmlformats.org/officeDocument/2006/relationships/hyperlink" Target="https://www.google.com/maps/dir/?api=1&amp;origin=Gymnasium+Kirchheim,+Heimstettner+Str.+3,+85551+Kirchheim+bei+M&#252;nchen&amp;destination=48.215106336561654,11.81261696011681&amp;travelmode=car" TargetMode="External"/><Relationship Id="rId1126" Type="http://schemas.openxmlformats.org/officeDocument/2006/relationships/hyperlink" Target="https://www.google.com/maps/dir/?api=1&amp;origin=Gymnasium+Kirchheim,+Heimstettner+Str.+3,+85551+Kirchheim+bei+M&#252;nchen&amp;destination=48.19102480838683,12.031951048971356&amp;travelmode=car" TargetMode="External"/><Relationship Id="rId1680" Type="http://schemas.openxmlformats.org/officeDocument/2006/relationships/hyperlink" Target="https://www.google.com/maps/dir/?api=1&amp;origin=Gymnasium+Kirchheim,+Heimstettner+Str.+3,+85551+Kirchheim+bei+M&#252;nchen&amp;destination=48.14066593669638,11.316199693041677&amp;travelmode=car" TargetMode="External"/><Relationship Id="rId2524" Type="http://schemas.openxmlformats.org/officeDocument/2006/relationships/hyperlink" Target="https://www.google.com/maps/dir/?api=1&amp;origin=Gymnasium+Kirchheim,+Heimstettner+Str.+3,+85551+Kirchheim+bei+M&#252;nchen&amp;destination=48.07036006145068,11.916513461151142&amp;travelmode=car" TargetMode="External"/><Relationship Id="rId2731" Type="http://schemas.openxmlformats.org/officeDocument/2006/relationships/hyperlink" Target="https://www.google.com/maps/dir/?api=1&amp;origin=Gymnasium+Kirchheim,+Heimstettner+Str.+3,+85551+Kirchheim+bei+M&#252;nchen&amp;destination=48.04963734151402,11.258475490819581&amp;travelmode=car" TargetMode="External"/><Relationship Id="rId703" Type="http://schemas.openxmlformats.org/officeDocument/2006/relationships/hyperlink" Target="https://www.google.com/maps/dir/?api=1&amp;origin=Gymnasium+Kirchheim,+Heimstettner+Str.+3,+85551+Kirchheim+bei+M&#252;nchen&amp;destination=48.22743341740024,12.228186338432307&amp;travelmode=car" TargetMode="External"/><Relationship Id="rId910" Type="http://schemas.openxmlformats.org/officeDocument/2006/relationships/hyperlink" Target="https://www.google.com/maps/dir/?api=1&amp;origin=Gymnasium+Kirchheim,+Heimstettner+Str.+3,+85551+Kirchheim+bei+M&#252;nchen&amp;destination=48.20848877786181,11.570184139943638&amp;travelmode=car" TargetMode="External"/><Relationship Id="rId1333" Type="http://schemas.openxmlformats.org/officeDocument/2006/relationships/hyperlink" Target="https://www.google.com/maps/dir/?api=1&amp;origin=Gymnasium+Kirchheim,+Heimstettner+Str.+3,+85551+Kirchheim+bei+M&#252;nchen&amp;destination=48.17096065756845,11.373923797311125&amp;travelmode=car" TargetMode="External"/><Relationship Id="rId1540" Type="http://schemas.openxmlformats.org/officeDocument/2006/relationships/hyperlink" Target="https://www.google.com/maps/dir/?api=1&amp;origin=Gymnasium+Kirchheim,+Heimstettner+Str.+3,+85551+Kirchheim+bei+M&#252;nchen&amp;destination=48.154781483831805,11.731807073753979&amp;travelmode=car" TargetMode="External"/><Relationship Id="rId1400" Type="http://schemas.openxmlformats.org/officeDocument/2006/relationships/hyperlink" Target="https://www.google.com/maps/dir/?api=1&amp;origin=Gymnasium+Kirchheim,+Heimstettner+Str.+3,+85551+Kirchheim+bei+M&#252;nchen&amp;destination=48.16739968702881,12.147385007013046&amp;travelmode=car" TargetMode="External"/><Relationship Id="rId3298" Type="http://schemas.openxmlformats.org/officeDocument/2006/relationships/hyperlink" Target="https://www.google.com/maps/dir/?api=1&amp;origin=Gymnasium+Kirchheim,+Heimstettner+Str.+3,+85551+Kirchheim+bei+M&#252;nchen&amp;destination=48.003117226052865,11.708718322455919&amp;travelmode=car" TargetMode="External"/><Relationship Id="rId3158" Type="http://schemas.openxmlformats.org/officeDocument/2006/relationships/hyperlink" Target="https://www.google.com/maps/dir/?api=1&amp;origin=Gymnasium+Kirchheim,+Heimstettner+Str.+3,+85551+Kirchheim+bei+M&#252;nchen&amp;destination=48.01581860909615,12.12429853084091&amp;travelmode=car" TargetMode="External"/><Relationship Id="rId3365" Type="http://schemas.openxmlformats.org/officeDocument/2006/relationships/hyperlink" Target="https://www.google.com/maps/dir/?api=1&amp;origin=Gymnasium+Kirchheim,+Heimstettner+Str.+3,+85551+Kirchheim+bei+M&#252;nchen&amp;destination=47.99628129715516,11.466281997410366&amp;travelmode=car" TargetMode="External"/><Relationship Id="rId3572" Type="http://schemas.openxmlformats.org/officeDocument/2006/relationships/hyperlink" Target="https://www.google.com/maps/dir/?api=1&amp;origin=Gymnasium+Kirchheim,+Heimstettner+Str.+3,+85551+Kirchheim+bei+M&#252;nchen&amp;destination=47.97981558235589,11.824161128262173&amp;travelmode=car" TargetMode="External"/><Relationship Id="rId286" Type="http://schemas.openxmlformats.org/officeDocument/2006/relationships/hyperlink" Target="https://www.google.com/maps/dir/?api=1&amp;origin=Gymnasium+Kirchheim,+Heimstettner+Str.+3,+85551+Kirchheim+bei+M&#252;nchen&amp;destination=48.26184135431583,11.477826729716085&amp;travelmode=car" TargetMode="External"/><Relationship Id="rId493" Type="http://schemas.openxmlformats.org/officeDocument/2006/relationships/hyperlink" Target="https://www.google.com/maps/dir/?api=1&amp;origin=Gymnasium+Kirchheim,+Heimstettner+Str.+3,+85551+Kirchheim+bei+M&#252;nchen&amp;destination=48.24533982234957,11.835705269507187&amp;travelmode=car" TargetMode="External"/><Relationship Id="rId2174" Type="http://schemas.openxmlformats.org/officeDocument/2006/relationships/hyperlink" Target="https://www.google.com/maps/dir/?api=1&amp;origin=Gymnasium+Kirchheim,+Heimstettner+Str.+3,+85551+Kirchheim+bei+M&#252;nchen&amp;destination=48.10057275171878,11.939601244041153&amp;travelmode=car" TargetMode="External"/><Relationship Id="rId2381" Type="http://schemas.openxmlformats.org/officeDocument/2006/relationships/hyperlink" Target="https://www.google.com/maps/dir/?api=1&amp;origin=Gymnasium+Kirchheim,+Heimstettner+Str.+3,+85551+Kirchheim+bei+M&#252;nchen&amp;destination=48.07998174718874,11.281565179283442&amp;travelmode=car" TargetMode="External"/><Relationship Id="rId3018" Type="http://schemas.openxmlformats.org/officeDocument/2006/relationships/hyperlink" Target="https://www.google.com/maps/dir/?api=1&amp;origin=Gymnasium+Kirchheim,+Heimstettner+Str.+3,+85551+Kirchheim+bei+M&#252;nchen&amp;destination=48.02650091389235,11.524005541398747&amp;travelmode=car" TargetMode="External"/><Relationship Id="rId3225" Type="http://schemas.openxmlformats.org/officeDocument/2006/relationships/hyperlink" Target="https://www.google.com/maps/dir/?api=1&amp;origin=Gymnasium+Kirchheim,+Heimstettner+Str.+3,+85551+Kirchheim+bei+M&#252;nchen&amp;destination=48.00979025612395,11.893425553951282&amp;travelmode=car" TargetMode="External"/><Relationship Id="rId3432" Type="http://schemas.openxmlformats.org/officeDocument/2006/relationships/hyperlink" Target="https://www.google.com/maps/dir/?api=1&amp;origin=Gymnasium+Kirchheim,+Heimstettner+Str.+3,+85551+Kirchheim+bei+M&#252;nchen&amp;destination=47.99210107523573,12.239729209273484&amp;travelmode=car" TargetMode="External"/><Relationship Id="rId146" Type="http://schemas.openxmlformats.org/officeDocument/2006/relationships/hyperlink" Target="https://www.google.com/maps/dir/?api=1&amp;origin=Gymnasium+Kirchheim,+Heimstettner+Str.+3,+85551+Kirchheim+bei+M&#252;nchen&amp;destination=48.275440436147235,11.881881555040426&amp;travelmode=car" TargetMode="External"/><Relationship Id="rId353" Type="http://schemas.openxmlformats.org/officeDocument/2006/relationships/hyperlink" Target="https://www.google.com/maps/dir/?api=1&amp;origin=Gymnasium+Kirchheim,+Heimstettner+Str.+3,+85551+Kirchheim+bei+M&#252;nchen&amp;destination=48.25452014180027,11.235385797131558&amp;travelmode=car" TargetMode="External"/><Relationship Id="rId560" Type="http://schemas.openxmlformats.org/officeDocument/2006/relationships/hyperlink" Target="https://www.google.com/maps/dir/?api=1&amp;origin=Gymnasium+Kirchheim,+Heimstettner+Str.+3,+85551+Kirchheim+bei+M&#252;nchen&amp;destination=48.238806608343246,11.581728752359444&amp;travelmode=car" TargetMode="External"/><Relationship Id="rId1190" Type="http://schemas.openxmlformats.org/officeDocument/2006/relationships/hyperlink" Target="https://www.google.com/maps/dir/?api=1&amp;origin=Gymnasium+Kirchheim,+Heimstettner+Str.+3,+85551+Kirchheim+bei+M&#252;nchen&amp;destination=48.185083138799726,11.743351415580166&amp;travelmode=car" TargetMode="External"/><Relationship Id="rId2034" Type="http://schemas.openxmlformats.org/officeDocument/2006/relationships/hyperlink" Target="https://www.google.com/maps/dir/?api=1&amp;origin=Gymnasium+Kirchheim,+Heimstettner+Str.+3,+85551+Kirchheim+bei+M&#252;nchen&amp;destination=48.11029379994296,11.339289350160644&amp;travelmode=car" TargetMode="External"/><Relationship Id="rId2241" Type="http://schemas.openxmlformats.org/officeDocument/2006/relationships/hyperlink" Target="https://www.google.com/maps/dir/?api=1&amp;origin=Gymnasium+Kirchheim,+Heimstettner+Str.+3,+85551+Kirchheim+bei+M&#252;nchen&amp;destination=48.09422208060997,11.69717391402856&amp;travelmode=car" TargetMode="External"/><Relationship Id="rId213" Type="http://schemas.openxmlformats.org/officeDocument/2006/relationships/hyperlink" Target="https://www.google.com/maps/dir/?api=1&amp;origin=Gymnasium+Kirchheim,+Heimstettner+Str.+3,+85551+Kirchheim+bei+M&#252;nchen&amp;destination=48.268884106767885,11.66254056390037&amp;travelmode=car" TargetMode="External"/><Relationship Id="rId420" Type="http://schemas.openxmlformats.org/officeDocument/2006/relationships/hyperlink" Target="https://www.google.com/maps/dir/?api=1&amp;origin=Gymnasium+Kirchheim,+Heimstettner+Str.+3,+85551+Kirchheim+bei+M&#252;nchen&amp;destination=48.25188808394653,12.00886380508597&amp;travelmode=car" TargetMode="External"/><Relationship Id="rId1050" Type="http://schemas.openxmlformats.org/officeDocument/2006/relationships/hyperlink" Target="https://www.google.com/maps/dir/?api=1&amp;origin=Gymnasium+Kirchheim,+Heimstettner+Str.+3,+85551+Kirchheim+bei+M&#252;nchen&amp;destination=48.19756616872137,12.170471317116936&amp;travelmode=car" TargetMode="External"/><Relationship Id="rId2101" Type="http://schemas.openxmlformats.org/officeDocument/2006/relationships/hyperlink" Target="https://www.google.com/maps/dir/?api=1&amp;origin=Gymnasium+Kirchheim,+Heimstettner+Str.+3,+85551+Kirchheim+bei+M&#252;nchen&amp;destination=48.10696505389679,12.112755231783899&amp;travelmode=car" TargetMode="External"/><Relationship Id="rId1867" Type="http://schemas.openxmlformats.org/officeDocument/2006/relationships/hyperlink" Target="https://www.google.com/maps/dir/?api=1&amp;origin=Gymnasium+Kirchheim,+Heimstettner+Str.+3,+85551+Kirchheim+bei+M&#252;nchen&amp;destination=48.12532445906964,11.44319250119349&amp;travelmode=car" TargetMode="External"/><Relationship Id="rId2918" Type="http://schemas.openxmlformats.org/officeDocument/2006/relationships/hyperlink" Target="https://www.google.com/maps/dir/?api=1&amp;origin=Gymnasium+Kirchheim,+Heimstettner+Str.+3,+85551+Kirchheim+bei+M&#252;nchen&amp;destination=48.03435941399269,11.385468600664204&amp;travelmode=car" TargetMode="External"/><Relationship Id="rId1727" Type="http://schemas.openxmlformats.org/officeDocument/2006/relationships/hyperlink" Target="https://www.google.com/maps/dir/?api=1&amp;origin=Gymnasium+Kirchheim,+Heimstettner+Str.+3,+85551+Kirchheim+bei+M&#252;nchen&amp;destination=48.138982464235035,11.858793469207484&amp;travelmode=car" TargetMode="External"/><Relationship Id="rId1934" Type="http://schemas.openxmlformats.org/officeDocument/2006/relationships/hyperlink" Target="https://www.google.com/maps/dir/?api=1&amp;origin=Gymnasium+Kirchheim,+Heimstettner+Str.+3,+85551+Kirchheim+bei+M&#252;nchen&amp;destination=48.12129904797521,12.21664342242148&amp;travelmode=car" TargetMode="External"/><Relationship Id="rId3082" Type="http://schemas.openxmlformats.org/officeDocument/2006/relationships/hyperlink" Target="https://www.google.com/maps/dir/?api=1&amp;origin=Gymnasium+Kirchheim,+Heimstettner+Str.+3,+85551+Kirchheim+bei+M&#252;nchen&amp;destination=48.01928715852801,11.246930644367383&amp;travelmode=car" TargetMode="External"/><Relationship Id="rId19" Type="http://schemas.openxmlformats.org/officeDocument/2006/relationships/hyperlink" Target="https://www.google.com/maps/dir/?api=1&amp;origin=Gymnasium+Kirchheim,+Heimstettner+Str.+3,+85551+Kirchheim+bei+M&#252;nchen&amp;destination=48.28467505210205,11.44319250119349&amp;travelmode=car" TargetMode="External"/><Relationship Id="rId3" Type="http://schemas.openxmlformats.org/officeDocument/2006/relationships/hyperlink" Target="https://www.google.com/maps/dir/?api=1&amp;origin=Gymnasium+Kirchheim,+Heimstettner+Str.+3,+85551+Kirchheim+bei+M&#252;nchen&amp;destination=48.28486916932376,11.258475490819581&amp;travelmode=car" TargetMode="External"/><Relationship Id="rId887" Type="http://schemas.openxmlformats.org/officeDocument/2006/relationships/hyperlink" Target="https://www.google.com/maps/dir/?api=1&amp;origin=Gymnasium+Kirchheim,+Heimstettner+Str.+3,+85551+Kirchheim+bei+M&#252;nchen&amp;destination=48.208967136228026,11.304654858343824&amp;travelmode=car" TargetMode="External"/><Relationship Id="rId2568" Type="http://schemas.openxmlformats.org/officeDocument/2006/relationships/hyperlink" Target="https://www.google.com/maps/dir/?api=1&amp;origin=Gymnasium+Kirchheim,+Heimstettner+Str.+3,+85551+Kirchheim+bei+M&#252;nchen&amp;destination=48.06467839959142,11.408558185690326&amp;travelmode=car" TargetMode="External"/><Relationship Id="rId2775" Type="http://schemas.openxmlformats.org/officeDocument/2006/relationships/hyperlink" Target="https://www.google.com/maps/dir/?api=1&amp;origin=Gymnasium+Kirchheim,+Heimstettner+Str.+3,+85551+Kirchheim+bei+M&#252;nchen&amp;destination=48.04839177222601,11.766440028975659&amp;travelmode=car" TargetMode="External"/><Relationship Id="rId2982" Type="http://schemas.openxmlformats.org/officeDocument/2006/relationships/hyperlink" Target="https://www.google.com/maps/dir/?api=1&amp;origin=Gymnasium+Kirchheim,+Heimstettner+Str.+3,+85551+Kirchheim+bei+M&#252;nchen&amp;destination=48.030994856051606,12.12429853084091&amp;travelmode=car" TargetMode="External"/><Relationship Id="rId747" Type="http://schemas.openxmlformats.org/officeDocument/2006/relationships/hyperlink" Target="https://www.google.com/maps/dir/?api=1&amp;origin=Gymnasium+Kirchheim,+Heimstettner+Str.+3,+85551+Kirchheim+bei+M&#252;nchen&amp;destination=48.22312427870576,11.720262709205143&amp;travelmode=car" TargetMode="External"/><Relationship Id="rId954" Type="http://schemas.openxmlformats.org/officeDocument/2006/relationships/hyperlink" Target="https://www.google.com/maps/dir/?api=1&amp;origin=Gymnasium+Kirchheim,+Heimstettner+Str.+3,+85551+Kirchheim+bei+M&#252;nchen&amp;destination=48.20587061724693,12.078125096991752&amp;travelmode=car" TargetMode="External"/><Relationship Id="rId1377" Type="http://schemas.openxmlformats.org/officeDocument/2006/relationships/hyperlink" Target="https://www.google.com/maps/dir/?api=1&amp;origin=Gymnasium+Kirchheim,+Heimstettner+Str.+3,+85551+Kirchheim+bei+M&#252;nchen&amp;destination=48.169140849156356,11.893425553951282&amp;travelmode=car" TargetMode="External"/><Relationship Id="rId1584" Type="http://schemas.openxmlformats.org/officeDocument/2006/relationships/hyperlink" Target="https://www.google.com/maps/dir/?api=1&amp;origin=Gymnasium+Kirchheim,+Heimstettner+Str.+3,+85551+Kirchheim+bei+M&#252;nchen&amp;destination=48.15145166826815,12.239729209273484&amp;travelmode=car" TargetMode="External"/><Relationship Id="rId1791" Type="http://schemas.openxmlformats.org/officeDocument/2006/relationships/hyperlink" Target="https://www.google.com/maps/dir/?api=1&amp;origin=Gymnasium+Kirchheim,+Heimstettner+Str.+3,+85551+Kirchheim+bei+M&#252;nchen&amp;destination=48.13257287965498,11.581728752359444&amp;travelmode=car" TargetMode="External"/><Relationship Id="rId2428" Type="http://schemas.openxmlformats.org/officeDocument/2006/relationships/hyperlink" Target="https://www.google.com/maps/dir/?api=1&amp;origin=Gymnasium+Kirchheim,+Heimstettner+Str.+3,+85551+Kirchheim+bei+M&#252;nchen&amp;destination=48.07852011396245,11.81261696011681&amp;travelmode=car" TargetMode="External"/><Relationship Id="rId2635" Type="http://schemas.openxmlformats.org/officeDocument/2006/relationships/hyperlink" Target="https://www.google.com/maps/dir/?api=1&amp;origin=Gymnasium+Kirchheim,+Heimstettner+Str.+3,+85551+Kirchheim+bei+M&#252;nchen&amp;destination=48.06088520730923,12.182014408588692&amp;travelmode=car" TargetMode="External"/><Relationship Id="rId2842" Type="http://schemas.openxmlformats.org/officeDocument/2006/relationships/hyperlink" Target="https://www.google.com/maps/dir/?api=1&amp;origin=Gymnasium+Kirchheim,+Heimstettner+Str.+3,+85551+Kirchheim+bei+M&#252;nchen&amp;destination=48.04167716084781,11.524005541398747&amp;travelmode=car" TargetMode="External"/><Relationship Id="rId83" Type="http://schemas.openxmlformats.org/officeDocument/2006/relationships/hyperlink" Target="https://www.google.com/maps/dir/?api=1&amp;origin=Gymnasium+Kirchheim,+Heimstettner+Str.+3,+85551+Kirchheim+bei+M&#252;nchen&amp;destination=48.280844894225574,12.193557456977898&amp;travelmode=car" TargetMode="External"/><Relationship Id="rId607" Type="http://schemas.openxmlformats.org/officeDocument/2006/relationships/hyperlink" Target="https://www.google.com/maps/dir/?api=1&amp;origin=Gymnasium+Kirchheim,+Heimstettner+Str.+3,+85551+Kirchheim+bei+M&#252;nchen&amp;destination=48.235784071717895,12.135841789424584&amp;travelmode=car" TargetMode="External"/><Relationship Id="rId814" Type="http://schemas.openxmlformats.org/officeDocument/2006/relationships/hyperlink" Target="https://www.google.com/maps/dir/?api=1&amp;origin=Gymnasium+Kirchheim,+Heimstettner+Str.+3,+85551+Kirchheim+bei+M&#252;nchen&amp;destination=48.216312613449425,11.477826729716085&amp;travelmode=car" TargetMode="External"/><Relationship Id="rId1237" Type="http://schemas.openxmlformats.org/officeDocument/2006/relationships/hyperlink" Target="https://www.google.com/maps/dir/?api=1&amp;origin=Gymnasium+Kirchheim,+Heimstettner+Str.+3,+85551+Kirchheim+bei+M&#252;nchen&amp;destination=48.17862735239928,11.281565179283442&amp;travelmode=car" TargetMode="External"/><Relationship Id="rId1444" Type="http://schemas.openxmlformats.org/officeDocument/2006/relationships/hyperlink" Target="https://www.google.com/maps/dir/?api=1&amp;origin=Gymnasium+Kirchheim,+Heimstettner+Str.+3,+85551+Kirchheim+bei+M&#252;nchen&amp;destination=48.162734725235524,11.639451564999296&amp;travelmode=car" TargetMode="External"/><Relationship Id="rId1651" Type="http://schemas.openxmlformats.org/officeDocument/2006/relationships/hyperlink" Target="https://www.google.com/maps/dir/?api=1&amp;origin=Gymnasium+Kirchheim,+Heimstettner+Str.+3,+85551+Kirchheim+bei+M&#252;nchen&amp;destination=48.145654355258266,12.00886380508597&amp;travelmode=car" TargetMode="External"/><Relationship Id="rId2702" Type="http://schemas.openxmlformats.org/officeDocument/2006/relationships/hyperlink" Target="https://www.google.com/maps/dir/?api=1&amp;origin=Gymnasium+Kirchheim,+Heimstettner+Str.+3,+85551+Kirchheim+bei+M&#252;nchen&amp;destination=48.05511449031429,11.928057368395926&amp;travelmode=car" TargetMode="External"/><Relationship Id="rId1304" Type="http://schemas.openxmlformats.org/officeDocument/2006/relationships/hyperlink" Target="https://www.google.com/maps/dir/?api=1&amp;origin=Gymnasium+Kirchheim,+Heimstettner+Str.+3,+85551+Kirchheim+bei+M&#252;nchen&amp;destination=48.17568565280164,12.055038147665204&amp;travelmode=car" TargetMode="External"/><Relationship Id="rId1511" Type="http://schemas.openxmlformats.org/officeDocument/2006/relationships/hyperlink" Target="https://www.google.com/maps/dir/?api=1&amp;origin=Gymnasium+Kirchheim,+Heimstettner+Str.+3,+85551+Kirchheim+bei+M&#252;nchen&amp;destination=48.15573588132422,11.408558185690326&amp;travelmode=car" TargetMode="External"/><Relationship Id="rId3269" Type="http://schemas.openxmlformats.org/officeDocument/2006/relationships/hyperlink" Target="https://www.google.com/maps/dir/?api=1&amp;origin=Gymnasium+Kirchheim,+Heimstettner+Str.+3,+85551+Kirchheim+bei+M&#252;nchen&amp;destination=48.004021941058305,11.373923797311125&amp;travelmode=car" TargetMode="External"/><Relationship Id="rId3476" Type="http://schemas.openxmlformats.org/officeDocument/2006/relationships/hyperlink" Target="https://www.google.com/maps/dir/?api=1&amp;origin=Gymnasium+Kirchheim,+Heimstettner+Str.+3,+85551+Kirchheim+bei+M&#252;nchen&amp;destination=47.987842767321666,11.731807073753979&amp;travelmode=car" TargetMode="External"/><Relationship Id="rId10" Type="http://schemas.openxmlformats.org/officeDocument/2006/relationships/hyperlink" Target="https://www.google.com/maps/dir/?api=1&amp;origin=Gymnasium+Kirchheim,+Heimstettner+Str.+3,+85551+Kirchheim+bei+M&#252;nchen&amp;destination=48.28482063993084,11.339289350160644&amp;travelmode=car" TargetMode="External"/><Relationship Id="rId397" Type="http://schemas.openxmlformats.org/officeDocument/2006/relationships/hyperlink" Target="https://www.google.com/maps/dir/?api=1&amp;origin=Gymnasium+Kirchheim,+Heimstettner+Str.+3,+85551+Kirchheim+bei+M&#252;nchen&amp;destination=48.25337625009933,11.743351415580166&amp;travelmode=car" TargetMode="External"/><Relationship Id="rId2078" Type="http://schemas.openxmlformats.org/officeDocument/2006/relationships/hyperlink" Target="https://www.google.com/maps/dir/?api=1&amp;origin=Gymnasium+Kirchheim,+Heimstettner+Str.+3,+85551+Kirchheim+bei+M&#252;nchen&amp;destination=48.10869236269752,11.847249383329679&amp;travelmode=car" TargetMode="External"/><Relationship Id="rId2285" Type="http://schemas.openxmlformats.org/officeDocument/2006/relationships/hyperlink" Target="https://www.google.com/maps/dir/?api=1&amp;origin=Gymnasium+Kirchheim,+Heimstettner+Str.+3,+85551+Kirchheim+bei+M&#252;nchen&amp;destination=48.091044758227476,12.205100461762754&amp;travelmode=car" TargetMode="External"/><Relationship Id="rId2492" Type="http://schemas.openxmlformats.org/officeDocument/2006/relationships/hyperlink" Target="https://www.google.com/maps/dir/?api=1&amp;origin=Gymnasium+Kirchheim,+Heimstettner+Str.+3,+85551+Kirchheim+bei+M&#252;nchen&amp;destination=48.07196841586067,11.547094869402834&amp;travelmode=car" TargetMode="External"/><Relationship Id="rId3129" Type="http://schemas.openxmlformats.org/officeDocument/2006/relationships/hyperlink" Target="https://www.google.com/maps/dir/?api=1&amp;origin=Gymnasium+Kirchheim,+Heimstettner+Str.+3,+85551+Kirchheim+bei+M&#252;nchen&amp;destination=48.01787289720054,11.801072765593279&amp;travelmode=car" TargetMode="External"/><Relationship Id="rId3336" Type="http://schemas.openxmlformats.org/officeDocument/2006/relationships/hyperlink" Target="https://www.google.com/maps/dir/?api=1&amp;origin=Gymnasium+Kirchheim,+Heimstettner+Str.+3,+85551+Kirchheim+bei+M&#252;nchen&amp;destination=48.00046097051867,12.147385007013046&amp;travelmode=car" TargetMode="External"/><Relationship Id="rId257" Type="http://schemas.openxmlformats.org/officeDocument/2006/relationships/hyperlink" Target="https://www.google.com/maps/dir/?api=1&amp;origin=Gymnasium+Kirchheim,+Heimstettner+Str.+3,+85551+Kirchheim+bei+M&#252;nchen&amp;destination=48.265952863700754,12.158928183084447&amp;travelmode=car" TargetMode="External"/><Relationship Id="rId464" Type="http://schemas.openxmlformats.org/officeDocument/2006/relationships/hyperlink" Target="https://www.google.com/maps/dir/?api=1&amp;origin=Gymnasium+Kirchheim,+Heimstettner+Str.+3,+85551+Kirchheim+bei+M&#252;nchen&amp;destination=48.246613111923715,11.500916160110199&amp;travelmode=car" TargetMode="External"/><Relationship Id="rId1094" Type="http://schemas.openxmlformats.org/officeDocument/2006/relationships/hyperlink" Target="https://www.google.com/maps/dir/?api=1&amp;origin=Gymnasium+Kirchheim,+Heimstettner+Str.+3,+85551+Kirchheim+bei+M&#252;nchen&amp;destination=48.193002871990544,11.66254056390037&amp;travelmode=car" TargetMode="External"/><Relationship Id="rId2145" Type="http://schemas.openxmlformats.org/officeDocument/2006/relationships/hyperlink" Target="https://www.google.com/maps/dir/?api=1&amp;origin=Gymnasium+Kirchheim,+Heimstettner+Str.+3,+85551+Kirchheim+bei+M&#252;nchen&amp;destination=48.10214759263893,11.604817928870196&amp;travelmode=car" TargetMode="External"/><Relationship Id="rId3543" Type="http://schemas.openxmlformats.org/officeDocument/2006/relationships/hyperlink" Target="https://www.google.com/maps/dir/?api=1&amp;origin=Gymnasium+Kirchheim,+Heimstettner+Str.+3,+85551+Kirchheim+bei+M&#252;nchen&amp;destination=47.981028790203034,11.500916160110199&amp;travelmode=car" TargetMode="External"/><Relationship Id="rId117" Type="http://schemas.openxmlformats.org/officeDocument/2006/relationships/hyperlink" Target="https://www.google.com/maps/dir/?api=1&amp;origin=Gymnasium+Kirchheim,+Heimstettner+Str.+3,+85551+Kirchheim+bei+M&#252;nchen&amp;destination=48.27681539717158,11.55863951211732&amp;travelmode=car" TargetMode="External"/><Relationship Id="rId671" Type="http://schemas.openxmlformats.org/officeDocument/2006/relationships/hyperlink" Target="https://www.google.com/maps/dir/?api=1&amp;origin=Gymnasium+Kirchheim,+Heimstettner+Str.+3,+85551+Kirchheim+bei+M&#252;nchen&amp;destination=48.23003994596784,11.858793469207484&amp;travelmode=car" TargetMode="External"/><Relationship Id="rId2352" Type="http://schemas.openxmlformats.org/officeDocument/2006/relationships/hyperlink" Target="https://www.google.com/maps/dir/?api=1&amp;origin=Gymnasium+Kirchheim,+Heimstettner+Str.+3,+85551+Kirchheim+bei+M&#252;nchen&amp;destination=48.08532487002643,11.95114508756474&amp;travelmode=car" TargetMode="External"/><Relationship Id="rId3403" Type="http://schemas.openxmlformats.org/officeDocument/2006/relationships/hyperlink" Target="https://www.google.com/maps/dir/?api=1&amp;origin=Gymnasium+Kirchheim,+Heimstettner+Str.+3,+85551+Kirchheim+bei+M&#252;nchen&amp;destination=47.99454699556731,11.90496952282889&amp;travelmode=car" TargetMode="External"/><Relationship Id="rId324" Type="http://schemas.openxmlformats.org/officeDocument/2006/relationships/hyperlink" Target="https://www.google.com/maps/dir/?api=1&amp;origin=Gymnasium+Kirchheim,+Heimstettner+Str.+3,+85551+Kirchheim+bei+M&#252;nchen&amp;destination=48.260063148394025,11.916513461151142&amp;travelmode=car" TargetMode="External"/><Relationship Id="rId531" Type="http://schemas.openxmlformats.org/officeDocument/2006/relationships/hyperlink" Target="https://www.google.com/maps/dir/?api=1&amp;origin=Gymnasium+Kirchheim,+Heimstettner+Str.+3,+85551+Kirchheim+bei+M&#252;nchen&amp;destination=48.239336962070205,11.27002033596574&amp;travelmode=car" TargetMode="External"/><Relationship Id="rId1161" Type="http://schemas.openxmlformats.org/officeDocument/2006/relationships/hyperlink" Target="https://www.google.com/maps/dir/?api=1&amp;origin=Gymnasium+Kirchheim,+Heimstettner+Str.+3,+85551+Kirchheim+bei+M&#252;nchen&amp;destination=48.1860698879024,11.420102966318577&amp;travelmode=car" TargetMode="External"/><Relationship Id="rId2005" Type="http://schemas.openxmlformats.org/officeDocument/2006/relationships/hyperlink" Target="https://www.google.com/maps/dir/?api=1&amp;origin=Gymnasium+Kirchheim,+Heimstettner+Str.+3,+85551+Kirchheim+bei+M&#252;nchen&amp;destination=48.11522329509333,12.02040744491661&amp;travelmode=car" TargetMode="External"/><Relationship Id="rId2212" Type="http://schemas.openxmlformats.org/officeDocument/2006/relationships/hyperlink" Target="https://www.google.com/maps/dir/?api=1&amp;origin=Gymnasium+Kirchheim,+Heimstettner+Str.+3,+85551+Kirchheim+bei+M&#252;nchen&amp;destination=48.09509328831292,11.362378987427904&amp;travelmode=car" TargetMode="External"/><Relationship Id="rId1021" Type="http://schemas.openxmlformats.org/officeDocument/2006/relationships/hyperlink" Target="https://www.google.com/maps/dir/?api=1&amp;origin=Gymnasium+Kirchheim,+Heimstettner+Str.+3,+85551+Kirchheim+bei+M&#252;nchen&amp;destination=48.19981108148317,11.835705269507187&amp;travelmode=car" TargetMode="External"/><Relationship Id="rId1978" Type="http://schemas.openxmlformats.org/officeDocument/2006/relationships/hyperlink" Target="https://www.google.com/maps/dir/?api=1&amp;origin=Gymnasium+Kirchheim,+Heimstettner+Str.+3,+85551+Kirchheim+bei+M&#252;nchen&amp;destination=48.11693907821888,11.708718322455919&amp;travelmode=car" TargetMode="External"/><Relationship Id="rId3193" Type="http://schemas.openxmlformats.org/officeDocument/2006/relationships/hyperlink" Target="https://www.google.com/maps/dir/?api=1&amp;origin=Gymnasium+Kirchheim,+Heimstettner+Str.+3,+85551+Kirchheim+bei+M&#252;nchen&amp;destination=48.011353553241804,11.512460857153851&amp;travelmode=car" TargetMode="External"/><Relationship Id="rId1838" Type="http://schemas.openxmlformats.org/officeDocument/2006/relationships/hyperlink" Target="https://www.google.com/maps/dir/?api=1&amp;origin=Gymnasium+Kirchheim,+Heimstettner+Str.+3,+85551+Kirchheim+bei+M&#252;nchen&amp;destination=48.12964046126214,12.12429853084091&amp;travelmode=car" TargetMode="External"/><Relationship Id="rId3053" Type="http://schemas.openxmlformats.org/officeDocument/2006/relationships/hyperlink" Target="https://www.google.com/maps/dir/?api=1&amp;origin=Gymnasium+Kirchheim,+Heimstettner+Str.+3,+85551+Kirchheim+bei+M&#252;nchen&amp;destination=48.024761996403356,11.928057368395926&amp;travelmode=car" TargetMode="External"/><Relationship Id="rId3260" Type="http://schemas.openxmlformats.org/officeDocument/2006/relationships/hyperlink" Target="https://www.google.com/maps/dir/?api=1&amp;origin=Gymnasium+Kirchheim,+Heimstettner+Str.+3,+85551+Kirchheim+bei+M&#252;nchen&amp;destination=48.00410860064761,11.258475490819581&amp;travelmode=car" TargetMode="External"/><Relationship Id="rId181" Type="http://schemas.openxmlformats.org/officeDocument/2006/relationships/hyperlink" Target="https://www.google.com/maps/dir/?api=1&amp;origin=Gymnasium+Kirchheim,+Heimstettner+Str.+3,+85551+Kirchheim+bei+M&#252;nchen&amp;destination=48.26968483413208,11.281565179283442&amp;travelmode=car" TargetMode="External"/><Relationship Id="rId1905" Type="http://schemas.openxmlformats.org/officeDocument/2006/relationships/hyperlink" Target="https://www.google.com/maps/dir/?api=1&amp;origin=Gymnasium+Kirchheim,+Heimstettner+Str.+3,+85551+Kirchheim+bei+M&#252;nchen&amp;destination=48.123677966592545,11.881881555040426&amp;travelmode=car" TargetMode="External"/><Relationship Id="rId3120" Type="http://schemas.openxmlformats.org/officeDocument/2006/relationships/hyperlink" Target="https://www.google.com/maps/dir/?api=1&amp;origin=Gymnasium+Kirchheim,+Heimstettner+Str.+3,+85551+Kirchheim+bei+M&#252;nchen&amp;destination=48.01838706327574,11.685629484445332&amp;travelmode=car" TargetMode="External"/><Relationship Id="rId998" Type="http://schemas.openxmlformats.org/officeDocument/2006/relationships/hyperlink" Target="https://www.google.com/maps/dir/?api=1&amp;origin=Gymnasium+Kirchheim,+Heimstettner+Str.+3,+85551+Kirchheim+bei+M&#252;nchen&amp;destination=48.200900654384085,11.570184139943638&amp;travelmode=car" TargetMode="External"/><Relationship Id="rId2679" Type="http://schemas.openxmlformats.org/officeDocument/2006/relationships/hyperlink" Target="https://www.google.com/maps/dir/?api=1&amp;origin=Gymnasium+Kirchheim,+Heimstettner+Str.+3,+85551+Kirchheim+bei+M&#252;nchen&amp;destination=48.056372742722374,11.67408503422851&amp;travelmode=car" TargetMode="External"/><Relationship Id="rId2886" Type="http://schemas.openxmlformats.org/officeDocument/2006/relationships/hyperlink" Target="https://www.google.com/maps/dir/?api=1&amp;origin=Gymnasium+Kirchheim,+Heimstettner+Str.+3,+85551+Kirchheim+bei+M&#252;nchen&amp;destination=48.03926233883215,12.031951048971356&amp;travelmode=car" TargetMode="External"/><Relationship Id="rId858" Type="http://schemas.openxmlformats.org/officeDocument/2006/relationships/hyperlink" Target="https://www.google.com/maps/dir/?api=1&amp;origin=Gymnasium+Kirchheim,+Heimstettner+Str.+3,+85551+Kirchheim+bei+M&#252;nchen&amp;destination=48.21410113334953,11.985776420185003&amp;travelmode=car" TargetMode="External"/><Relationship Id="rId1488" Type="http://schemas.openxmlformats.org/officeDocument/2006/relationships/hyperlink" Target="https://www.google.com/maps/dir/?api=1&amp;origin=Gymnasium+Kirchheim,+Heimstettner+Str.+3,+85551+Kirchheim+bei+M&#252;nchen&amp;destination=48.159811563551074,12.147385007013046&amp;travelmode=car" TargetMode="External"/><Relationship Id="rId1695" Type="http://schemas.openxmlformats.org/officeDocument/2006/relationships/hyperlink" Target="https://www.google.com/maps/dir/?api=1&amp;origin=Gymnasium+Kirchheim,+Heimstettner+Str.+3,+85551+Kirchheim+bei+M&#252;nchen&amp;destination=48.140405958672474,11.489371450790154&amp;travelmode=car" TargetMode="External"/><Relationship Id="rId2539" Type="http://schemas.openxmlformats.org/officeDocument/2006/relationships/hyperlink" Target="https://www.google.com/maps/dir/?api=1&amp;origin=Gymnasium+Kirchheim,+Heimstettner+Str.+3,+85551+Kirchheim+bei+M&#252;nchen&amp;destination=48.06919889711934,12.089668514337413&amp;travelmode=car" TargetMode="External"/><Relationship Id="rId2746" Type="http://schemas.openxmlformats.org/officeDocument/2006/relationships/hyperlink" Target="https://www.google.com/maps/dir/?api=1&amp;origin=Gymnasium+Kirchheim,+Heimstettner+Str.+3,+85551+Kirchheim+bei+M&#252;nchen&amp;destination=48.04946402252143,11.431647738327094&amp;travelmode=car" TargetMode="External"/><Relationship Id="rId2953" Type="http://schemas.openxmlformats.org/officeDocument/2006/relationships/hyperlink" Target="https://www.google.com/maps/dir/?api=1&amp;origin=Gymnasium+Kirchheim,+Heimstettner+Str.+3,+85551+Kirchheim+bei+M&#252;nchen&amp;destination=48.03310575987497,11.789528545213775&amp;travelmode=car" TargetMode="External"/><Relationship Id="rId718" Type="http://schemas.openxmlformats.org/officeDocument/2006/relationships/hyperlink" Target="https://www.google.com/maps/dir/?api=1&amp;origin=Gymnasium+Kirchheim,+Heimstettner+Str.+3,+85551+Kirchheim+bei+M&#252;nchen&amp;destination=48.22406250093603,11.385468600664204&amp;travelmode=car" TargetMode="External"/><Relationship Id="rId925" Type="http://schemas.openxmlformats.org/officeDocument/2006/relationships/hyperlink" Target="https://www.google.com/maps/dir/?api=1&amp;origin=Gymnasium+Kirchheim,+Heimstettner+Str.+3,+85551+Kirchheim+bei+M&#252;nchen&amp;destination=48.20784750923293,11.743351415580166&amp;travelmode=car" TargetMode="External"/><Relationship Id="rId1348" Type="http://schemas.openxmlformats.org/officeDocument/2006/relationships/hyperlink" Target="https://www.google.com/maps/dir/?api=1&amp;origin=Gymnasium+Kirchheim,+Heimstettner+Str.+3,+85551+Kirchheim+bei+M&#252;nchen&amp;destination=48.1706140210712,11.547094869402834&amp;travelmode=car" TargetMode="External"/><Relationship Id="rId1555" Type="http://schemas.openxmlformats.org/officeDocument/2006/relationships/hyperlink" Target="https://www.google.com/maps/dir/?api=1&amp;origin=Gymnasium+Kirchheim,+Heimstettner+Str.+3,+85551+Kirchheim+bei+M&#252;nchen&amp;destination=48.15389758859972,11.90496952282889&amp;travelmode=car" TargetMode="External"/><Relationship Id="rId1762" Type="http://schemas.openxmlformats.org/officeDocument/2006/relationships/hyperlink" Target="https://www.google.com/maps/dir/?api=1&amp;origin=Gymnasium+Kirchheim,+Heimstettner+Str.+3,+85551+Kirchheim+bei+M&#252;nchen&amp;destination=48.13310901069401,11.246930644367383&amp;travelmode=car" TargetMode="External"/><Relationship Id="rId2606" Type="http://schemas.openxmlformats.org/officeDocument/2006/relationships/hyperlink" Target="https://www.google.com/maps/dir/?api=1&amp;origin=Gymnasium+Kirchheim,+Heimstettner+Str.+3,+85551+Kirchheim+bei+M&#252;nchen&amp;destination=48.063224858883956,11.835705269507187&amp;travelmode=car" TargetMode="External"/><Relationship Id="rId1208" Type="http://schemas.openxmlformats.org/officeDocument/2006/relationships/hyperlink" Target="https://www.google.com/maps/dir/?api=1&amp;origin=Gymnasium+Kirchheim,+Heimstettner+Str.+3,+85551+Kirchheim+bei+M&#252;nchen&amp;destination=48.18389768523128,11.962688898444616&amp;travelmode=car" TargetMode="External"/><Relationship Id="rId1415" Type="http://schemas.openxmlformats.org/officeDocument/2006/relationships/hyperlink" Target="https://www.google.com/maps/dir/?api=1&amp;origin=Gymnasium+Kirchheim,+Heimstettner+Str.+3,+85551+Kirchheim+bei+M&#252;nchen&amp;destination=48.16343839536162,11.304654858343824&amp;travelmode=car" TargetMode="External"/><Relationship Id="rId2813" Type="http://schemas.openxmlformats.org/officeDocument/2006/relationships/hyperlink" Target="https://www.google.com/maps/dir/?api=1&amp;origin=Gymnasium+Kirchheim,+Heimstettner+Str.+3,+85551+Kirchheim+bei+M&#252;nchen&amp;destination=48.04541781319787,12.21664342242148&amp;travelmode=car" TargetMode="External"/><Relationship Id="rId54" Type="http://schemas.openxmlformats.org/officeDocument/2006/relationships/hyperlink" Target="https://www.google.com/maps/dir/?api=1&amp;origin=Gymnasium+Kirchheim,+Heimstettner+Str.+3,+85551+Kirchheim+bei+M&#252;nchen&amp;destination=48.283219202685395,11.847249383329679&amp;travelmode=car" TargetMode="External"/><Relationship Id="rId1622" Type="http://schemas.openxmlformats.org/officeDocument/2006/relationships/hyperlink" Target="https://www.google.com/maps/dir/?api=1&amp;origin=Gymnasium+Kirchheim,+Heimstettner+Str.+3,+85551+Kirchheim+bei+M&#252;nchen&amp;destination=48.14747413112415,11.66254056390037&amp;travelmode=car" TargetMode="External"/><Relationship Id="rId2189" Type="http://schemas.openxmlformats.org/officeDocument/2006/relationships/hyperlink" Target="https://www.google.com/maps/dir/?api=1&amp;origin=Gymnasium+Kirchheim,+Heimstettner+Str.+3,+85551+Kirchheim+bei+M&#252;nchen&amp;destination=48.09928796735121,12.12429853084091&amp;travelmode=car" TargetMode="External"/><Relationship Id="rId3587" Type="http://schemas.openxmlformats.org/officeDocument/2006/relationships/hyperlink" Target="https://www.google.com/maps/dir/?api=1&amp;origin=Gymnasium+Kirchheim,+Heimstettner+Str.+3,+85551+Kirchheim+bei+M&#252;nchen&amp;destination=47.97879304976557,11.997320130001427&amp;travelmode=car" TargetMode="External"/><Relationship Id="rId2396" Type="http://schemas.openxmlformats.org/officeDocument/2006/relationships/hyperlink" Target="https://www.google.com/maps/dir/?api=1&amp;origin=Gymnasium+Kirchheim,+Heimstettner+Str.+3,+85551+Kirchheim+bei+M&#252;nchen&amp;destination=48.07979571820323,11.44319250119349&amp;travelmode=car" TargetMode="External"/><Relationship Id="rId3447" Type="http://schemas.openxmlformats.org/officeDocument/2006/relationships/hyperlink" Target="https://www.google.com/maps/dir/?api=1&amp;origin=Gymnasium+Kirchheim,+Heimstettner+Str.+3,+85551+Kirchheim+bei+M&#252;nchen&amp;destination=47.988814496696236,11.397013396964736&amp;travelmode=car" TargetMode="External"/><Relationship Id="rId368" Type="http://schemas.openxmlformats.org/officeDocument/2006/relationships/hyperlink" Target="https://www.google.com/maps/dir/?api=1&amp;origin=Gymnasium+Kirchheim,+Heimstettner+Str.+3,+85551+Kirchheim+bei+M&#252;nchen&amp;destination=48.25438148653476,11.408558185690326&amp;travelmode=car" TargetMode="External"/><Relationship Id="rId575" Type="http://schemas.openxmlformats.org/officeDocument/2006/relationships/hyperlink" Target="https://www.google.com/maps/dir/?api=1&amp;origin=Gymnasium+Kirchheim,+Heimstettner+Str.+3,+85551+Kirchheim+bei+M&#252;nchen&amp;destination=48.238040554146885,11.777984299500497&amp;travelmode=car" TargetMode="External"/><Relationship Id="rId782" Type="http://schemas.openxmlformats.org/officeDocument/2006/relationships/hyperlink" Target="https://www.google.com/maps/dir/?api=1&amp;origin=Gymnasium+Kirchheim,+Heimstettner+Str.+3,+85551+Kirchheim+bei+M&#252;nchen&amp;destination=48.220697942994946,12.12429853084091&amp;travelmode=car" TargetMode="External"/><Relationship Id="rId2049" Type="http://schemas.openxmlformats.org/officeDocument/2006/relationships/hyperlink" Target="https://www.google.com/maps/dir/?api=1&amp;origin=Gymnasium+Kirchheim,+Heimstettner+Str.+3,+85551+Kirchheim+bei+M&#252;nchen&amp;destination=48.10999915845234,11.512460857153851&amp;travelmode=car" TargetMode="External"/><Relationship Id="rId2256" Type="http://schemas.openxmlformats.org/officeDocument/2006/relationships/hyperlink" Target="https://www.google.com/maps/dir/?api=1&amp;origin=Gymnasium+Kirchheim,+Heimstettner+Str.+3,+85551+Kirchheim+bei+M&#252;nchen&amp;destination=48.093390175680014,11.870337526618448&amp;travelmode=car" TargetMode="External"/><Relationship Id="rId2463" Type="http://schemas.openxmlformats.org/officeDocument/2006/relationships/hyperlink" Target="https://www.google.com/maps/dir/?api=1&amp;origin=Gymnasium+Kirchheim,+Heimstettner+Str.+3,+85551+Kirchheim+bei+M&#252;nchen&amp;destination=48.07557043349081,12.239729209273484&amp;travelmode=car" TargetMode="External"/><Relationship Id="rId2670" Type="http://schemas.openxmlformats.org/officeDocument/2006/relationships/hyperlink" Target="https://www.google.com/maps/dir/?api=1&amp;origin=Gymnasium+Kirchheim,+Heimstettner+Str.+3,+85551+Kirchheim+bei+M&#252;nchen&amp;destination=48.05672630830714,11.570184139943638&amp;travelmode=car" TargetMode="External"/><Relationship Id="rId3307" Type="http://schemas.openxmlformats.org/officeDocument/2006/relationships/hyperlink" Target="https://www.google.com/maps/dir/?api=1&amp;origin=Gymnasium+Kirchheim,+Heimstettner+Str.+3,+85551+Kirchheim+bei+M&#252;nchen&amp;destination=48.00263887918511,11.81261696011681&amp;travelmode=car" TargetMode="External"/><Relationship Id="rId3514" Type="http://schemas.openxmlformats.org/officeDocument/2006/relationships/hyperlink" Target="https://www.google.com/maps/dir/?api=1&amp;origin=Gymnasium+Kirchheim,+Heimstettner+Str.+3,+85551+Kirchheim+bei+M&#252;nchen&amp;destination=47.98509871134484,12.170471317116936&amp;travelmode=car" TargetMode="External"/><Relationship Id="rId228" Type="http://schemas.openxmlformats.org/officeDocument/2006/relationships/hyperlink" Target="https://www.google.com/maps/dir/?api=1&amp;origin=Gymnasium+Kirchheim,+Heimstettner+Str.+3,+85551+Kirchheim+bei+M&#252;nchen&amp;destination=48.268223200905794,11.81261696011681&amp;travelmode=car" TargetMode="External"/><Relationship Id="rId435" Type="http://schemas.openxmlformats.org/officeDocument/2006/relationships/hyperlink" Target="https://www.google.com/maps/dir/?api=1&amp;origin=Gymnasium+Kirchheim,+Heimstettner+Str.+3,+85551+Kirchheim+bei+M&#252;nchen&amp;destination=48.25058829425258,12.182014408588692&amp;travelmode=car" TargetMode="External"/><Relationship Id="rId642" Type="http://schemas.openxmlformats.org/officeDocument/2006/relationships/hyperlink" Target="https://www.google.com/maps/dir/?api=1&amp;origin=Gymnasium+Kirchheim,+Heimstettner+Str.+3,+85551+Kirchheim+bei+M&#252;nchen&amp;destination=48.23138024779116,11.524005541398747&amp;travelmode=car" TargetMode="External"/><Relationship Id="rId1065" Type="http://schemas.openxmlformats.org/officeDocument/2006/relationships/hyperlink" Target="https://www.google.com/maps/dir/?api=1&amp;origin=Gymnasium+Kirchheim,+Heimstettner+Str.+3,+85551+Kirchheim+bei+M&#252;nchen&amp;destination=48.19377355734875,11.327744523821421&amp;travelmode=car" TargetMode="External"/><Relationship Id="rId1272" Type="http://schemas.openxmlformats.org/officeDocument/2006/relationships/hyperlink" Target="https://www.google.com/maps/dir/?api=1&amp;origin=Gymnasium+Kirchheim,+Heimstettner+Str.+3,+85551+Kirchheim+bei+M&#252;nchen&amp;destination=48.17773765630813,11.685629484445332&amp;travelmode=car" TargetMode="External"/><Relationship Id="rId2116" Type="http://schemas.openxmlformats.org/officeDocument/2006/relationships/hyperlink" Target="https://www.google.com/maps/dir/?api=1&amp;origin=Gymnasium+Kirchheim,+Heimstettner+Str.+3,+85551+Kirchheim+bei+M&#252;nchen&amp;destination=48.102750739471006,11.27002033596574&amp;travelmode=car" TargetMode="External"/><Relationship Id="rId2323" Type="http://schemas.openxmlformats.org/officeDocument/2006/relationships/hyperlink" Target="https://www.google.com/maps/dir/?api=1&amp;origin=Gymnasium+Kirchheim,+Heimstettner+Str.+3,+85551+Kirchheim+bei+M&#252;nchen&amp;destination=48.0868939309379,11.627907037470955&amp;travelmode=car" TargetMode="External"/><Relationship Id="rId2530" Type="http://schemas.openxmlformats.org/officeDocument/2006/relationships/hyperlink" Target="https://www.google.com/maps/dir/?api=1&amp;origin=Gymnasium+Kirchheim,+Heimstettner+Str.+3,+85551+Kirchheim+bei+M&#252;nchen&amp;destination=48.069926787272585,11.985776420185003&amp;travelmode=car" TargetMode="External"/><Relationship Id="rId502" Type="http://schemas.openxmlformats.org/officeDocument/2006/relationships/hyperlink" Target="https://www.google.com/maps/dir/?api=1&amp;origin=Gymnasium+Kirchheim,+Heimstettner+Str.+3,+85551+Kirchheim+bei+M&#252;nchen&amp;destination=48.244747097795724,11.939601244041153&amp;travelmode=car" TargetMode="External"/><Relationship Id="rId1132" Type="http://schemas.openxmlformats.org/officeDocument/2006/relationships/hyperlink" Target="https://www.google.com/maps/dir/?api=1&amp;origin=Gymnasium+Kirchheim,+Heimstettner+Str.+3,+85551+Kirchheim+bei+M&#252;nchen&amp;destination=48.1905222200474,12.101211892775435&amp;travelmode=car" TargetMode="External"/><Relationship Id="rId3097" Type="http://schemas.openxmlformats.org/officeDocument/2006/relationships/hyperlink" Target="https://www.google.com/maps/dir/?api=1&amp;origin=Gymnasium+Kirchheim,+Heimstettner+Str.+3,+85551+Kirchheim+bei+M&#252;nchen&amp;destination=48.01913117139227,11.420102966318577&amp;travelmode=car" TargetMode="External"/><Relationship Id="rId1949" Type="http://schemas.openxmlformats.org/officeDocument/2006/relationships/hyperlink" Target="https://www.google.com/maps/dir/?api=1&amp;origin=Gymnasium+Kirchheim,+Heimstettner+Str.+3,+85551+Kirchheim+bei+M&#252;nchen&amp;destination=48.11784379322433,11.373923797311125&amp;travelmode=car" TargetMode="External"/><Relationship Id="rId3164" Type="http://schemas.openxmlformats.org/officeDocument/2006/relationships/hyperlink" Target="https://www.google.com/maps/dir/?api=1&amp;origin=Gymnasium+Kirchheim,+Heimstettner+Str.+3,+85551+Kirchheim+bei+M&#252;nchen&amp;destination=48.0152605725049,12.193557456977898&amp;travelmode=car" TargetMode="External"/><Relationship Id="rId292" Type="http://schemas.openxmlformats.org/officeDocument/2006/relationships/hyperlink" Target="https://www.google.com/maps/dir/?api=1&amp;origin=Gymnasium+Kirchheim,+Heimstettner+Str.+3,+85551+Kirchheim+bei+M&#252;nchen&amp;destination=48.26167150280402,11.547094869402834&amp;travelmode=car" TargetMode="External"/><Relationship Id="rId1809" Type="http://schemas.openxmlformats.org/officeDocument/2006/relationships/hyperlink" Target="https://www.google.com/maps/dir/?api=1&amp;origin=Gymnasium+Kirchheim,+Heimstettner+Str.+3,+85551+Kirchheim+bei+M&#252;nchen&amp;destination=48.1317513650855,11.789528545213775&amp;travelmode=car" TargetMode="External"/><Relationship Id="rId3371" Type="http://schemas.openxmlformats.org/officeDocument/2006/relationships/hyperlink" Target="https://www.google.com/maps/dir/?api=1&amp;origin=Gymnasium+Kirchheim,+Heimstettner+Str.+3,+85551+Kirchheim+bei+M&#252;nchen&amp;destination=47.99611837824624,11.535550212322528&amp;travelmode=car" TargetMode="External"/><Relationship Id="rId2180" Type="http://schemas.openxmlformats.org/officeDocument/2006/relationships/hyperlink" Target="https://www.google.com/maps/dir/?api=1&amp;origin=Gymnasium+Kirchheim,+Heimstettner+Str.+3,+85551+Kirchheim+bei+M&#252;nchen&amp;destination=48.10020302540931,11.997320130001427&amp;travelmode=car" TargetMode="External"/><Relationship Id="rId3024" Type="http://schemas.openxmlformats.org/officeDocument/2006/relationships/hyperlink" Target="https://www.google.com/maps/dir/?api=1&amp;origin=Gymnasium+Kirchheim,+Heimstettner+Str.+3,+85551+Kirchheim+bei+M&#252;nchen&amp;destination=48.026303332120804,11.593273348842407&amp;travelmode=car" TargetMode="External"/><Relationship Id="rId3231" Type="http://schemas.openxmlformats.org/officeDocument/2006/relationships/hyperlink" Target="https://www.google.com/maps/dir/?api=1&amp;origin=Gymnasium+Kirchheim,+Heimstettner+Str.+3,+85551+Kirchheim+bei+M&#252;nchen&amp;destination=48.0093708452434,11.962688898444616&amp;travelmode=car" TargetMode="External"/><Relationship Id="rId152" Type="http://schemas.openxmlformats.org/officeDocument/2006/relationships/hyperlink" Target="https://www.google.com/maps/dir/?api=1&amp;origin=Gymnasium+Kirchheim,+Heimstettner+Str.+3,+85551+Kirchheim+bei+M&#252;nchen&amp;destination=48.27495516696409,11.962688898444616&amp;travelmode=car" TargetMode="External"/><Relationship Id="rId2040" Type="http://schemas.openxmlformats.org/officeDocument/2006/relationships/hyperlink" Target="https://www.google.com/maps/dir/?api=1&amp;origin=Gymnasium+Kirchheim,+Heimstettner+Str.+3,+85551+Kirchheim+bei+M&#252;nchen&amp;destination=48.11022447233998,11.397013396964736&amp;travelmode=car" TargetMode="External"/><Relationship Id="rId2997" Type="http://schemas.openxmlformats.org/officeDocument/2006/relationships/hyperlink" Target="https://www.google.com/maps/dir/?api=1&amp;origin=Gymnasium+Kirchheim,+Heimstettner+Str.+3,+85551+Kirchheim+bei+M&#252;nchen&amp;destination=48.026864882844606,11.281565179283442&amp;travelmode=car" TargetMode="External"/><Relationship Id="rId969" Type="http://schemas.openxmlformats.org/officeDocument/2006/relationships/hyperlink" Target="https://www.google.com/maps/dir/?api=1&amp;origin=Gymnasium+Kirchheim,+Heimstettner+Str.+3,+85551+Kirchheim+bei+M&#252;nchen&amp;destination=48.201403277456144,11.235385797131558&amp;travelmode=car" TargetMode="External"/><Relationship Id="rId1599" Type="http://schemas.openxmlformats.org/officeDocument/2006/relationships/hyperlink" Target="https://www.google.com/maps/dir/?api=1&amp;origin=Gymnasium+Kirchheim,+Heimstettner+Str.+3,+85551+Kirchheim+bei+M&#252;nchen&amp;destination=48.14816508972864,11.397013396964736&amp;travelmode=car" TargetMode="External"/><Relationship Id="rId1459" Type="http://schemas.openxmlformats.org/officeDocument/2006/relationships/hyperlink" Target="https://www.google.com/maps/dir/?api=1&amp;origin=Gymnasium+Kirchheim,+Heimstettner+Str.+3,+85551+Kirchheim+bei+M&#252;nchen&amp;destination=48.161989472217506,11.81261696011681&amp;travelmode=car" TargetMode="External"/><Relationship Id="rId2857" Type="http://schemas.openxmlformats.org/officeDocument/2006/relationships/hyperlink" Target="https://www.google.com/maps/dir/?api=1&amp;origin=Gymnasium+Kirchheim,+Heimstettner+Str.+3,+85551+Kirchheim+bei+M&#252;nchen&amp;destination=48.041057843441536,11.708718322455919&amp;travelmode=car" TargetMode="External"/><Relationship Id="rId98" Type="http://schemas.openxmlformats.org/officeDocument/2006/relationships/hyperlink" Target="https://www.google.com/maps/dir/?api=1&amp;origin=Gymnasium+Kirchheim,+Heimstettner+Str.+3,+85551+Kirchheim+bei+M&#252;nchen&amp;destination=48.27723251645312,11.339289350160644&amp;travelmode=car" TargetMode="External"/><Relationship Id="rId829" Type="http://schemas.openxmlformats.org/officeDocument/2006/relationships/hyperlink" Target="https://www.google.com/maps/dir/?api=1&amp;origin=Gymnasium+Kirchheim,+Heimstettner+Str.+3,+85551+Kirchheim+bei+M&#252;nchen&amp;destination=48.21576724242374,11.66254056390037&amp;travelmode=car" TargetMode="External"/><Relationship Id="rId1666" Type="http://schemas.openxmlformats.org/officeDocument/2006/relationships/hyperlink" Target="https://www.google.com/maps/dir/?api=1&amp;origin=Gymnasium+Kirchheim,+Heimstettner+Str.+3,+85551+Kirchheim+bei+M&#252;nchen&amp;destination=48.14444930437724,12.170471317116936&amp;travelmode=car" TargetMode="External"/><Relationship Id="rId1873" Type="http://schemas.openxmlformats.org/officeDocument/2006/relationships/hyperlink" Target="https://www.google.com/maps/dir/?api=1&amp;origin=Gymnasium+Kirchheim,+Heimstettner+Str.+3,+85551+Kirchheim+bei+M&#252;nchen&amp;destination=48.12517540540781,11.512460857153851&amp;travelmode=car" TargetMode="External"/><Relationship Id="rId2717" Type="http://schemas.openxmlformats.org/officeDocument/2006/relationships/hyperlink" Target="https://www.google.com/maps/dir/?api=1&amp;origin=Gymnasium+Kirchheim,+Heimstettner+Str.+3,+85551+Kirchheim+bei+M&#252;nchen&amp;destination=48.05384818955266,12.112755231783899&amp;travelmode=car" TargetMode="External"/><Relationship Id="rId2924" Type="http://schemas.openxmlformats.org/officeDocument/2006/relationships/hyperlink" Target="https://www.google.com/maps/dir/?api=1&amp;origin=Gymnasium+Kirchheim,+Heimstettner+Str.+3,+85551+Kirchheim+bei+M&#252;nchen&amp;destination=48.03424502366216,11.454737254395377&amp;travelmode=car" TargetMode="External"/><Relationship Id="rId1319" Type="http://schemas.openxmlformats.org/officeDocument/2006/relationships/hyperlink" Target="https://www.google.com/maps/dir/?api=1&amp;origin=Gymnasium+Kirchheim,+Heimstettner+Str.+3,+85551+Kirchheim+bei+M&#252;nchen&amp;destination=48.17431655305611,12.228186338432307&amp;travelmode=car" TargetMode="External"/><Relationship Id="rId1526" Type="http://schemas.openxmlformats.org/officeDocument/2006/relationships/hyperlink" Target="https://www.google.com/maps/dir/?api=1&amp;origin=Gymnasium+Kirchheim,+Heimstettner+Str.+3,+85551+Kirchheim+bei+M&#252;nchen&amp;destination=48.155371913517676,11.570184139943638&amp;travelmode=car" TargetMode="External"/><Relationship Id="rId1733" Type="http://schemas.openxmlformats.org/officeDocument/2006/relationships/hyperlink" Target="https://www.google.com/maps/dir/?api=1&amp;origin=Gymnasium+Kirchheim,+Heimstettner+Str.+3,+85551+Kirchheim+bei+M&#252;nchen&amp;destination=48.13858384856937,11.928057368395926&amp;travelmode=car" TargetMode="External"/><Relationship Id="rId1940" Type="http://schemas.openxmlformats.org/officeDocument/2006/relationships/hyperlink" Target="https://www.google.com/maps/dir/?api=1&amp;origin=Gymnasium+Kirchheim,+Heimstettner+Str.+3,+85551+Kirchheim+bei+M&#252;nchen&amp;destination=48.117926986426475,11.27002033596574&amp;travelmode=car" TargetMode="External"/><Relationship Id="rId25" Type="http://schemas.openxmlformats.org/officeDocument/2006/relationships/hyperlink" Target="https://www.google.com/maps/dir/?api=1&amp;origin=Gymnasium+Kirchheim,+Heimstettner+Str.+3,+85551+Kirchheim+bei+M&#252;nchen&amp;destination=48.284525998440216,11.512460857153851&amp;travelmode=car" TargetMode="External"/><Relationship Id="rId1800" Type="http://schemas.openxmlformats.org/officeDocument/2006/relationships/hyperlink" Target="https://www.google.com/maps/dir/?api=1&amp;origin=Gymnasium+Kirchheim,+Heimstettner+Str.+3,+85551+Kirchheim+bei+M&#252;nchen&amp;destination=48.13220891544174,11.685629484445332&amp;travelmode=car" TargetMode="External"/><Relationship Id="rId3558" Type="http://schemas.openxmlformats.org/officeDocument/2006/relationships/hyperlink" Target="https://www.google.com/maps/dir/?api=1&amp;origin=Gymnasium+Kirchheim,+Heimstettner+Str.+3,+85551+Kirchheim+bei+M&#252;nchen&amp;destination=47.980535414614,11.66254056390037&amp;travelmode=car" TargetMode="External"/><Relationship Id="rId479" Type="http://schemas.openxmlformats.org/officeDocument/2006/relationships/hyperlink" Target="https://www.google.com/maps/dir/?api=1&amp;origin=Gymnasium+Kirchheim,+Heimstettner+Str.+3,+85551+Kirchheim+bei+M&#252;nchen&amp;destination=48.246030767607756,11.685629484445332&amp;travelmode=car" TargetMode="External"/><Relationship Id="rId686" Type="http://schemas.openxmlformats.org/officeDocument/2006/relationships/hyperlink" Target="https://www.google.com/maps/dir/?api=1&amp;origin=Gymnasium+Kirchheim,+Heimstettner+Str.+3,+85551+Kirchheim+bei+M&#252;nchen&amp;destination=48.22896542577549,12.031951048971356&amp;travelmode=car" TargetMode="External"/><Relationship Id="rId893" Type="http://schemas.openxmlformats.org/officeDocument/2006/relationships/hyperlink" Target="https://www.google.com/maps/dir/?api=1&amp;origin=Gymnasium+Kirchheim,+Heimstettner+Str.+3,+85551+Kirchheim+bei+M&#252;nchen&amp;destination=48.20890127495713,11.373923797311125&amp;travelmode=car" TargetMode="External"/><Relationship Id="rId2367" Type="http://schemas.openxmlformats.org/officeDocument/2006/relationships/hyperlink" Target="https://www.google.com/maps/dir/?api=1&amp;origin=Gymnasium+Kirchheim,+Heimstettner+Str.+3,+85551+Kirchheim+bei+M&#252;nchen&amp;destination=48.08402160216322,12.135841789424584&amp;travelmode=car" TargetMode="External"/><Relationship Id="rId2574" Type="http://schemas.openxmlformats.org/officeDocument/2006/relationships/hyperlink" Target="https://www.google.com/maps/dir/?api=1&amp;origin=Gymnasium+Kirchheim,+Heimstettner+Str.+3,+85551+Kirchheim+bei+M&#252;nchen&amp;destination=48.064550143894756,11.477826729716085&amp;travelmode=car" TargetMode="External"/><Relationship Id="rId2781" Type="http://schemas.openxmlformats.org/officeDocument/2006/relationships/hyperlink" Target="https://www.google.com/maps/dir/?api=1&amp;origin=Gymnasium+Kirchheim,+Heimstettner+Str.+3,+85551+Kirchheim+bei+M&#252;nchen&amp;destination=48.048048611928486,11.835705269507187&amp;travelmode=car" TargetMode="External"/><Relationship Id="rId3418" Type="http://schemas.openxmlformats.org/officeDocument/2006/relationships/hyperlink" Target="https://www.google.com/maps/dir/?api=1&amp;origin=Gymnasium+Kirchheim,+Heimstettner+Str.+3,+85551+Kirchheim+bei+M&#252;nchen&amp;destination=47.99340315987038,12.078125096991752&amp;travelmode=car" TargetMode="External"/><Relationship Id="rId339" Type="http://schemas.openxmlformats.org/officeDocument/2006/relationships/hyperlink" Target="https://www.google.com/maps/dir/?api=1&amp;origin=Gymnasium+Kirchheim,+Heimstettner+Str.+3,+85551+Kirchheim+bei+M&#252;nchen&amp;destination=48.25890198406269,12.089668514337413&amp;travelmode=car" TargetMode="External"/><Relationship Id="rId546" Type="http://schemas.openxmlformats.org/officeDocument/2006/relationships/hyperlink" Target="https://www.google.com/maps/dir/?api=1&amp;origin=Gymnasium+Kirchheim,+Heimstettner+Str.+3,+85551+Kirchheim+bei+M&#252;nchen&amp;destination=48.23916710946476,11.431647738327094&amp;travelmode=car" TargetMode="External"/><Relationship Id="rId753" Type="http://schemas.openxmlformats.org/officeDocument/2006/relationships/hyperlink" Target="https://www.google.com/maps/dir/?api=1&amp;origin=Gymnasium+Kirchheim,+Heimstettner+Str.+3,+85551+Kirchheim+bei+M&#252;nchen&amp;destination=48.22280884681831,11.789528545213775&amp;travelmode=car" TargetMode="External"/><Relationship Id="rId1176" Type="http://schemas.openxmlformats.org/officeDocument/2006/relationships/hyperlink" Target="https://www.google.com/maps/dir/?api=1&amp;origin=Gymnasium+Kirchheim,+Heimstettner+Str.+3,+85551+Kirchheim+bei+M&#252;nchen&amp;destination=48.18565392515321,11.593273348842407&amp;travelmode=car" TargetMode="External"/><Relationship Id="rId1383" Type="http://schemas.openxmlformats.org/officeDocument/2006/relationships/hyperlink" Target="https://www.google.com/maps/dir/?api=1&amp;origin=Gymnasium+Kirchheim,+Heimstettner+Str.+3,+85551+Kirchheim+bei+M&#252;nchen&amp;destination=48.168794228281506,11.95114508756474&amp;travelmode=car" TargetMode="External"/><Relationship Id="rId2227" Type="http://schemas.openxmlformats.org/officeDocument/2006/relationships/hyperlink" Target="https://www.google.com/maps/dir/?api=1&amp;origin=Gymnasium+Kirchheim,+Heimstettner+Str.+3,+85551+Kirchheim+bei+M&#252;nchen&amp;destination=48.09476398345677,11.535550212322528&amp;travelmode=car" TargetMode="External"/><Relationship Id="rId2434" Type="http://schemas.openxmlformats.org/officeDocument/2006/relationships/hyperlink" Target="https://www.google.com/maps/dir/?api=1&amp;origin=Gymnasium+Kirchheim,+Heimstettner+Str.+3,+85551+Kirchheim+bei+M&#252;nchen&amp;destination=48.07808336742355,11.893425553951282&amp;travelmode=car" TargetMode="External"/><Relationship Id="rId406" Type="http://schemas.openxmlformats.org/officeDocument/2006/relationships/hyperlink" Target="https://www.google.com/maps/dir/?api=1&amp;origin=Gymnasium+Kirchheim,+Heimstettner+Str.+3,+85551+Kirchheim+bei+M&#252;nchen&amp;destination=48.25286670877446,11.847249383329679&amp;travelmode=car" TargetMode="External"/><Relationship Id="rId960" Type="http://schemas.openxmlformats.org/officeDocument/2006/relationships/hyperlink" Target="https://www.google.com/maps/dir/?api=1&amp;origin=Gymnasium+Kirchheim,+Heimstettner+Str.+3,+85551+Kirchheim+bei+M&#252;nchen&amp;destination=48.205431577806955,12.135841789424584&amp;travelmode=car" TargetMode="External"/><Relationship Id="rId1036" Type="http://schemas.openxmlformats.org/officeDocument/2006/relationships/hyperlink" Target="https://www.google.com/maps/dir/?api=1&amp;origin=Gymnasium+Kirchheim,+Heimstettner+Str.+3,+85551+Kirchheim+bei+M&#252;nchen&amp;destination=48.19877121960241,12.00886380508597&amp;travelmode=car" TargetMode="External"/><Relationship Id="rId1243" Type="http://schemas.openxmlformats.org/officeDocument/2006/relationships/hyperlink" Target="https://www.google.com/maps/dir/?api=1&amp;origin=Gymnasium+Kirchheim,+Heimstettner+Str.+3,+85551+Kirchheim+bei+M&#252;nchen&amp;destination=48.1785753566338,11.350834171536942&amp;travelmode=car" TargetMode="External"/><Relationship Id="rId1590" Type="http://schemas.openxmlformats.org/officeDocument/2006/relationships/hyperlink" Target="https://www.google.com/maps/dir/?api=1&amp;origin=Gymnasium+Kirchheim,+Heimstettner+Str.+3,+85551+Kirchheim+bei+M&#252;nchen&amp;destination=48.148269081177766,11.293110020250275&amp;travelmode=car" TargetMode="External"/><Relationship Id="rId2641" Type="http://schemas.openxmlformats.org/officeDocument/2006/relationships/hyperlink" Target="https://www.google.com/maps/dir/?api=1&amp;origin=Gymnasium+Kirchheim,+Heimstettner+Str.+3,+85551+Kirchheim+bei+M&#252;nchen&amp;destination=48.057228931379186,11.235385797131558&amp;travelmode=car" TargetMode="External"/><Relationship Id="rId613" Type="http://schemas.openxmlformats.org/officeDocument/2006/relationships/hyperlink" Target="https://www.google.com/maps/dir/?api=1&amp;origin=Gymnasium+Kirchheim,+Heimstettner+Str.+3,+85551+Kirchheim+bei+M&#252;nchen&amp;destination=48.23521910430442,12.205100461762754&amp;travelmode=car" TargetMode="External"/><Relationship Id="rId820" Type="http://schemas.openxmlformats.org/officeDocument/2006/relationships/hyperlink" Target="https://www.google.com/maps/dir/?api=1&amp;origin=Gymnasium+Kirchheim,+Heimstettner+Str.+3,+85551+Kirchheim+bei+M&#252;nchen&amp;destination=48.21614276193761,11.547094869402834&amp;travelmode=car" TargetMode="External"/><Relationship Id="rId1450" Type="http://schemas.openxmlformats.org/officeDocument/2006/relationships/hyperlink" Target="https://www.google.com/maps/dir/?api=1&amp;origin=Gymnasium+Kirchheim,+Heimstettner+Str.+3,+85551+Kirchheim+bei+M&#252;nchen&amp;destination=48.16251519190956,11.69717391402856&amp;travelmode=car" TargetMode="External"/><Relationship Id="rId2501" Type="http://schemas.openxmlformats.org/officeDocument/2006/relationships/hyperlink" Target="https://www.google.com/maps/dir/?api=1&amp;origin=Gymnasium+Kirchheim,+Heimstettner+Str.+3,+85551+Kirchheim+bei+M&#252;nchen&amp;destination=48.07163564762298,11.650996073983201&amp;travelmode=car" TargetMode="External"/><Relationship Id="rId1103" Type="http://schemas.openxmlformats.org/officeDocument/2006/relationships/hyperlink" Target="https://www.google.com/maps/dir/?api=1&amp;origin=Gymnasium+Kirchheim,+Heimstettner+Str.+3,+85551+Kirchheim+bei+M&#252;nchen&amp;destination=48.19256611830294,11.766440028975659&amp;travelmode=car" TargetMode="External"/><Relationship Id="rId1310" Type="http://schemas.openxmlformats.org/officeDocument/2006/relationships/hyperlink" Target="https://www.google.com/maps/dir/?api=1&amp;origin=Gymnasium+Kirchheim,+Heimstettner+Str.+3,+85551+Kirchheim+bei+M&#252;nchen&amp;destination=48.17525816519641,12.112755231783899&amp;travelmode=car" TargetMode="External"/><Relationship Id="rId3068" Type="http://schemas.openxmlformats.org/officeDocument/2006/relationships/hyperlink" Target="https://www.google.com/maps/dir/?api=1&amp;origin=Gymnasium+Kirchheim,+Heimstettner+Str.+3,+85551+Kirchheim+bei+M&#252;nchen&amp;destination=48.02358350353726,12.101211892775435&amp;travelmode=car" TargetMode="External"/><Relationship Id="rId3275" Type="http://schemas.openxmlformats.org/officeDocument/2006/relationships/hyperlink" Target="https://www.google.com/maps/dir/?api=1&amp;origin=Gymnasium+Kirchheim,+Heimstettner+Str.+3,+85551+Kirchheim+bei+M&#252;nchen&amp;destination=48.0039144834259,11.44319250119349&amp;travelmode=car" TargetMode="External"/><Relationship Id="rId3482" Type="http://schemas.openxmlformats.org/officeDocument/2006/relationships/hyperlink" Target="https://www.google.com/maps/dir/?api=1&amp;origin=Gymnasium+Kirchheim,+Heimstettner+Str.+3,+85551+Kirchheim+bei+M&#252;nchen&amp;destination=47.98752040328961,11.801072765593279&amp;travelmode=car" TargetMode="External"/><Relationship Id="rId196" Type="http://schemas.openxmlformats.org/officeDocument/2006/relationships/hyperlink" Target="https://www.google.com/maps/dir/?api=1&amp;origin=Gymnasium+Kirchheim,+Heimstettner+Str.+3,+85551+Kirchheim+bei+M&#252;nchen&amp;destination=48.26947685147191,11.454737254395377&amp;travelmode=car" TargetMode="External"/><Relationship Id="rId2084" Type="http://schemas.openxmlformats.org/officeDocument/2006/relationships/hyperlink" Target="https://www.google.com/maps/dir/?api=1&amp;origin=Gymnasium+Kirchheim,+Heimstettner+Str.+3,+85551+Kirchheim+bei+M&#252;nchen&amp;destination=48.10830067883934,11.916513461151142&amp;travelmode=car" TargetMode="External"/><Relationship Id="rId2291" Type="http://schemas.openxmlformats.org/officeDocument/2006/relationships/hyperlink" Target="https://www.google.com/maps/dir/?api=1&amp;origin=Gymnasium+Kirchheim,+Heimstettner+Str.+3,+85551+Kirchheim+bei+M&#252;nchen&amp;destination=48.087574492515536,11.27002033596574&amp;travelmode=car" TargetMode="External"/><Relationship Id="rId3135" Type="http://schemas.openxmlformats.org/officeDocument/2006/relationships/hyperlink" Target="https://www.google.com/maps/dir/?api=1&amp;origin=Gymnasium+Kirchheim,+Heimstettner+Str.+3,+85551+Kirchheim+bei+M&#252;nchen&amp;destination=48.017572488591306,11.858793469207484&amp;travelmode=car" TargetMode="External"/><Relationship Id="rId3342" Type="http://schemas.openxmlformats.org/officeDocument/2006/relationships/hyperlink" Target="https://www.google.com/maps/dir/?api=1&amp;origin=Gymnasium+Kirchheim,+Heimstettner+Str.+3,+85551+Kirchheim+bei+M&#252;nchen&amp;destination=47.99988907233146,12.21664342242148&amp;travelmode=car" TargetMode="External"/><Relationship Id="rId263" Type="http://schemas.openxmlformats.org/officeDocument/2006/relationships/hyperlink" Target="https://www.google.com/maps/dir/?api=1&amp;origin=Gymnasium+Kirchheim,+Heimstettner+Str.+3,+85551+Kirchheim+bei+M&#252;nchen&amp;destination=48.26537403478891,12.228186338432307&amp;travelmode=car" TargetMode="External"/><Relationship Id="rId470" Type="http://schemas.openxmlformats.org/officeDocument/2006/relationships/hyperlink" Target="https://www.google.com/maps/dir/?api=1&amp;origin=Gymnasium+Kirchheim,+Heimstettner+Str.+3,+85551+Kirchheim+bei+M&#252;nchen&amp;destination=48.24642939525049,11.570184139943638&amp;travelmode=car" TargetMode="External"/><Relationship Id="rId2151" Type="http://schemas.openxmlformats.org/officeDocument/2006/relationships/hyperlink" Target="https://www.google.com/maps/dir/?api=1&amp;origin=Gymnasium+Kirchheim,+Heimstettner+Str.+3,+85551+Kirchheim+bei+M&#252;nchen&amp;destination=48.10190148358878,11.67408503422851&amp;travelmode=car" TargetMode="External"/><Relationship Id="rId3202" Type="http://schemas.openxmlformats.org/officeDocument/2006/relationships/hyperlink" Target="https://www.google.com/maps/dir/?api=1&amp;origin=Gymnasium+Kirchheim,+Heimstettner+Str.+3,+85551+Kirchheim+bei+M&#252;nchen&amp;destination=48.011051981236776,11.616362491920484&amp;travelmode=car" TargetMode="External"/><Relationship Id="rId123" Type="http://schemas.openxmlformats.org/officeDocument/2006/relationships/hyperlink" Target="https://www.google.com/maps/dir/?api=1&amp;origin=Gymnasium+Kirchheim,+Heimstettner+Str.+3,+85551+Kirchheim+bei+M&#252;nchen&amp;destination=48.27659701788124,11.627907037470955&amp;travelmode=car" TargetMode="External"/><Relationship Id="rId330" Type="http://schemas.openxmlformats.org/officeDocument/2006/relationships/hyperlink" Target="https://www.google.com/maps/dir/?api=1&amp;origin=Gymnasium+Kirchheim,+Heimstettner+Str.+3,+85551+Kirchheim+bei+M&#252;nchen&amp;destination=48.25962987421594,11.985776420185003&amp;travelmode=car" TargetMode="External"/><Relationship Id="rId2011" Type="http://schemas.openxmlformats.org/officeDocument/2006/relationships/hyperlink" Target="https://www.google.com/maps/dir/?api=1&amp;origin=Gymnasium+Kirchheim,+Heimstettner+Str.+3,+85551+Kirchheim+bei+M&#252;nchen&amp;destination=48.11472763798573,12.089668514337413&amp;travelmode=car" TargetMode="External"/><Relationship Id="rId2968" Type="http://schemas.openxmlformats.org/officeDocument/2006/relationships/hyperlink" Target="https://www.google.com/maps/dir/?api=1&amp;origin=Gymnasium+Kirchheim,+Heimstettner+Str.+3,+85551+Kirchheim+bei+M&#252;nchen&amp;destination=48.0322080056823,11.95114508756474&amp;travelmode=car" TargetMode="External"/><Relationship Id="rId1777" Type="http://schemas.openxmlformats.org/officeDocument/2006/relationships/hyperlink" Target="https://www.google.com/maps/dir/?api=1&amp;origin=Gymnasium+Kirchheim,+Heimstettner+Str.+3,+85551+Kirchheim+bei+M&#252;nchen&amp;destination=48.13295302355827,11.420102966318577&amp;travelmode=car" TargetMode="External"/><Relationship Id="rId1984" Type="http://schemas.openxmlformats.org/officeDocument/2006/relationships/hyperlink" Target="https://www.google.com/maps/dir/?api=1&amp;origin=Gymnasium+Kirchheim,+Heimstettner+Str.+3,+85551+Kirchheim+bei+M&#252;nchen&amp;destination=48.11663057850315,11.777984299500497&amp;travelmode=car" TargetMode="External"/><Relationship Id="rId2828" Type="http://schemas.openxmlformats.org/officeDocument/2006/relationships/hyperlink" Target="https://www.google.com/maps/dir/?api=1&amp;origin=Gymnasium+Kirchheim,+Heimstettner+Str.+3,+85551+Kirchheim+bei+M&#252;nchen&amp;destination=48.04197642396878,11.362378987427904&amp;travelmode=car" TargetMode="External"/><Relationship Id="rId69" Type="http://schemas.openxmlformats.org/officeDocument/2006/relationships/hyperlink" Target="https://www.google.com/maps/dir/?api=1&amp;origin=Gymnasium+Kirchheim,+Heimstettner+Str.+3,+85551+Kirchheim+bei+M&#252;nchen&amp;destination=48.28216201160347,12.02040744491661&amp;travelmode=car" TargetMode="External"/><Relationship Id="rId1637" Type="http://schemas.openxmlformats.org/officeDocument/2006/relationships/hyperlink" Target="https://www.google.com/maps/dir/?api=1&amp;origin=Gymnasium+Kirchheim,+Heimstettner+Str.+3,+85551+Kirchheim+bei+M&#252;nchen&amp;destination=48.14669421713903,11.835705269507187&amp;travelmode=car" TargetMode="External"/><Relationship Id="rId1844" Type="http://schemas.openxmlformats.org/officeDocument/2006/relationships/hyperlink" Target="https://www.google.com/maps/dir/?api=1&amp;origin=Gymnasium+Kirchheim,+Heimstettner+Str.+3,+85551+Kirchheim+bei+M&#252;nchen&amp;destination=48.12908242467089,12.193557456977898&amp;travelmode=car" TargetMode="External"/><Relationship Id="rId1704" Type="http://schemas.openxmlformats.org/officeDocument/2006/relationships/hyperlink" Target="https://www.google.com/maps/dir/?api=1&amp;origin=Gymnasium+Kirchheim,+Heimstettner+Str.+3,+85551+Kirchheim+bei+M&#252;nchen&amp;destination=48.14012518428681,11.593273348842407&amp;travelmode=car" TargetMode="External"/><Relationship Id="rId1911" Type="http://schemas.openxmlformats.org/officeDocument/2006/relationships/hyperlink" Target="https://www.google.com/maps/dir/?api=1&amp;origin=Gymnasium+Kirchheim,+Heimstettner+Str.+3,+85551+Kirchheim+bei+M&#252;nchen&amp;destination=48.1232654874151,11.95114508756474&amp;travelmode=car" TargetMode="External"/><Relationship Id="rId797" Type="http://schemas.openxmlformats.org/officeDocument/2006/relationships/hyperlink" Target="https://www.google.com/maps/dir/?api=1&amp;origin=Gymnasium+Kirchheim,+Heimstettner+Str.+3,+85551+Kirchheim+bei+M&#252;nchen&amp;destination=48.21656796978795,11.281565179283442&amp;travelmode=car" TargetMode="External"/><Relationship Id="rId2478" Type="http://schemas.openxmlformats.org/officeDocument/2006/relationships/hyperlink" Target="https://www.google.com/maps/dir/?api=1&amp;origin=Gymnasium+Kirchheim,+Heimstettner+Str.+3,+85551+Kirchheim+bei+M&#252;nchen&amp;destination=48.07230003138135,11.385468600664204&amp;travelmode=car" TargetMode="External"/><Relationship Id="rId1287" Type="http://schemas.openxmlformats.org/officeDocument/2006/relationships/hyperlink" Target="https://www.google.com/maps/dir/?api=1&amp;origin=Gymnasium+Kirchheim,+Heimstettner+Str.+3,+85551+Kirchheim+bei+M&#252;nchen&amp;destination=48.17685953393507,11.870337526618448&amp;travelmode=car" TargetMode="External"/><Relationship Id="rId2685" Type="http://schemas.openxmlformats.org/officeDocument/2006/relationships/hyperlink" Target="https://www.google.com/maps/dir/?api=1&amp;origin=Gymnasium+Kirchheim,+Heimstettner+Str.+3,+85551+Kirchheim+bei+M&#252;nchen&amp;destination=48.056085039678244,11.743351415580166&amp;travelmode=car" TargetMode="External"/><Relationship Id="rId2892" Type="http://schemas.openxmlformats.org/officeDocument/2006/relationships/hyperlink" Target="https://www.google.com/maps/dir/?api=1&amp;origin=Gymnasium+Kirchheim,+Heimstettner+Str.+3,+85551+Kirchheim+bei+M&#252;nchen&amp;destination=48.03875975049272,12.101211892775435&amp;travelmode=car" TargetMode="External"/><Relationship Id="rId3529" Type="http://schemas.openxmlformats.org/officeDocument/2006/relationships/hyperlink" Target="https://www.google.com/maps/dir/?api=1&amp;origin=Gymnasium+Kirchheim,+Heimstettner+Str.+3,+85551+Kirchheim+bei+M&#252;nchen&amp;destination=47.9813060999722,11.327744523821421&amp;travelmode=car" TargetMode="External"/><Relationship Id="rId657" Type="http://schemas.openxmlformats.org/officeDocument/2006/relationships/hyperlink" Target="https://www.google.com/maps/dir/?api=1&amp;origin=Gymnasium+Kirchheim,+Heimstettner+Str.+3,+85551+Kirchheim+bei+M&#252;nchen&amp;destination=48.23080830320917,11.69717391402856&amp;travelmode=car" TargetMode="External"/><Relationship Id="rId864" Type="http://schemas.openxmlformats.org/officeDocument/2006/relationships/hyperlink" Target="https://www.google.com/maps/dir/?api=1&amp;origin=Gymnasium+Kirchheim,+Heimstettner+Str.+3,+85551+Kirchheim+bei+M&#252;nchen&amp;destination=48.2136262701903,12.055038147665204&amp;travelmode=car" TargetMode="External"/><Relationship Id="rId1494" Type="http://schemas.openxmlformats.org/officeDocument/2006/relationships/hyperlink" Target="https://www.google.com/maps/dir/?api=1&amp;origin=Gymnasium+Kirchheim,+Heimstettner+Str.+3,+85551+Kirchheim+bei+M&#252;nchen&amp;destination=48.15923966536387,12.21664342242148&amp;travelmode=car" TargetMode="External"/><Relationship Id="rId2338" Type="http://schemas.openxmlformats.org/officeDocument/2006/relationships/hyperlink" Target="https://www.google.com/maps/dir/?api=1&amp;origin=Gymnasium+Kirchheim,+Heimstettner+Str.+3,+85551+Kirchheim+bei+M&#252;nchen&amp;destination=48.08616600850014,11.801072765593279&amp;travelmode=car" TargetMode="External"/><Relationship Id="rId2545" Type="http://schemas.openxmlformats.org/officeDocument/2006/relationships/hyperlink" Target="https://www.google.com/maps/dir/?api=1&amp;origin=Gymnasium+Kirchheim,+Heimstettner+Str.+3,+85551+Kirchheim+bei+M&#252;nchen&amp;destination=48.06866165327967,12.158928183084447&amp;travelmode=car" TargetMode="External"/><Relationship Id="rId2752" Type="http://schemas.openxmlformats.org/officeDocument/2006/relationships/hyperlink" Target="https://www.google.com/maps/dir/?api=1&amp;origin=Gymnasium+Kirchheim,+Heimstettner+Str.+3,+85551+Kirchheim+bei+M&#252;nchen&amp;destination=48.04932190150264,11.500916160110199&amp;travelmode=car" TargetMode="External"/><Relationship Id="rId517" Type="http://schemas.openxmlformats.org/officeDocument/2006/relationships/hyperlink" Target="https://www.google.com/maps/dir/?api=1&amp;origin=Gymnasium+Kirchheim,+Heimstettner+Str.+3,+85551+Kirchheim+bei+M&#252;nchen&amp;destination=48.24355127649601,12.112755231783899&amp;travelmode=car" TargetMode="External"/><Relationship Id="rId724" Type="http://schemas.openxmlformats.org/officeDocument/2006/relationships/hyperlink" Target="https://www.google.com/maps/dir/?api=1&amp;origin=Gymnasium+Kirchheim,+Heimstettner+Str.+3,+85551+Kirchheim+bei+M&#252;nchen&amp;destination=48.223970064280174,11.44319250119349&amp;travelmode=car" TargetMode="External"/><Relationship Id="rId931" Type="http://schemas.openxmlformats.org/officeDocument/2006/relationships/hyperlink" Target="https://www.google.com/maps/dir/?api=1&amp;origin=Gymnasium+Kirchheim,+Heimstettner+Str.+3,+85551+Kirchheim+bei+M&#252;nchen&amp;destination=48.207518213083915,11.81261696011681&amp;travelmode=car" TargetMode="External"/><Relationship Id="rId1147" Type="http://schemas.openxmlformats.org/officeDocument/2006/relationships/hyperlink" Target="https://www.google.com/maps/dir/?api=1&amp;origin=Gymnasium+Kirchheim,+Heimstettner+Str.+3,+85551+Kirchheim+bei+M&#252;nchen&amp;destination=48.18622356411323,11.258475490819581&amp;travelmode=car" TargetMode="External"/><Relationship Id="rId1354" Type="http://schemas.openxmlformats.org/officeDocument/2006/relationships/hyperlink" Target="https://www.google.com/maps/dir/?api=1&amp;origin=Gymnasium+Kirchheim,+Heimstettner+Str.+3,+85551+Kirchheim+bei+M&#252;nchen&amp;destination=48.17040257426917,11.616362491920484&amp;travelmode=car" TargetMode="External"/><Relationship Id="rId1561" Type="http://schemas.openxmlformats.org/officeDocument/2006/relationships/hyperlink" Target="https://www.google.com/maps/dir/?api=1&amp;origin=Gymnasium+Kirchheim,+Heimstettner+Str.+3,+85551+Kirchheim+bei+M&#252;nchen&amp;destination=48.153471246052106,11.97423267615872&amp;travelmode=car" TargetMode="External"/><Relationship Id="rId2405" Type="http://schemas.openxmlformats.org/officeDocument/2006/relationships/hyperlink" Target="https://www.google.com/maps/dir/?api=1&amp;origin=Gymnasium+Kirchheim,+Heimstettner+Str.+3,+85551+Kirchheim+bei+M&#252;nchen&amp;destination=48.07952418675049,11.55863951211732&amp;travelmode=car" TargetMode="External"/><Relationship Id="rId2612" Type="http://schemas.openxmlformats.org/officeDocument/2006/relationships/hyperlink" Target="https://www.google.com/maps/dir/?api=1&amp;origin=Gymnasium+Kirchheim,+Heimstettner+Str.+3,+85551+Kirchheim+bei+M&#252;nchen&amp;destination=48.062771937972954,11.916513461151142&amp;travelmode=car" TargetMode="External"/><Relationship Id="rId60" Type="http://schemas.openxmlformats.org/officeDocument/2006/relationships/hyperlink" Target="https://www.google.com/maps/dir/?api=1&amp;origin=Gymnasium+Kirchheim,+Heimstettner+Str.+3,+85551+Kirchheim+bei+M&#252;nchen&amp;destination=48.28282751882723,11.916513461151142&amp;travelmode=car" TargetMode="External"/><Relationship Id="rId1007" Type="http://schemas.openxmlformats.org/officeDocument/2006/relationships/hyperlink" Target="https://www.google.com/maps/dir/?api=1&amp;origin=Gymnasium+Kirchheim,+Heimstettner+Str.+3,+85551+Kirchheim+bei+M&#252;nchen&amp;destination=48.200547088799325,11.67408503422851&amp;travelmode=car" TargetMode="External"/><Relationship Id="rId1214" Type="http://schemas.openxmlformats.org/officeDocument/2006/relationships/hyperlink" Target="https://www.google.com/maps/dir/?api=1&amp;origin=Gymnasium+Kirchheim,+Heimstettner+Str.+3,+85551+Kirchheim+bei+M&#252;nchen&amp;destination=48.1834366849091,12.031951048971356&amp;travelmode=car" TargetMode="External"/><Relationship Id="rId1421" Type="http://schemas.openxmlformats.org/officeDocument/2006/relationships/hyperlink" Target="https://www.google.com/maps/dir/?api=1&amp;origin=Gymnasium+Kirchheim,+Heimstettner+Str.+3,+85551+Kirchheim+bei+M&#252;nchen&amp;destination=48.16337253409072,11.373923797311125&amp;travelmode=car" TargetMode="External"/><Relationship Id="rId3179" Type="http://schemas.openxmlformats.org/officeDocument/2006/relationships/hyperlink" Target="https://www.google.com/maps/dir/?api=1&amp;origin=Gymnasium+Kirchheim,+Heimstettner+Str.+3,+85551+Kirchheim+bei+M&#252;nchen&amp;destination=48.011636640123655,11.350834171536942&amp;travelmode=car" TargetMode="External"/><Relationship Id="rId3386" Type="http://schemas.openxmlformats.org/officeDocument/2006/relationships/hyperlink" Target="https://www.google.com/maps/dir/?api=1&amp;origin=Gymnasium+Kirchheim,+Heimstettner+Str.+3,+85551+Kirchheim+bei+M&#252;nchen&amp;destination=47.995576475399425,11.69717391402856&amp;travelmode=car" TargetMode="External"/><Relationship Id="rId3593" Type="http://schemas.openxmlformats.org/officeDocument/2006/relationships/hyperlink" Target="https://www.google.com/maps/dir/?api=1&amp;origin=Gymnasium+Kirchheim,+Heimstettner+Str.+3,+85551+Kirchheim+bei+M&#252;nchen&amp;destination=47.978311255248684,12.066581641260367&amp;travelmode=car" TargetMode="External"/><Relationship Id="rId2195" Type="http://schemas.openxmlformats.org/officeDocument/2006/relationships/hyperlink" Target="https://www.google.com/maps/dir/?api=1&amp;origin=Gymnasium+Kirchheim,+Heimstettner+Str.+3,+85551+Kirchheim+bei+M&#252;nchen&amp;destination=48.098825824697904,12.182014408588692&amp;travelmode=car" TargetMode="External"/><Relationship Id="rId3039" Type="http://schemas.openxmlformats.org/officeDocument/2006/relationships/hyperlink" Target="https://www.google.com/maps/dir/?api=1&amp;origin=Gymnasium+Kirchheim,+Heimstettner+Str.+3,+85551+Kirchheim+bei+M&#252;nchen&amp;destination=48.02562740179281,11.766440028975659&amp;travelmode=car" TargetMode="External"/><Relationship Id="rId3246" Type="http://schemas.openxmlformats.org/officeDocument/2006/relationships/hyperlink" Target="https://www.google.com/maps/dir/?api=1&amp;origin=Gymnasium+Kirchheim,+Heimstettner+Str.+3,+85551+Kirchheim+bei+M&#252;nchen&amp;destination=48.0082304856184,12.12429853084091&amp;travelmode=car" TargetMode="External"/><Relationship Id="rId3453" Type="http://schemas.openxmlformats.org/officeDocument/2006/relationships/hyperlink" Target="https://www.google.com/maps/dir/?api=1&amp;origin=Gymnasium+Kirchheim,+Heimstettner+Str.+3,+85551+Kirchheim+bei+M&#252;nchen&amp;destination=47.988693173677426,11.466281997410366&amp;travelmode=car" TargetMode="External"/><Relationship Id="rId167" Type="http://schemas.openxmlformats.org/officeDocument/2006/relationships/hyperlink" Target="https://www.google.com/maps/dir/?api=1&amp;origin=Gymnasium+Kirchheim,+Heimstettner+Str.+3,+85551+Kirchheim+bei+M&#252;nchen&amp;destination=48.273724689106565,12.135841789424584&amp;travelmode=car" TargetMode="External"/><Relationship Id="rId374" Type="http://schemas.openxmlformats.org/officeDocument/2006/relationships/hyperlink" Target="https://www.google.com/maps/dir/?api=1&amp;origin=Gymnasium+Kirchheim,+Heimstettner+Str.+3,+85551+Kirchheim+bei+M&#252;nchen&amp;destination=48.254253230838096,11.477826729716085&amp;travelmode=car" TargetMode="External"/><Relationship Id="rId581" Type="http://schemas.openxmlformats.org/officeDocument/2006/relationships/hyperlink" Target="https://www.google.com/maps/dir/?api=1&amp;origin=Gymnasium+Kirchheim,+Heimstettner+Str.+3,+85551+Kirchheim+bei+M&#252;nchen&amp;destination=48.23769046181899,11.847249383329679&amp;travelmode=car" TargetMode="External"/><Relationship Id="rId2055" Type="http://schemas.openxmlformats.org/officeDocument/2006/relationships/hyperlink" Target="https://www.google.com/maps/dir/?api=1&amp;origin=Gymnasium+Kirchheim,+Heimstettner+Str.+3,+85551+Kirchheim+bei+M&#252;nchen&amp;destination=48.109808509221764,11.581728752359444&amp;travelmode=car" TargetMode="External"/><Relationship Id="rId2262" Type="http://schemas.openxmlformats.org/officeDocument/2006/relationships/hyperlink" Target="https://www.google.com/maps/dir/?api=1&amp;origin=Gymnasium+Kirchheim,+Heimstettner+Str.+3,+85551+Kirchheim+bei+M&#252;nchen&amp;destination=48.09298462824105,11.939601244041153&amp;travelmode=car" TargetMode="External"/><Relationship Id="rId3106" Type="http://schemas.openxmlformats.org/officeDocument/2006/relationships/hyperlink" Target="https://www.google.com/maps/dir/?api=1&amp;origin=Gymnasium+Kirchheim,+Heimstettner+Str.+3,+85551+Kirchheim+bei+M&#252;nchen&amp;destination=48.01894167671955,11.512460857153851&amp;travelmode=car" TargetMode="External"/><Relationship Id="rId234" Type="http://schemas.openxmlformats.org/officeDocument/2006/relationships/hyperlink" Target="https://www.google.com/maps/dir/?api=1&amp;origin=Gymnasium+Kirchheim,+Heimstettner+Str.+3,+85551+Kirchheim+bei+M&#252;nchen&amp;destination=48.26785231266949,11.881881555040426&amp;travelmode=car" TargetMode="External"/><Relationship Id="rId3313" Type="http://schemas.openxmlformats.org/officeDocument/2006/relationships/hyperlink" Target="https://www.google.com/maps/dir/?api=1&amp;origin=Gymnasium+Kirchheim,+Heimstettner+Str.+3,+85551+Kirchheim+bei+M&#252;nchen&amp;destination=48.0022679909488,11.881881555040426&amp;travelmode=car" TargetMode="External"/><Relationship Id="rId3520" Type="http://schemas.openxmlformats.org/officeDocument/2006/relationships/hyperlink" Target="https://www.google.com/maps/dir/?api=1&amp;origin=Gymnasium+Kirchheim,+Heimstettner+Str.+3,+85551+Kirchheim+bei+M&#252;nchen&amp;destination=47.984613466112755,12.228186338432307&amp;travelmode=car" TargetMode="External"/><Relationship Id="rId441" Type="http://schemas.openxmlformats.org/officeDocument/2006/relationships/hyperlink" Target="https://www.google.com/maps/dir/?api=1&amp;origin=Gymnasium+Kirchheim,+Heimstettner+Str.+3,+85551+Kirchheim+bei+M&#252;nchen&amp;destination=48.24693201832254,11.235385797131558&amp;travelmode=car" TargetMode="External"/><Relationship Id="rId1071" Type="http://schemas.openxmlformats.org/officeDocument/2006/relationships/hyperlink" Target="https://www.google.com/maps/dir/?api=1&amp;origin=Gymnasium+Kirchheim,+Heimstettner+Str.+3,+85551+Kirchheim+bei+M&#252;nchen&amp;destination=48.19369383059505,11.397013396964736&amp;travelmode=car" TargetMode="External"/><Relationship Id="rId2122" Type="http://schemas.openxmlformats.org/officeDocument/2006/relationships/hyperlink" Target="https://www.google.com/maps/dir/?api=1&amp;origin=Gymnasium+Kirchheim,+Heimstettner+Str.+3,+85551+Kirchheim+bei+M&#252;nchen&amp;destination=48.102705676465234,11.339289350160644&amp;travelmode=car" TargetMode="External"/><Relationship Id="rId301" Type="http://schemas.openxmlformats.org/officeDocument/2006/relationships/hyperlink" Target="https://www.google.com/maps/dir/?api=1&amp;origin=Gymnasium+Kirchheim,+Heimstettner+Str.+3,+85551+Kirchheim+bei+M&#252;nchen&amp;destination=48.26133873456633,11.650996073983201&amp;travelmode=car" TargetMode="External"/><Relationship Id="rId1888" Type="http://schemas.openxmlformats.org/officeDocument/2006/relationships/hyperlink" Target="https://www.google.com/maps/dir/?api=1&amp;origin=Gymnasium+Kirchheim,+Heimstettner+Str.+3,+85551+Kirchheim+bei+M&#252;nchen&amp;destination=48.12462079196401,11.685629484445332&amp;travelmode=car" TargetMode="External"/><Relationship Id="rId2939" Type="http://schemas.openxmlformats.org/officeDocument/2006/relationships/hyperlink" Target="https://www.google.com/maps/dir/?api=1&amp;origin=Gymnasium+Kirchheim,+Heimstettner+Str.+3,+85551+Kirchheim+bei+M&#252;nchen&amp;destination=48.033777066593764,11.627907037470955&amp;travelmode=car" TargetMode="External"/><Relationship Id="rId1748" Type="http://schemas.openxmlformats.org/officeDocument/2006/relationships/hyperlink" Target="https://www.google.com/maps/dir/?api=1&amp;origin=Gymnasium+Kirchheim,+Heimstettner+Str.+3,+85551+Kirchheim+bei+M&#252;nchen&amp;destination=48.137492008418945,12.089668514337413&amp;travelmode=car" TargetMode="External"/><Relationship Id="rId1955" Type="http://schemas.openxmlformats.org/officeDocument/2006/relationships/hyperlink" Target="https://www.google.com/maps/dir/?api=1&amp;origin=Gymnasium+Kirchheim,+Heimstettner+Str.+3,+85551+Kirchheim+bei+M&#252;nchen&amp;destination=48.1177363355919,11.44319250119349&amp;travelmode=car" TargetMode="External"/><Relationship Id="rId3170" Type="http://schemas.openxmlformats.org/officeDocument/2006/relationships/hyperlink" Target="https://www.google.com/maps/dir/?api=1&amp;origin=Gymnasium+Kirchheim,+Heimstettner+Str.+3,+85551+Kirchheim+bei+M&#252;nchen&amp;destination=48.01169903505028,11.246930644367383&amp;travelmode=car" TargetMode="External"/><Relationship Id="rId1608" Type="http://schemas.openxmlformats.org/officeDocument/2006/relationships/hyperlink" Target="https://www.google.com/maps/dir/?api=1&amp;origin=Gymnasium+Kirchheim,+Heimstettner+Str.+3,+85551+Kirchheim+bei+M&#252;nchen&amp;destination=48.14796750671317,11.500916160110199&amp;travelmode=car" TargetMode="External"/><Relationship Id="rId1815" Type="http://schemas.openxmlformats.org/officeDocument/2006/relationships/hyperlink" Target="https://www.google.com/maps/dir/?api=1&amp;origin=Gymnasium+Kirchheim,+Heimstettner+Str.+3,+85551+Kirchheim+bei+M&#252;nchen&amp;destination=48.131394340757296,11.858793469207484&amp;travelmode=car" TargetMode="External"/><Relationship Id="rId3030" Type="http://schemas.openxmlformats.org/officeDocument/2006/relationships/hyperlink" Target="https://www.google.com/maps/dir/?api=1&amp;origin=Gymnasium+Kirchheim,+Heimstettner+Str.+3,+85551+Kirchheim+bei+M&#252;nchen&amp;destination=48.02606415548041,11.66254056390037&amp;travelmode=car" TargetMode="External"/><Relationship Id="rId2589" Type="http://schemas.openxmlformats.org/officeDocument/2006/relationships/hyperlink" Target="https://www.google.com/maps/dir/?api=1&amp;origin=Gymnasium+Kirchheim,+Heimstettner+Str.+3,+85551+Kirchheim+bei+M&#252;nchen&amp;destination=48.064047524145245,11.650996073983201&amp;travelmode=car" TargetMode="External"/><Relationship Id="rId2796" Type="http://schemas.openxmlformats.org/officeDocument/2006/relationships/hyperlink" Target="https://www.google.com/maps/dir/?api=1&amp;origin=Gymnasium+Kirchheim,+Heimstettner+Str.+3,+85551+Kirchheim+bei+M&#252;nchen&amp;destination=48.047086161065174,11.997320130001427&amp;travelmode=car" TargetMode="External"/><Relationship Id="rId768" Type="http://schemas.openxmlformats.org/officeDocument/2006/relationships/hyperlink" Target="https://www.google.com/maps/dir/?api=1&amp;origin=Gymnasium+Kirchheim,+Heimstettner+Str.+3,+85551+Kirchheim+bei+M&#252;nchen&amp;destination=48.22183830261996,11.962688898444616&amp;travelmode=car" TargetMode="External"/><Relationship Id="rId975" Type="http://schemas.openxmlformats.org/officeDocument/2006/relationships/hyperlink" Target="https://www.google.com/maps/dir/?api=1&amp;origin=Gymnasium+Kirchheim,+Heimstettner+Str.+3,+85551+Kirchheim+bei+M&#252;nchen&amp;destination=48.20137901275028,11.304654858343824&amp;travelmode=car" TargetMode="External"/><Relationship Id="rId1398" Type="http://schemas.openxmlformats.org/officeDocument/2006/relationships/hyperlink" Target="https://www.google.com/maps/dir/?api=1&amp;origin=Gymnasium+Kirchheim,+Heimstettner+Str.+3,+85551+Kirchheim+bei+M&#252;nchen&amp;destination=48.167581078650805,12.12429853084091&amp;travelmode=car" TargetMode="External"/><Relationship Id="rId2449" Type="http://schemas.openxmlformats.org/officeDocument/2006/relationships/hyperlink" Target="https://www.google.com/maps/dir/?api=1&amp;origin=Gymnasium+Kirchheim,+Heimstettner+Str.+3,+85551+Kirchheim+bei+M&#252;nchen&amp;destination=48.07695686045923,12.066581641260367&amp;travelmode=car" TargetMode="External"/><Relationship Id="rId2656" Type="http://schemas.openxmlformats.org/officeDocument/2006/relationships/hyperlink" Target="https://www.google.com/maps/dir/?api=1&amp;origin=Gymnasium+Kirchheim,+Heimstettner+Str.+3,+85551+Kirchheim+bei+M&#252;nchen&amp;destination=48.057090276113684,11.408558185690326&amp;travelmode=car" TargetMode="External"/><Relationship Id="rId2863" Type="http://schemas.openxmlformats.org/officeDocument/2006/relationships/hyperlink" Target="https://www.google.com/maps/dir/?api=1&amp;origin=Gymnasium+Kirchheim,+Heimstettner+Str.+3,+85551+Kirchheim+bei+M&#252;nchen&amp;destination=48.040749343725814,11.777984299500497&amp;travelmode=car" TargetMode="External"/><Relationship Id="rId628" Type="http://schemas.openxmlformats.org/officeDocument/2006/relationships/hyperlink" Target="https://www.google.com/maps/dir/?api=1&amp;origin=Gymnasium+Kirchheim,+Heimstettner+Str.+3,+85551+Kirchheim+bei+M&#252;nchen&amp;destination=48.23169222097793,11.350834171536942&amp;travelmode=car" TargetMode="External"/><Relationship Id="rId835" Type="http://schemas.openxmlformats.org/officeDocument/2006/relationships/hyperlink" Target="https://www.google.com/maps/dir/?api=1&amp;origin=Gymnasium+Kirchheim,+Heimstettner+Str.+3,+85551+Kirchheim+bei+M&#252;nchen&amp;destination=48.21553615522802,11.720262709205143&amp;travelmode=car" TargetMode="External"/><Relationship Id="rId1258" Type="http://schemas.openxmlformats.org/officeDocument/2006/relationships/hyperlink" Target="https://www.google.com/maps/dir/?api=1&amp;origin=Gymnasium+Kirchheim,+Heimstettner+Str.+3,+85551+Kirchheim+bei+M&#252;nchen&amp;destination=48.178263383447025,11.524005541398747&amp;travelmode=car" TargetMode="External"/><Relationship Id="rId1465" Type="http://schemas.openxmlformats.org/officeDocument/2006/relationships/hyperlink" Target="https://www.google.com/maps/dir/?api=1&amp;origin=Gymnasium+Kirchheim,+Heimstettner+Str.+3,+85551+Kirchheim+bei+M&#252;nchen&amp;destination=48.161618583981216,11.881881555040426&amp;travelmode=car" TargetMode="External"/><Relationship Id="rId1672" Type="http://schemas.openxmlformats.org/officeDocument/2006/relationships/hyperlink" Target="https://www.google.com/maps/dir/?api=1&amp;origin=Gymnasium+Kirchheim,+Heimstettner+Str.+3,+85551+Kirchheim+bei+M&#252;nchen&amp;destination=48.14386354479042,12.239729209273484&amp;travelmode=car" TargetMode="External"/><Relationship Id="rId2309" Type="http://schemas.openxmlformats.org/officeDocument/2006/relationships/hyperlink" Target="https://www.google.com/maps/dir/?api=1&amp;origin=Gymnasium+Kirchheim,+Heimstettner+Str.+3,+85551+Kirchheim+bei+M&#252;nchen&amp;destination=48.08733877888797,11.466281997410366&amp;travelmode=car" TargetMode="External"/><Relationship Id="rId2516" Type="http://schemas.openxmlformats.org/officeDocument/2006/relationships/hyperlink" Target="https://www.google.com/maps/dir/?api=1&amp;origin=Gymnasium+Kirchheim,+Heimstettner+Str.+3,+85551+Kirchheim+bei+M&#252;nchen&amp;destination=48.07093199048471,11.81261696011681&amp;travelmode=car" TargetMode="External"/><Relationship Id="rId2723" Type="http://schemas.openxmlformats.org/officeDocument/2006/relationships/hyperlink" Target="https://www.google.com/maps/dir/?api=1&amp;origin=Gymnasium+Kirchheim,+Heimstettner+Str.+3,+85551+Kirchheim+bei+M&#252;nchen&amp;destination=48.0532970838315,12.182014408588692&amp;travelmode=car" TargetMode="External"/><Relationship Id="rId1118" Type="http://schemas.openxmlformats.org/officeDocument/2006/relationships/hyperlink" Target="https://www.google.com/maps/dir/?api=1&amp;origin=Gymnasium+Kirchheim,+Heimstettner+Str.+3,+85551+Kirchheim+bei+M&#252;nchen&amp;destination=48.19163023345158,11.939601244041153&amp;travelmode=car" TargetMode="External"/><Relationship Id="rId1325" Type="http://schemas.openxmlformats.org/officeDocument/2006/relationships/hyperlink" Target="https://www.google.com/maps/dir/?api=1&amp;origin=Gymnasium+Kirchheim,+Heimstettner+Str.+3,+85551+Kirchheim+bei+M&#252;nchen&amp;destination=48.17103922892155,11.281565179283442&amp;travelmode=car" TargetMode="External"/><Relationship Id="rId1532" Type="http://schemas.openxmlformats.org/officeDocument/2006/relationships/hyperlink" Target="https://www.google.com/maps/dir/?api=1&amp;origin=Gymnasium+Kirchheim,+Heimstettner+Str.+3,+85551+Kirchheim+bei+M&#252;nchen&amp;destination=48.1551466017578,11.639451564999296&amp;travelmode=car" TargetMode="External"/><Relationship Id="rId2930" Type="http://schemas.openxmlformats.org/officeDocument/2006/relationships/hyperlink" Target="https://www.google.com/maps/dir/?api=1&amp;origin=Gymnasium+Kirchheim,+Heimstettner+Str.+3,+85551+Kirchheim+bei+M&#252;nchen&amp;destination=48.03408903737009,11.524005541398747&amp;travelmode=car" TargetMode="External"/><Relationship Id="rId902" Type="http://schemas.openxmlformats.org/officeDocument/2006/relationships/hyperlink" Target="https://www.google.com/maps/dir/?api=1&amp;origin=Gymnasium+Kirchheim,+Heimstettner+Str.+3,+85551+Kirchheim+bei+M&#252;nchen&amp;destination=48.208724489971694,11.477826729716085&amp;travelmode=car" TargetMode="External"/><Relationship Id="rId3497" Type="http://schemas.openxmlformats.org/officeDocument/2006/relationships/hyperlink" Target="https://www.google.com/maps/dir/?api=1&amp;origin=Gymnasium+Kirchheim,+Heimstettner+Str.+3,+85551+Kirchheim+bei+M&#252;nchen&amp;destination=47.98653252954197,11.97423267615872&amp;travelmode=car" TargetMode="External"/><Relationship Id="rId31" Type="http://schemas.openxmlformats.org/officeDocument/2006/relationships/hyperlink" Target="https://www.google.com/maps/dir/?api=1&amp;origin=Gymnasium+Kirchheim,+Heimstettner+Str.+3,+85551+Kirchheim+bei+M&#252;nchen&amp;destination=48.28433534920964,11.581728752359444&amp;travelmode=car" TargetMode="External"/><Relationship Id="rId2099" Type="http://schemas.openxmlformats.org/officeDocument/2006/relationships/hyperlink" Target="https://www.google.com/maps/dir/?api=1&amp;origin=Gymnasium+Kirchheim,+Heimstettner+Str.+3,+85551+Kirchheim+bei+M&#252;nchen&amp;destination=48.107139514508006,12.089668514337413&amp;travelmode=car" TargetMode="External"/><Relationship Id="rId278" Type="http://schemas.openxmlformats.org/officeDocument/2006/relationships/hyperlink" Target="https://www.google.com/maps/dir/?api=1&amp;origin=Gymnasium+Kirchheim,+Heimstettner+Str.+3,+85551+Kirchheim+bei+M&#252;nchen&amp;destination=48.26200311832469,11.385468600664204&amp;travelmode=car" TargetMode="External"/><Relationship Id="rId3357" Type="http://schemas.openxmlformats.org/officeDocument/2006/relationships/hyperlink" Target="https://www.google.com/maps/dir/?api=1&amp;origin=Gymnasium+Kirchheim,+Heimstettner+Str.+3,+85551+Kirchheim+bei+M&#252;nchen&amp;destination=47.99643381758058,11.373923797311125&amp;travelmode=car" TargetMode="External"/><Relationship Id="rId3564" Type="http://schemas.openxmlformats.org/officeDocument/2006/relationships/hyperlink" Target="https://www.google.com/maps/dir/?api=1&amp;origin=Gymnasium+Kirchheim,+Heimstettner+Str.+3,+85551+Kirchheim+bei+M&#252;nchen&amp;destination=47.980254643843935,11.731807073753979&amp;travelmode=car" TargetMode="External"/><Relationship Id="rId485" Type="http://schemas.openxmlformats.org/officeDocument/2006/relationships/hyperlink" Target="https://www.google.com/maps/dir/?api=1&amp;origin=Gymnasium+Kirchheim,+Heimstettner+Str.+3,+85551+Kirchheim+bei+M&#252;nchen&amp;destination=48.2457881266216,11.743351415580166&amp;travelmode=car" TargetMode="External"/><Relationship Id="rId692" Type="http://schemas.openxmlformats.org/officeDocument/2006/relationships/hyperlink" Target="https://www.google.com/maps/dir/?api=1&amp;origin=Gymnasium+Kirchheim,+Heimstettner+Str.+3,+85551+Kirchheim+bei+M&#252;nchen&amp;destination=48.22846283743607,12.101211892775435&amp;travelmode=car" TargetMode="External"/><Relationship Id="rId2166" Type="http://schemas.openxmlformats.org/officeDocument/2006/relationships/hyperlink" Target="https://www.google.com/maps/dir/?api=1&amp;origin=Gymnasium+Kirchheim,+Heimstettner+Str.+3,+85551+Kirchheim+bei+M&#252;nchen&amp;destination=48.10110423921979,11.847249383329679&amp;travelmode=car" TargetMode="External"/><Relationship Id="rId2373" Type="http://schemas.openxmlformats.org/officeDocument/2006/relationships/hyperlink" Target="https://www.google.com/maps/dir/?api=1&amp;origin=Gymnasium+Kirchheim,+Heimstettner+Str.+3,+85551+Kirchheim+bei+M&#252;nchen&amp;destination=48.08345663474975,12.205100461762754&amp;travelmode=car" TargetMode="External"/><Relationship Id="rId2580" Type="http://schemas.openxmlformats.org/officeDocument/2006/relationships/hyperlink" Target="https://www.google.com/maps/dir/?api=1&amp;origin=Gymnasium+Kirchheim,+Heimstettner+Str.+3,+85551+Kirchheim+bei+M&#252;nchen&amp;destination=48.064380292382936,11.547094869402834&amp;travelmode=car" TargetMode="External"/><Relationship Id="rId3217" Type="http://schemas.openxmlformats.org/officeDocument/2006/relationships/hyperlink" Target="https://www.google.com/maps/dir/?api=1&amp;origin=Gymnasium+Kirchheim,+Heimstettner+Str.+3,+85551+Kirchheim+bei+M&#252;nchen&amp;destination=48.01034138944176,11.789528545213775&amp;travelmode=car" TargetMode="External"/><Relationship Id="rId3424" Type="http://schemas.openxmlformats.org/officeDocument/2006/relationships/hyperlink" Target="https://www.google.com/maps/dir/?api=1&amp;origin=Gymnasium+Kirchheim,+Heimstettner+Str.+3,+85551+Kirchheim+bei+M&#252;nchen&amp;destination=47.99287284704093,12.147385007013046&amp;travelmode=car" TargetMode="External"/><Relationship Id="rId138" Type="http://schemas.openxmlformats.org/officeDocument/2006/relationships/hyperlink" Target="https://www.google.com/maps/dir/?api=1&amp;origin=Gymnasium+Kirchheim,+Heimstettner+Str.+3,+85551+Kirchheim+bei+M&#252;nchen&amp;destination=48.27586909544349,11.801072765593279&amp;travelmode=car" TargetMode="External"/><Relationship Id="rId345" Type="http://schemas.openxmlformats.org/officeDocument/2006/relationships/hyperlink" Target="https://www.google.com/maps/dir/?api=1&amp;origin=Gymnasium+Kirchheim,+Heimstettner+Str.+3,+85551+Kirchheim+bei+M&#252;nchen&amp;destination=48.25836474022301,12.158928183084447&amp;travelmode=car" TargetMode="External"/><Relationship Id="rId552" Type="http://schemas.openxmlformats.org/officeDocument/2006/relationships/hyperlink" Target="https://www.google.com/maps/dir/?api=1&amp;origin=Gymnasium+Kirchheim,+Heimstettner+Str.+3,+85551+Kirchheim+bei+M&#252;nchen&amp;destination=48.239024988445976,11.500916160110199&amp;travelmode=car" TargetMode="External"/><Relationship Id="rId1182" Type="http://schemas.openxmlformats.org/officeDocument/2006/relationships/hyperlink" Target="https://www.google.com/maps/dir/?api=1&amp;origin=Gymnasium+Kirchheim,+Heimstettner+Str.+3,+85551+Kirchheim+bei+M&#252;nchen&amp;destination=48.18541474851281,11.66254056390037&amp;travelmode=car" TargetMode="External"/><Relationship Id="rId2026" Type="http://schemas.openxmlformats.org/officeDocument/2006/relationships/hyperlink" Target="https://www.google.com/maps/dir/?api=1&amp;origin=Gymnasium+Kirchheim,+Heimstettner+Str.+3,+85551+Kirchheim+bei+M&#252;nchen&amp;destination=48.110344640260806,11.246930644367383&amp;travelmode=car" TargetMode="External"/><Relationship Id="rId2233" Type="http://schemas.openxmlformats.org/officeDocument/2006/relationships/hyperlink" Target="https://www.google.com/maps/dir/?api=1&amp;origin=Gymnasium+Kirchheim,+Heimstettner+Str.+3,+85551+Kirchheim+bei+M&#252;nchen&amp;destination=48.094559469161204,11.604817928870196&amp;travelmode=car" TargetMode="External"/><Relationship Id="rId2440" Type="http://schemas.openxmlformats.org/officeDocument/2006/relationships/hyperlink" Target="https://www.google.com/maps/dir/?api=1&amp;origin=Gymnasium+Kirchheim,+Heimstettner+Str.+3,+85551+Kirchheim+bei+M&#252;nchen&amp;destination=48.07766395654301,11.962688898444616&amp;travelmode=car" TargetMode="External"/><Relationship Id="rId205" Type="http://schemas.openxmlformats.org/officeDocument/2006/relationships/hyperlink" Target="https://www.google.com/maps/dir/?api=1&amp;origin=Gymnasium+Kirchheim,+Heimstettner+Str.+3,+85551+Kirchheim+bei+M&#252;nchen&amp;destination=48.269227273693836,11.55863951211732&amp;travelmode=car" TargetMode="External"/><Relationship Id="rId412" Type="http://schemas.openxmlformats.org/officeDocument/2006/relationships/hyperlink" Target="https://www.google.com/maps/dir/?api=1&amp;origin=Gymnasium+Kirchheim,+Heimstettner+Str.+3,+85551+Kirchheim+bei+M&#252;nchen&amp;destination=48.25247502491629,11.916513461151142&amp;travelmode=car" TargetMode="External"/><Relationship Id="rId1042" Type="http://schemas.openxmlformats.org/officeDocument/2006/relationships/hyperlink" Target="https://www.google.com/maps/dir/?api=1&amp;origin=Gymnasium+Kirchheim,+Heimstettner+Str.+3,+85551+Kirchheim+bei+M&#252;nchen&amp;destination=48.19828249376919,12.078125096991752&amp;travelmode=car" TargetMode="External"/><Relationship Id="rId2300" Type="http://schemas.openxmlformats.org/officeDocument/2006/relationships/hyperlink" Target="https://www.google.com/maps/dir/?api=1&amp;origin=Gymnasium+Kirchheim,+Heimstettner+Str.+3,+85551+Kirchheim+bei+M&#252;nchen&amp;destination=48.087517874901,11.350834171536942&amp;travelmode=car" TargetMode="External"/><Relationship Id="rId1999" Type="http://schemas.openxmlformats.org/officeDocument/2006/relationships/hyperlink" Target="https://www.google.com/maps/dir/?api=1&amp;origin=Gymnasium+Kirchheim,+Heimstettner+Str.+3,+85551+Kirchheim+bei+M&#252;nchen&amp;destination=48.11560457393168,11.962688898444616&amp;travelmode=car" TargetMode="External"/><Relationship Id="rId1859" Type="http://schemas.openxmlformats.org/officeDocument/2006/relationships/hyperlink" Target="https://www.google.com/maps/dir/?api=1&amp;origin=Gymnasium+Kirchheim,+Heimstettner+Str.+3,+85551+Kirchheim+bei+M&#252;nchen&amp;destination=48.12545849228966,11.350834171536942&amp;travelmode=car" TargetMode="External"/><Relationship Id="rId3074" Type="http://schemas.openxmlformats.org/officeDocument/2006/relationships/hyperlink" Target="https://www.google.com/maps/dir/?api=1&amp;origin=Gymnasium+Kirchheim,+Heimstettner+Str.+3,+85551+Kirchheim+bei+M&#252;nchen&amp;destination=48.02313291241327,12.158928183084447&amp;travelmode=car" TargetMode="External"/><Relationship Id="rId1719" Type="http://schemas.openxmlformats.org/officeDocument/2006/relationships/hyperlink" Target="https://www.google.com/maps/dir/?api=1&amp;origin=Gymnasium+Kirchheim,+Heimstettner+Str.+3,+85551+Kirchheim+bei+M&#252;nchen&amp;destination=48.13939494893635,11.777984299500497&amp;travelmode=car" TargetMode="External"/><Relationship Id="rId1926" Type="http://schemas.openxmlformats.org/officeDocument/2006/relationships/hyperlink" Target="https://www.google.com/maps/dir/?api=1&amp;origin=Gymnasium+Kirchheim,+Heimstettner+Str.+3,+85551+Kirchheim+bei+M&#252;nchen&amp;destination=48.12214130085228,12.112755231783899&amp;travelmode=car" TargetMode="External"/><Relationship Id="rId3281" Type="http://schemas.openxmlformats.org/officeDocument/2006/relationships/hyperlink" Target="https://www.google.com/maps/dir/?api=1&amp;origin=Gymnasium+Kirchheim,+Heimstettner+Str.+3,+85551+Kirchheim+bei+M&#252;nchen&amp;destination=48.003765429764066,11.512460857153851&amp;travelmode=car" TargetMode="External"/><Relationship Id="rId2090" Type="http://schemas.openxmlformats.org/officeDocument/2006/relationships/hyperlink" Target="https://www.google.com/maps/dir/?api=1&amp;origin=Gymnasium+Kirchheim,+Heimstettner+Str.+3,+85551+Kirchheim+bei+M&#252;nchen&amp;destination=48.10786740466126,11.985776420185003&amp;travelmode=car" TargetMode="External"/><Relationship Id="rId3141" Type="http://schemas.openxmlformats.org/officeDocument/2006/relationships/hyperlink" Target="https://www.google.com/maps/dir/?api=1&amp;origin=Gymnasium+Kirchheim,+Heimstettner+Str.+3,+85551+Kirchheim+bei+M&#252;nchen&amp;destination=48.01717387292563,11.928057368395926&amp;travelmode=car" TargetMode="External"/><Relationship Id="rId3001" Type="http://schemas.openxmlformats.org/officeDocument/2006/relationships/hyperlink" Target="https://www.google.com/maps/dir/?api=1&amp;origin=Gymnasium+Kirchheim,+Heimstettner+Str.+3,+85551+Kirchheim+bei+M&#252;nchen&amp;destination=48.0268348408386,11.327744523821421&amp;travelmode=car" TargetMode="External"/><Relationship Id="rId879" Type="http://schemas.openxmlformats.org/officeDocument/2006/relationships/hyperlink" Target="https://www.google.com/maps/dir/?api=1&amp;origin=Gymnasium+Kirchheim,+Heimstettner+Str.+3,+85551+Kirchheim+bei+M&#252;nchen&amp;destination=48.212156656090016,12.239729209273484&amp;travelmode=car" TargetMode="External"/><Relationship Id="rId2767" Type="http://schemas.openxmlformats.org/officeDocument/2006/relationships/hyperlink" Target="https://www.google.com/maps/dir/?api=1&amp;origin=Gymnasium+Kirchheim,+Heimstettner+Str.+3,+85551+Kirchheim+bei+M&#252;nchen&amp;destination=48.04878461924465,11.67408503422851&amp;travelmode=car" TargetMode="External"/><Relationship Id="rId739" Type="http://schemas.openxmlformats.org/officeDocument/2006/relationships/hyperlink" Target="https://www.google.com/maps/dir/?api=1&amp;origin=Gymnasium+Kirchheim,+Heimstettner+Str.+3,+85551+Kirchheim+bei+M&#252;nchen&amp;destination=48.223439713057395,11.639451564999296&amp;travelmode=car" TargetMode="External"/><Relationship Id="rId1369" Type="http://schemas.openxmlformats.org/officeDocument/2006/relationships/hyperlink" Target="https://www.google.com/maps/dir/?api=1&amp;origin=Gymnasium+Kirchheim,+Heimstettner+Str.+3,+85551+Kirchheim+bei+M&#252;nchen&amp;destination=48.16969198247418,11.789528545213775&amp;travelmode=car" TargetMode="External"/><Relationship Id="rId1576" Type="http://schemas.openxmlformats.org/officeDocument/2006/relationships/hyperlink" Target="https://www.google.com/maps/dir/?api=1&amp;origin=Gymnasium+Kirchheim,+Heimstettner+Str.+3,+85551+Kirchheim+bei+M&#252;nchen&amp;destination=48.15222344007334,12.147385007013046&amp;travelmode=car" TargetMode="External"/><Relationship Id="rId2974" Type="http://schemas.openxmlformats.org/officeDocument/2006/relationships/hyperlink" Target="https://www.google.com/maps/dir/?api=1&amp;origin=Gymnasium+Kirchheim,+Heimstettner+Str.+3,+85551+Kirchheim+bei+M&#252;nchen&amp;destination=48.03167421535442,12.031951048971356&amp;travelmode=car" TargetMode="External"/><Relationship Id="rId946" Type="http://schemas.openxmlformats.org/officeDocument/2006/relationships/hyperlink" Target="https://www.google.com/maps/dir/?api=1&amp;origin=Gymnasium+Kirchheim,+Heimstettner+Str.+3,+85551+Kirchheim+bei+M&#252;nchen&amp;destination=48.206513009871784,11.985776420185003&amp;travelmode=car" TargetMode="External"/><Relationship Id="rId1229" Type="http://schemas.openxmlformats.org/officeDocument/2006/relationships/hyperlink" Target="https://www.google.com/maps/dir/?api=1&amp;origin=Gymnasium+Kirchheim,+Heimstettner+Str.+3,+85551+Kirchheim+bei+M&#252;nchen&amp;destination=48.182102239960294,12.205100461762754&amp;travelmode=car" TargetMode="External"/><Relationship Id="rId1783" Type="http://schemas.openxmlformats.org/officeDocument/2006/relationships/hyperlink" Target="https://www.google.com/maps/dir/?api=1&amp;origin=Gymnasium+Kirchheim,+Heimstettner+Str.+3,+85551+Kirchheim+bei+M&#252;nchen&amp;destination=48.13281783519474,11.489371450790154&amp;travelmode=car" TargetMode="External"/><Relationship Id="rId1990" Type="http://schemas.openxmlformats.org/officeDocument/2006/relationships/hyperlink" Target="https://www.google.com/maps/dir/?api=1&amp;origin=Gymnasium+Kirchheim,+Heimstettner+Str.+3,+85551+Kirchheim+bei+M&#252;nchen&amp;destination=48.11628048617525,11.847249383329679&amp;travelmode=car" TargetMode="External"/><Relationship Id="rId2627" Type="http://schemas.openxmlformats.org/officeDocument/2006/relationships/hyperlink" Target="https://www.google.com/maps/dir/?api=1&amp;origin=Gymnasium+Kirchheim,+Heimstettner+Str.+3,+85551+Kirchheim+bei+M&#252;nchen&amp;destination=48.06152412092592,12.101211892775435&amp;travelmode=car" TargetMode="External"/><Relationship Id="rId2834" Type="http://schemas.openxmlformats.org/officeDocument/2006/relationships/hyperlink" Target="https://www.google.com/maps/dir/?api=1&amp;origin=Gymnasium+Kirchheim,+Heimstettner+Str.+3,+85551+Kirchheim+bei+M&#252;nchen&amp;destination=48.041875899043696,11.431647738327094&amp;travelmode=car" TargetMode="External"/><Relationship Id="rId75" Type="http://schemas.openxmlformats.org/officeDocument/2006/relationships/hyperlink" Target="https://www.google.com/maps/dir/?api=1&amp;origin=Gymnasium+Kirchheim,+Heimstettner+Str.+3,+85551+Kirchheim+bei+M&#252;nchen&amp;destination=48.281579701780196,12.101211892775435&amp;travelmode=car" TargetMode="External"/><Relationship Id="rId806" Type="http://schemas.openxmlformats.org/officeDocument/2006/relationships/hyperlink" Target="https://www.google.com/maps/dir/?api=1&amp;origin=Gymnasium+Kirchheim,+Heimstettner+Str.+3,+85551+Kirchheim+bei+M&#252;nchen&amp;destination=48.21647437745828,11.385468600664204&amp;travelmode=car" TargetMode="External"/><Relationship Id="rId1436" Type="http://schemas.openxmlformats.org/officeDocument/2006/relationships/hyperlink" Target="https://www.google.com/maps/dir/?api=1&amp;origin=Gymnasium+Kirchheim,+Heimstettner+Str.+3,+85551+Kirchheim+bei+M&#252;nchen&amp;destination=48.16302589759348,11.547094869402834&amp;travelmode=car" TargetMode="External"/><Relationship Id="rId1643" Type="http://schemas.openxmlformats.org/officeDocument/2006/relationships/hyperlink" Target="https://www.google.com/maps/dir/?api=1&amp;origin=Gymnasium+Kirchheim,+Heimstettner+Str.+3,+85551+Kirchheim+bei+M&#252;nchen&amp;destination=48.14630946512198,11.90496952282889&amp;travelmode=car" TargetMode="External"/><Relationship Id="rId1850" Type="http://schemas.openxmlformats.org/officeDocument/2006/relationships/hyperlink" Target="https://www.google.com/maps/dir/?api=1&amp;origin=Gymnasium+Kirchheim,+Heimstettner+Str.+3,+85551+Kirchheim+bei+M&#252;nchen&amp;destination=48.125520887216275,11.246930644367383&amp;travelmode=car" TargetMode="External"/><Relationship Id="rId2901" Type="http://schemas.openxmlformats.org/officeDocument/2006/relationships/hyperlink" Target="https://www.google.com/maps/dir/?api=1&amp;origin=Gymnasium+Kirchheim,+Heimstettner+Str.+3,+85551+Kirchheim+bei+M&#252;nchen&amp;destination=48.03792789388335,12.205100461762754&amp;travelmode=car" TargetMode="External"/><Relationship Id="rId1503" Type="http://schemas.openxmlformats.org/officeDocument/2006/relationships/hyperlink" Target="https://www.google.com/maps/dir/?api=1&amp;origin=Gymnasium+Kirchheim,+Heimstettner+Str.+3,+85551+Kirchheim+bei+M&#252;nchen&amp;destination=48.155850271883885,11.304654858343824&amp;travelmode=car" TargetMode="External"/><Relationship Id="rId1710" Type="http://schemas.openxmlformats.org/officeDocument/2006/relationships/hyperlink" Target="https://www.google.com/maps/dir/?api=1&amp;origin=Gymnasium+Kirchheim,+Heimstettner+Str.+3,+85551+Kirchheim+bei+M&#252;nchen&amp;destination=48.13988600764642,11.66254056390037&amp;travelmode=car" TargetMode="External"/><Relationship Id="rId3468" Type="http://schemas.openxmlformats.org/officeDocument/2006/relationships/hyperlink" Target="https://www.google.com/maps/dir/?api=1&amp;origin=Gymnasium+Kirchheim,+Heimstettner+Str.+3,+85551+Kirchheim+bei+M&#252;nchen&amp;destination=47.98824832572736,11.627907037470955&amp;travelmode=car" TargetMode="External"/><Relationship Id="rId389" Type="http://schemas.openxmlformats.org/officeDocument/2006/relationships/hyperlink" Target="https://www.google.com/maps/dir/?api=1&amp;origin=Gymnasium+Kirchheim,+Heimstettner+Str.+3,+85551+Kirchheim+bei+M&#252;nchen&amp;destination=48.25375061108859,11.650996073983201&amp;travelmode=car" TargetMode="External"/><Relationship Id="rId596" Type="http://schemas.openxmlformats.org/officeDocument/2006/relationships/hyperlink" Target="https://www.google.com/maps/dir/?api=1&amp;origin=Gymnasium+Kirchheim,+Heimstettner+Str.+3,+85551+Kirchheim+bei+M&#252;nchen&amp;destination=48.23671183699108,12.00886380508597&amp;travelmode=car" TargetMode="External"/><Relationship Id="rId2277" Type="http://schemas.openxmlformats.org/officeDocument/2006/relationships/hyperlink" Target="https://www.google.com/maps/dir/?api=1&amp;origin=Gymnasium+Kirchheim,+Heimstettner+Str.+3,+85551+Kirchheim+bei+M&#252;nchen&amp;destination=48.09178880694134,12.112755231783899&amp;travelmode=car" TargetMode="External"/><Relationship Id="rId2484" Type="http://schemas.openxmlformats.org/officeDocument/2006/relationships/hyperlink" Target="https://www.google.com/maps/dir/?api=1&amp;origin=Gymnasium+Kirchheim,+Heimstettner+Str.+3,+85551+Kirchheim+bei+M&#252;nchen&amp;destination=48.07218564105082,11.454737254395377&amp;travelmode=car" TargetMode="External"/><Relationship Id="rId2691" Type="http://schemas.openxmlformats.org/officeDocument/2006/relationships/hyperlink" Target="https://www.google.com/maps/dir/?api=1&amp;origin=Gymnasium+Kirchheim,+Heimstettner+Str.+3,+85551+Kirchheim+bei+M&#252;nchen&amp;destination=48.05575574352925,11.81261696011681&amp;travelmode=car" TargetMode="External"/><Relationship Id="rId3328" Type="http://schemas.openxmlformats.org/officeDocument/2006/relationships/hyperlink" Target="https://www.google.com/maps/dir/?api=1&amp;origin=Gymnasium+Kirchheim,+Heimstettner+Str.+3,+85551+Kirchheim+bei+M&#252;nchen&amp;destination=48.00124084473663,12.043494616728212&amp;travelmode=car" TargetMode="External"/><Relationship Id="rId3535" Type="http://schemas.openxmlformats.org/officeDocument/2006/relationships/hyperlink" Target="https://www.google.com/maps/dir/?api=1&amp;origin=Gymnasium+Kirchheim,+Heimstettner+Str.+3,+85551+Kirchheim+bei+M&#252;nchen&amp;destination=47.981226373218504,11.397013396964736&amp;travelmode=car" TargetMode="External"/><Relationship Id="rId249" Type="http://schemas.openxmlformats.org/officeDocument/2006/relationships/hyperlink" Target="https://www.google.com/maps/dir/?api=1&amp;origin=Gymnasium+Kirchheim,+Heimstettner+Str.+3,+85551+Kirchheim+bei+M&#252;nchen&amp;destination=48.266659947402566,12.066581641260367&amp;travelmode=car" TargetMode="External"/><Relationship Id="rId456" Type="http://schemas.openxmlformats.org/officeDocument/2006/relationships/hyperlink" Target="https://www.google.com/maps/dir/?api=1&amp;origin=Gymnasium+Kirchheim,+Heimstettner+Str.+3,+85551+Kirchheim+bei+M&#252;nchen&amp;destination=48.24679336305704,11.408558185690326&amp;travelmode=car" TargetMode="External"/><Relationship Id="rId663" Type="http://schemas.openxmlformats.org/officeDocument/2006/relationships/hyperlink" Target="https://www.google.com/maps/dir/?api=1&amp;origin=Gymnasium+Kirchheim,+Heimstettner+Str.+3,+85551+Kirchheim+bei+M&#252;nchen&amp;destination=48.230452430669146,11.777984299500497&amp;travelmode=car" TargetMode="External"/><Relationship Id="rId870" Type="http://schemas.openxmlformats.org/officeDocument/2006/relationships/hyperlink" Target="https://www.google.com/maps/dir/?api=1&amp;origin=Gymnasium+Kirchheim,+Heimstettner+Str.+3,+85551+Kirchheim+bei+M&#252;nchen&amp;destination=48.21310981951722,12.12429853084091&amp;travelmode=car" TargetMode="External"/><Relationship Id="rId1086" Type="http://schemas.openxmlformats.org/officeDocument/2006/relationships/hyperlink" Target="https://www.google.com/maps/dir/?api=1&amp;origin=Gymnasium+Kirchheim,+Heimstettner+Str.+3,+85551+Kirchheim+bei+M&#252;nchen&amp;destination=48.193312530906354,11.570184139943638&amp;travelmode=car" TargetMode="External"/><Relationship Id="rId1293" Type="http://schemas.openxmlformats.org/officeDocument/2006/relationships/hyperlink" Target="https://www.google.com/maps/dir/?api=1&amp;origin=Gymnasium+Kirchheim,+Heimstettner+Str.+3,+85551+Kirchheim+bei+M&#252;nchen&amp;destination=48.176524465958046,11.928057368395926&amp;travelmode=car" TargetMode="External"/><Relationship Id="rId2137" Type="http://schemas.openxmlformats.org/officeDocument/2006/relationships/hyperlink" Target="https://www.google.com/maps/dir/?api=1&amp;origin=Gymnasium+Kirchheim,+Heimstettner+Str.+3,+85551+Kirchheim+bei+M&#252;nchen&amp;destination=48.1024110349746,11.512460857153851&amp;travelmode=car" TargetMode="External"/><Relationship Id="rId2344" Type="http://schemas.openxmlformats.org/officeDocument/2006/relationships/hyperlink" Target="https://www.google.com/maps/dir/?api=1&amp;origin=Gymnasium+Kirchheim,+Heimstettner+Str.+3,+85551+Kirchheim+bei+M&#252;nchen&amp;destination=48.085802052202276,11.870337526618448&amp;travelmode=car" TargetMode="External"/><Relationship Id="rId2551" Type="http://schemas.openxmlformats.org/officeDocument/2006/relationships/hyperlink" Target="https://www.google.com/maps/dir/?api=1&amp;origin=Gymnasium+Kirchheim,+Heimstettner+Str.+3,+85551+Kirchheim+bei+M&#252;nchen&amp;destination=48.06798231001308,12.239729209273484&amp;travelmode=car" TargetMode="External"/><Relationship Id="rId109" Type="http://schemas.openxmlformats.org/officeDocument/2006/relationships/hyperlink" Target="https://www.google.com/maps/dir/?api=1&amp;origin=Gymnasium+Kirchheim,+Heimstettner+Str.+3,+85551+Kirchheim+bei+M&#252;nchen&amp;destination=48.27704186583131,11.466281997410366&amp;travelmode=car" TargetMode="External"/><Relationship Id="rId316" Type="http://schemas.openxmlformats.org/officeDocument/2006/relationships/hyperlink" Target="https://www.google.com/maps/dir/?api=1&amp;origin=Gymnasium+Kirchheim,+Heimstettner+Str.+3,+85551+Kirchheim+bei+M&#252;nchen&amp;destination=48.26057615103203,11.824161128262173&amp;travelmode=car" TargetMode="External"/><Relationship Id="rId523" Type="http://schemas.openxmlformats.org/officeDocument/2006/relationships/hyperlink" Target="https://www.google.com/maps/dir/?api=1&amp;origin=Gymnasium+Kirchheim,+Heimstettner+Str.+3,+85551+Kirchheim+bei+M&#252;nchen&amp;destination=48.24300017077485,12.182014408588692&amp;travelmode=car" TargetMode="External"/><Relationship Id="rId1153" Type="http://schemas.openxmlformats.org/officeDocument/2006/relationships/hyperlink" Target="https://www.google.com/maps/dir/?api=1&amp;origin=Gymnasium+Kirchheim,+Heimstettner+Str.+3,+85551+Kirchheim+bei+M&#252;nchen&amp;destination=48.18618543387101,11.327744523821421&amp;travelmode=car" TargetMode="External"/><Relationship Id="rId2204" Type="http://schemas.openxmlformats.org/officeDocument/2006/relationships/hyperlink" Target="https://www.google.com/maps/dir/?api=1&amp;origin=Gymnasium+Kirchheim,+Heimstettner+Str.+3,+85551+Kirchheim+bei+M&#252;nchen&amp;destination=48.09516261599327,11.27002033596574&amp;travelmode=car" TargetMode="External"/><Relationship Id="rId3602" Type="http://schemas.openxmlformats.org/officeDocument/2006/relationships/hyperlink" Target="https://www.google.com/maps/dir/?api=1&amp;origin=Gymnasium+Kirchheim,+Heimstettner+Str.+3,+85551+Kirchheim+bei+M&#252;nchen&amp;destination=47.97760417154688,12.158928183084447&amp;travelmode=car" TargetMode="External"/><Relationship Id="rId730" Type="http://schemas.openxmlformats.org/officeDocument/2006/relationships/hyperlink" Target="https://www.google.com/maps/dir/?api=1&amp;origin=Gymnasium+Kirchheim,+Heimstettner+Str.+3,+85551+Kirchheim+bei+M&#252;nchen&amp;destination=48.223821010618344,11.512460857153851&amp;travelmode=car" TargetMode="External"/><Relationship Id="rId1013" Type="http://schemas.openxmlformats.org/officeDocument/2006/relationships/hyperlink" Target="https://www.google.com/maps/dir/?api=1&amp;origin=Gymnasium+Kirchheim,+Heimstettner+Str.+3,+85551+Kirchheim+bei+M&#252;nchen&amp;destination=48.200259385755196,11.743351415580166&amp;travelmode=car" TargetMode="External"/><Relationship Id="rId1360" Type="http://schemas.openxmlformats.org/officeDocument/2006/relationships/hyperlink" Target="https://www.google.com/maps/dir/?api=1&amp;origin=Gymnasium+Kirchheim,+Heimstettner+Str.+3,+85551+Kirchheim+bei+M&#252;nchen&amp;destination=48.17014953283041,11.685629484445332&amp;travelmode=car" TargetMode="External"/><Relationship Id="rId2411" Type="http://schemas.openxmlformats.org/officeDocument/2006/relationships/hyperlink" Target="https://www.google.com/maps/dir/?api=1&amp;origin=Gymnasium+Kirchheim,+Heimstettner+Str.+3,+85551+Kirchheim+bei+M&#252;nchen&amp;destination=48.07930580746015,11.627907037470955&amp;travelmode=car" TargetMode="External"/><Relationship Id="rId1220" Type="http://schemas.openxmlformats.org/officeDocument/2006/relationships/hyperlink" Target="https://www.google.com/maps/dir/?api=1&amp;origin=Gymnasium+Kirchheim,+Heimstettner+Str.+3,+85551+Kirchheim+bei+M&#252;nchen&amp;destination=48.18293409656967,12.101211892775435&amp;travelmode=car" TargetMode="External"/><Relationship Id="rId3185" Type="http://schemas.openxmlformats.org/officeDocument/2006/relationships/hyperlink" Target="https://www.google.com/maps/dir/?api=1&amp;origin=Gymnasium+Kirchheim,+Heimstettner+Str.+3,+85551+Kirchheim+bei+M&#252;nchen&amp;destination=48.01154304791453,11.420102966318577&amp;travelmode=car" TargetMode="External"/><Relationship Id="rId3392" Type="http://schemas.openxmlformats.org/officeDocument/2006/relationships/hyperlink" Target="https://www.google.com/maps/dir/?api=1&amp;origin=Gymnasium+Kirchheim,+Heimstettner+Str.+3,+85551+Kirchheim+bei+M&#252;nchen&amp;destination=47.995220602859405,11.777984299500497&amp;travelmode=car" TargetMode="External"/><Relationship Id="rId3045" Type="http://schemas.openxmlformats.org/officeDocument/2006/relationships/hyperlink" Target="https://www.google.com/maps/dir/?api=1&amp;origin=Gymnasium+Kirchheim,+Heimstettner+Str.+3,+85551+Kirchheim+bei+M&#252;nchen&amp;destination=48.02528424149529,11.835705269507187&amp;travelmode=car" TargetMode="External"/><Relationship Id="rId3252" Type="http://schemas.openxmlformats.org/officeDocument/2006/relationships/hyperlink" Target="https://www.google.com/maps/dir/?api=1&amp;origin=Gymnasium+Kirchheim,+Heimstettner+Str.+3,+85551+Kirchheim+bei+M&#252;nchen&amp;destination=48.007672449027154,12.193557456977898&amp;travelmode=car" TargetMode="External"/><Relationship Id="rId173" Type="http://schemas.openxmlformats.org/officeDocument/2006/relationships/hyperlink" Target="https://www.google.com/maps/dir/?api=1&amp;origin=Gymnasium+Kirchheim,+Heimstettner+Str.+3,+85551+Kirchheim+bei+M&#252;nchen&amp;destination=48.2731597216931,12.205100461762754&amp;travelmode=car" TargetMode="External"/><Relationship Id="rId380" Type="http://schemas.openxmlformats.org/officeDocument/2006/relationships/hyperlink" Target="https://www.google.com/maps/dir/?api=1&amp;origin=Gymnasium+Kirchheim,+Heimstettner+Str.+3,+85551+Kirchheim+bei+M&#252;nchen&amp;destination=48.25408337932628,11.547094869402834&amp;travelmode=car" TargetMode="External"/><Relationship Id="rId2061" Type="http://schemas.openxmlformats.org/officeDocument/2006/relationships/hyperlink" Target="https://www.google.com/maps/dir/?api=1&amp;origin=Gymnasium+Kirchheim,+Heimstettner+Str.+3,+85551+Kirchheim+bei+M&#252;nchen&amp;destination=48.109576265011654,11.650996073983201&amp;travelmode=car" TargetMode="External"/><Relationship Id="rId3112" Type="http://schemas.openxmlformats.org/officeDocument/2006/relationships/hyperlink" Target="https://www.google.com/maps/dir/?api=1&amp;origin=Gymnasium+Kirchheim,+Heimstettner+Str.+3,+85551+Kirchheim+bei+M&#252;nchen&amp;destination=48.01871520864307,11.593273348842407&amp;travelmode=car" TargetMode="External"/><Relationship Id="rId240" Type="http://schemas.openxmlformats.org/officeDocument/2006/relationships/hyperlink" Target="https://www.google.com/maps/dir/?api=1&amp;origin=Gymnasium+Kirchheim,+Heimstettner+Str.+3,+85551+Kirchheim+bei+M&#252;nchen&amp;destination=48.26736704348636,11.962688898444616&amp;travelmode=car" TargetMode="External"/><Relationship Id="rId100" Type="http://schemas.openxmlformats.org/officeDocument/2006/relationships/hyperlink" Target="https://www.google.com/maps/dir/?api=1&amp;origin=Gymnasium+Kirchheim,+Heimstettner+Str.+3,+85551+Kirchheim+bei+M&#252;nchen&amp;destination=48.277208251778525,11.362378987427904&amp;travelmode=car" TargetMode="External"/><Relationship Id="rId2878" Type="http://schemas.openxmlformats.org/officeDocument/2006/relationships/hyperlink" Target="https://www.google.com/maps/dir/?api=1&amp;origin=Gymnasium+Kirchheim,+Heimstettner+Str.+3,+85551+Kirchheim+bei+M&#252;nchen&amp;destination=48.03986776389691,11.939601244041153&amp;travelmode=car" TargetMode="External"/><Relationship Id="rId1687" Type="http://schemas.openxmlformats.org/officeDocument/2006/relationships/hyperlink" Target="https://www.google.com/maps/dir/?api=1&amp;origin=Gymnasium+Kirchheim,+Heimstettner+Str.+3,+85551+Kirchheim+bei+M&#252;nchen&amp;destination=48.14057696625091,11.397013396964736&amp;travelmode=car" TargetMode="External"/><Relationship Id="rId1894" Type="http://schemas.openxmlformats.org/officeDocument/2006/relationships/hyperlink" Target="https://www.google.com/maps/dir/?api=1&amp;origin=Gymnasium+Kirchheim,+Heimstettner+Str.+3,+85551+Kirchheim+bei+M&#252;nchen&amp;destination=48.12432615667053,11.754895734161472&amp;travelmode=car" TargetMode="External"/><Relationship Id="rId2738" Type="http://schemas.openxmlformats.org/officeDocument/2006/relationships/hyperlink" Target="https://www.google.com/maps/dir/?api=1&amp;origin=Gymnasium+Kirchheim,+Heimstettner+Str.+3,+85551+Kirchheim+bei+M&#252;nchen&amp;destination=48.0495888121211,11.339289350160644&amp;travelmode=car" TargetMode="External"/><Relationship Id="rId2945" Type="http://schemas.openxmlformats.org/officeDocument/2006/relationships/hyperlink" Target="https://www.google.com/maps/dir/?api=1&amp;origin=Gymnasium+Kirchheim,+Heimstettner+Str.+3,+85551+Kirchheim+bei+M&#252;nchen&amp;destination=48.0334697199638,11.708718322455919&amp;travelmode=car" TargetMode="External"/><Relationship Id="rId917" Type="http://schemas.openxmlformats.org/officeDocument/2006/relationships/hyperlink" Target="https://www.google.com/maps/dir/?api=1&amp;origin=Gymnasium+Kirchheim,+Heimstettner+Str.+3,+85551+Kirchheim+bei+M&#252;nchen&amp;destination=48.20822187022219,11.650996073983201&amp;travelmode=car" TargetMode="External"/><Relationship Id="rId1547" Type="http://schemas.openxmlformats.org/officeDocument/2006/relationships/hyperlink" Target="https://www.google.com/maps/dir/?api=1&amp;origin=Gymnasium+Kirchheim,+Heimstettner+Str.+3,+85551+Kirchheim+bei+M&#252;nchen&amp;destination=48.15440134873978,11.81261696011681&amp;travelmode=car" TargetMode="External"/><Relationship Id="rId1754" Type="http://schemas.openxmlformats.org/officeDocument/2006/relationships/hyperlink" Target="https://www.google.com/maps/dir/?api=1&amp;origin=Gymnasium+Kirchheim,+Heimstettner+Str.+3,+85551+Kirchheim+bei+M&#252;nchen&amp;destination=48.13686118089951,12.170471317116936&amp;travelmode=car" TargetMode="External"/><Relationship Id="rId1961" Type="http://schemas.openxmlformats.org/officeDocument/2006/relationships/hyperlink" Target="https://www.google.com/maps/dir/?api=1&amp;origin=Gymnasium+Kirchheim,+Heimstettner+Str.+3,+85551+Kirchheim+bei+M&#252;nchen&amp;destination=48.11758728193008,11.512460857153851&amp;travelmode=car" TargetMode="External"/><Relationship Id="rId2805" Type="http://schemas.openxmlformats.org/officeDocument/2006/relationships/hyperlink" Target="https://www.google.com/maps/dir/?api=1&amp;origin=Gymnasium+Kirchheim,+Heimstettner+Str.+3,+85551+Kirchheim+bei+M&#252;nchen&amp;destination=48.046260066074936,12.112755231783899&amp;travelmode=car" TargetMode="External"/><Relationship Id="rId46" Type="http://schemas.openxmlformats.org/officeDocument/2006/relationships/hyperlink" Target="https://www.google.com/maps/dir/?api=1&amp;origin=Gymnasium+Kirchheim,+Heimstettner+Str.+3,+85551+Kirchheim+bei+M&#252;nchen&amp;destination=48.28367674970293,11.754895734161472&amp;travelmode=car" TargetMode="External"/><Relationship Id="rId1407" Type="http://schemas.openxmlformats.org/officeDocument/2006/relationships/hyperlink" Target="https://www.google.com/maps/dir/?api=1&amp;origin=Gymnasium+Kirchheim,+Heimstettner+Str.+3,+85551+Kirchheim+bei+M&#252;nchen&amp;destination=48.16672842957837,12.228186338432307&amp;travelmode=car" TargetMode="External"/><Relationship Id="rId1614" Type="http://schemas.openxmlformats.org/officeDocument/2006/relationships/hyperlink" Target="https://www.google.com/maps/dir/?api=1&amp;origin=Gymnasium+Kirchheim,+Heimstettner+Str.+3,+85551+Kirchheim+bei+M&#252;nchen&amp;destination=48.14778379003995,11.570184139943638&amp;travelmode=car" TargetMode="External"/><Relationship Id="rId1821" Type="http://schemas.openxmlformats.org/officeDocument/2006/relationships/hyperlink" Target="https://www.google.com/maps/dir/?api=1&amp;origin=Gymnasium+Kirchheim,+Heimstettner+Str.+3,+85551+Kirchheim+bei+M&#252;nchen&amp;destination=48.13092524562971,11.939601244041153&amp;travelmode=car" TargetMode="External"/><Relationship Id="rId3579" Type="http://schemas.openxmlformats.org/officeDocument/2006/relationships/hyperlink" Target="https://www.google.com/maps/dir/?api=1&amp;origin=Gymnasium+Kirchheim,+Heimstettner+Str.+3,+85551+Kirchheim+bei+M&#252;nchen&amp;destination=47.97937074861184,11.90496952282889&amp;travelmode=car" TargetMode="External"/><Relationship Id="rId2388" Type="http://schemas.openxmlformats.org/officeDocument/2006/relationships/hyperlink" Target="https://www.google.com/maps/dir/?api=1&amp;origin=Gymnasium+Kirchheim,+Heimstettner+Str.+3,+85551+Kirchheim+bei+M&#252;nchen&amp;destination=48.07991704135745,11.362378987427904&amp;travelmode=car" TargetMode="External"/><Relationship Id="rId2595" Type="http://schemas.openxmlformats.org/officeDocument/2006/relationships/hyperlink" Target="https://www.google.com/maps/dir/?api=1&amp;origin=Gymnasium+Kirchheim,+Heimstettner+Str.+3,+85551+Kirchheim+bei+M&#252;nchen&amp;destination=48.06377368567335,11.720262709205143&amp;travelmode=car" TargetMode="External"/><Relationship Id="rId3439" Type="http://schemas.openxmlformats.org/officeDocument/2006/relationships/hyperlink" Target="https://www.google.com/maps/dir/?api=1&amp;origin=Gymnasium+Kirchheim,+Heimstettner+Str.+3,+85551+Kirchheim+bei+M&#252;nchen&amp;destination=47.98891155537375,11.304654858343824&amp;travelmode=car" TargetMode="External"/><Relationship Id="rId567" Type="http://schemas.openxmlformats.org/officeDocument/2006/relationships/hyperlink" Target="https://www.google.com/maps/dir/?api=1&amp;origin=Gymnasium+Kirchheim,+Heimstettner+Str.+3,+85551+Kirchheim+bei+M&#252;nchen&amp;destination=48.23848770618798,11.67408503422851&amp;travelmode=car" TargetMode="External"/><Relationship Id="rId1197" Type="http://schemas.openxmlformats.org/officeDocument/2006/relationships/hyperlink" Target="https://www.google.com/maps/dir/?api=1&amp;origin=Gymnasium+Kirchheim,+Heimstettner+Str.+3,+85551+Kirchheim+bei+M&#252;nchen&amp;destination=48.18457359747485,11.847249383329679&amp;travelmode=car" TargetMode="External"/><Relationship Id="rId2248" Type="http://schemas.openxmlformats.org/officeDocument/2006/relationships/hyperlink" Target="https://www.google.com/maps/dir/?api=1&amp;origin=Gymnasium+Kirchheim,+Heimstettner+Str.+3,+85551+Kirchheim+bei+M&#252;nchen&amp;destination=48.093866208069954,11.777984299500497&amp;travelmode=car" TargetMode="External"/><Relationship Id="rId774" Type="http://schemas.openxmlformats.org/officeDocument/2006/relationships/hyperlink" Target="https://www.google.com/maps/dir/?api=1&amp;origin=Gymnasium+Kirchheim,+Heimstettner+Str.+3,+85551+Kirchheim+bei+M&#252;nchen&amp;destination=48.22137730229777,12.031951048971356&amp;travelmode=car" TargetMode="External"/><Relationship Id="rId981" Type="http://schemas.openxmlformats.org/officeDocument/2006/relationships/hyperlink" Target="https://www.google.com/maps/dir/?api=1&amp;origin=Gymnasium+Kirchheim,+Heimstettner+Str.+3,+85551+Kirchheim+bei+M&#252;nchen&amp;destination=48.2013131514794,11.373923797311125&amp;travelmode=car" TargetMode="External"/><Relationship Id="rId1057" Type="http://schemas.openxmlformats.org/officeDocument/2006/relationships/hyperlink" Target="https://www.google.com/maps/dir/?api=1&amp;origin=Gymnasium+Kirchheim,+Heimstettner+Str.+3,+85551+Kirchheim+bei+M&#252;nchen&amp;destination=48.19381399851587,11.246930644367383&amp;travelmode=car" TargetMode="External"/><Relationship Id="rId2455" Type="http://schemas.openxmlformats.org/officeDocument/2006/relationships/hyperlink" Target="https://www.google.com/maps/dir/?api=1&amp;origin=Gymnasium+Kirchheim,+Heimstettner+Str.+3,+85551+Kirchheim+bei+M&#252;nchen&amp;destination=48.07643347868548,12.135841789424584&amp;travelmode=car" TargetMode="External"/><Relationship Id="rId2662" Type="http://schemas.openxmlformats.org/officeDocument/2006/relationships/hyperlink" Target="https://www.google.com/maps/dir/?api=1&amp;origin=Gymnasium+Kirchheim,+Heimstettner+Str.+3,+85551+Kirchheim+bei+M&#252;nchen&amp;destination=48.056962020417025,11.477826729716085&amp;travelmode=car" TargetMode="External"/><Relationship Id="rId3506" Type="http://schemas.openxmlformats.org/officeDocument/2006/relationships/hyperlink" Target="https://www.google.com/maps/dir/?api=1&amp;origin=Gymnasium+Kirchheim,+Heimstettner+Str.+3,+85551+Kirchheim+bei+M&#252;nchen&amp;destination=47.985815036392644,12.078125096991752&amp;travelmode=car" TargetMode="External"/><Relationship Id="rId427" Type="http://schemas.openxmlformats.org/officeDocument/2006/relationships/hyperlink" Target="https://www.google.com/maps/dir/?api=1&amp;origin=Gymnasium+Kirchheim,+Heimstettner+Str.+3,+85551+Kirchheim+bei+M&#252;nchen&amp;destination=48.25131386058494,12.089668514337413&amp;travelmode=car" TargetMode="External"/><Relationship Id="rId634" Type="http://schemas.openxmlformats.org/officeDocument/2006/relationships/hyperlink" Target="https://www.google.com/maps/dir/?api=1&amp;origin=Gymnasium+Kirchheim,+Heimstettner+Str.+3,+85551+Kirchheim+bei+M&#252;nchen&amp;destination=48.231578985987035,11.431647738327094&amp;travelmode=car" TargetMode="External"/><Relationship Id="rId841" Type="http://schemas.openxmlformats.org/officeDocument/2006/relationships/hyperlink" Target="https://www.google.com/maps/dir/?api=1&amp;origin=Gymnasium+Kirchheim,+Heimstettner+Str.+3,+85551+Kirchheim+bei+M&#252;nchen&amp;destination=48.21516410762161,11.801072765593279&amp;travelmode=car" TargetMode="External"/><Relationship Id="rId1264" Type="http://schemas.openxmlformats.org/officeDocument/2006/relationships/hyperlink" Target="https://www.google.com/maps/dir/?api=1&amp;origin=Gymnasium+Kirchheim,+Heimstettner+Str.+3,+85551+Kirchheim+bei+M&#252;nchen&amp;destination=48.17806580167549,11.593273348842407&amp;travelmode=car" TargetMode="External"/><Relationship Id="rId1471" Type="http://schemas.openxmlformats.org/officeDocument/2006/relationships/hyperlink" Target="https://www.google.com/maps/dir/?api=1&amp;origin=Gymnasium+Kirchheim,+Heimstettner+Str.+3,+85551+Kirchheim+bei+M&#252;nchen&amp;destination=48.161206104803775,11.95114508756474&amp;travelmode=car" TargetMode="External"/><Relationship Id="rId2108" Type="http://schemas.openxmlformats.org/officeDocument/2006/relationships/hyperlink" Target="https://www.google.com/maps/dir/?api=1&amp;origin=Gymnasium+Kirchheim,+Heimstettner+Str.+3,+85551+Kirchheim+bei+M&#252;nchen&amp;destination=48.10631805423769,12.193557456977898&amp;travelmode=car" TargetMode="External"/><Relationship Id="rId2315" Type="http://schemas.openxmlformats.org/officeDocument/2006/relationships/hyperlink" Target="https://www.google.com/maps/dir/?api=1&amp;origin=Gymnasium+Kirchheim,+Heimstettner+Str.+3,+85551+Kirchheim+bei+M&#252;nchen&amp;destination=48.087175859979034,11.535550212322528&amp;travelmode=car" TargetMode="External"/><Relationship Id="rId2522" Type="http://schemas.openxmlformats.org/officeDocument/2006/relationships/hyperlink" Target="https://www.google.com/maps/dir/?api=1&amp;origin=Gymnasium+Kirchheim,+Heimstettner+Str.+3,+85551+Kirchheim+bei+M&#252;nchen&amp;destination=48.07049524394581,11.893425553951282&amp;travelmode=car" TargetMode="External"/><Relationship Id="rId701" Type="http://schemas.openxmlformats.org/officeDocument/2006/relationships/hyperlink" Target="https://www.google.com/maps/dir/?api=1&amp;origin=Gymnasium+Kirchheim,+Heimstettner+Str.+3,+85551+Kirchheim+bei+M&#252;nchen&amp;destination=48.227630980826696,12.205100461762754&amp;travelmode=car" TargetMode="External"/><Relationship Id="rId1124" Type="http://schemas.openxmlformats.org/officeDocument/2006/relationships/hyperlink" Target="https://www.google.com/maps/dir/?api=1&amp;origin=Gymnasium+Kirchheim,+Heimstettner+Str.+3,+85551+Kirchheim+bei+M&#252;nchen&amp;destination=48.19118309612467,12.00886380508597&amp;travelmode=car" TargetMode="External"/><Relationship Id="rId1331" Type="http://schemas.openxmlformats.org/officeDocument/2006/relationships/hyperlink" Target="https://www.google.com/maps/dir/?api=1&amp;origin=Gymnasium+Kirchheim,+Heimstettner+Str.+3,+85551+Kirchheim+bei+M&#252;nchen&amp;destination=48.17098723315607,11.350834171536942&amp;travelmode=car" TargetMode="External"/><Relationship Id="rId3089" Type="http://schemas.openxmlformats.org/officeDocument/2006/relationships/hyperlink" Target="https://www.google.com/maps/dir/?api=1&amp;origin=Gymnasium+Kirchheim,+Heimstettner+Str.+3,+85551+Kirchheim+bei+M&#252;nchen&amp;destination=48.01924671736088,11.327744523821421&amp;travelmode=car" TargetMode="External"/><Relationship Id="rId3296" Type="http://schemas.openxmlformats.org/officeDocument/2006/relationships/hyperlink" Target="https://www.google.com/maps/dir/?api=1&amp;origin=Gymnasium+Kirchheim,+Heimstettner+Str.+3,+85551+Kirchheim+bei+M&#252;nchen&amp;destination=48.00321081632027,11.685629484445332&amp;travelmode=car" TargetMode="External"/><Relationship Id="rId3156" Type="http://schemas.openxmlformats.org/officeDocument/2006/relationships/hyperlink" Target="https://www.google.com/maps/dir/?api=1&amp;origin=Gymnasium+Kirchheim,+Heimstettner+Str.+3,+85551+Kirchheim+bei+M&#252;nchen&amp;destination=48.01608203277521,12.089668514337413&amp;travelmode=car" TargetMode="External"/><Relationship Id="rId3363" Type="http://schemas.openxmlformats.org/officeDocument/2006/relationships/hyperlink" Target="https://www.google.com/maps/dir/?api=1&amp;origin=Gymnasium+Kirchheim,+Heimstettner+Str.+3,+85551+Kirchheim+bei+M&#252;nchen&amp;destination=47.99630440627348,11.454737254395377&amp;travelmode=car" TargetMode="External"/><Relationship Id="rId284" Type="http://schemas.openxmlformats.org/officeDocument/2006/relationships/hyperlink" Target="https://www.google.com/maps/dir/?api=1&amp;origin=Gymnasium+Kirchheim,+Heimstettner+Str.+3,+85551+Kirchheim+bei+M&#252;nchen&amp;destination=48.26188872799417,11.454737254395377&amp;travelmode=car" TargetMode="External"/><Relationship Id="rId491" Type="http://schemas.openxmlformats.org/officeDocument/2006/relationships/hyperlink" Target="https://www.google.com/maps/dir/?api=1&amp;origin=Gymnasium+Kirchheim,+Heimstettner+Str.+3,+85551+Kirchheim+bei+M&#252;nchen&amp;destination=48.245458830472586,11.81261696011681&amp;travelmode=car" TargetMode="External"/><Relationship Id="rId2172" Type="http://schemas.openxmlformats.org/officeDocument/2006/relationships/hyperlink" Target="https://www.google.com/maps/dir/?api=1&amp;origin=Gymnasium+Kirchheim,+Heimstettner+Str.+3,+85551+Kirchheim+bei+M&#252;nchen&amp;destination=48.10071255536162,11.916513461151142&amp;travelmode=car" TargetMode="External"/><Relationship Id="rId3016" Type="http://schemas.openxmlformats.org/officeDocument/2006/relationships/hyperlink" Target="https://www.google.com/maps/dir/?api=1&amp;origin=Gymnasium+Kirchheim,+Heimstettner+Str.+3,+85551+Kirchheim+bei+M&#252;nchen&amp;destination=48.026557531069436,11.500916160110199&amp;travelmode=car" TargetMode="External"/><Relationship Id="rId3223" Type="http://schemas.openxmlformats.org/officeDocument/2006/relationships/hyperlink" Target="https://www.google.com/maps/dir/?api=1&amp;origin=Gymnasium+Kirchheim,+Heimstettner+Str.+3,+85551+Kirchheim+bei+M&#252;nchen&amp;destination=48.00998436511355,11.858793469207484&amp;travelmode=car" TargetMode="External"/><Relationship Id="rId3570" Type="http://schemas.openxmlformats.org/officeDocument/2006/relationships/hyperlink" Target="https://www.google.com/maps/dir/?api=1&amp;origin=Gymnasium+Kirchheim,+Heimstettner+Str.+3,+85551+Kirchheim+bei+M&#252;nchen&amp;destination=47.97993227981188,11.801072765593279&amp;travelmode=car" TargetMode="External"/><Relationship Id="rId144" Type="http://schemas.openxmlformats.org/officeDocument/2006/relationships/hyperlink" Target="https://www.google.com/maps/dir/?api=1&amp;origin=Gymnasium+Kirchheim,+Heimstettner+Str.+3,+85551+Kirchheim+bei+M&#252;nchen&amp;destination=48.27550513914562,11.870337526618448&amp;travelmode=car" TargetMode="External"/><Relationship Id="rId3430" Type="http://schemas.openxmlformats.org/officeDocument/2006/relationships/hyperlink" Target="https://www.google.com/maps/dir/?api=1&amp;origin=Gymnasium+Kirchheim,+Heimstettner+Str.+3,+85551+Kirchheim+bei+M&#252;nchen&amp;destination=47.99230094885374,12.21664342242148&amp;travelmode=car" TargetMode="External"/><Relationship Id="rId351" Type="http://schemas.openxmlformats.org/officeDocument/2006/relationships/hyperlink" Target="https://www.google.com/maps/dir/?api=1&amp;origin=Gymnasium+Kirchheim,+Heimstettner+Str.+3,+85551+Kirchheim+bei+M&#252;nchen&amp;destination=48.257785911311174,12.228186338432307&amp;travelmode=car" TargetMode="External"/><Relationship Id="rId2032" Type="http://schemas.openxmlformats.org/officeDocument/2006/relationships/hyperlink" Target="https://www.google.com/maps/dir/?api=1&amp;origin=Gymnasium+Kirchheim,+Heimstettner+Str.+3,+85551+Kirchheim+bei+M&#252;nchen&amp;destination=48.11031344278545,11.316199693041677&amp;travelmode=car" TargetMode="External"/><Relationship Id="rId2989" Type="http://schemas.openxmlformats.org/officeDocument/2006/relationships/hyperlink" Target="https://www.google.com/maps/dir/?api=1&amp;origin=Gymnasium+Kirchheim,+Heimstettner+Str.+3,+85551+Kirchheim+bei+M&#252;nchen&amp;destination=48.03033977040562,12.205100461762754&amp;travelmode=car" TargetMode="External"/><Relationship Id="rId211" Type="http://schemas.openxmlformats.org/officeDocument/2006/relationships/hyperlink" Target="https://www.google.com/maps/dir/?api=1&amp;origin=Gymnasium+Kirchheim,+Heimstettner+Str.+3,+85551+Kirchheim+bei+M&#252;nchen&amp;destination=48.269008894403505,11.627907037470955&amp;travelmode=car" TargetMode="External"/><Relationship Id="rId1798" Type="http://schemas.openxmlformats.org/officeDocument/2006/relationships/hyperlink" Target="https://www.google.com/maps/dir/?api=1&amp;origin=Gymnasium+Kirchheim,+Heimstettner+Str.+3,+85551+Kirchheim+bei+M&#252;nchen&amp;destination=48.13229788416867,11.66254056390037&amp;travelmode=car" TargetMode="External"/><Relationship Id="rId2849" Type="http://schemas.openxmlformats.org/officeDocument/2006/relationships/hyperlink" Target="https://www.google.com/maps/dir/?api=1&amp;origin=Gymnasium+Kirchheim,+Heimstettner+Str.+3,+85551+Kirchheim+bei+M&#252;nchen&amp;destination=48.04144260481707,11.604817928870196&amp;travelmode=car" TargetMode="External"/><Relationship Id="rId1658" Type="http://schemas.openxmlformats.org/officeDocument/2006/relationships/hyperlink" Target="https://www.google.com/maps/dir/?api=1&amp;origin=Gymnasium+Kirchheim,+Heimstettner+Str.+3,+85551+Kirchheim+bei+M&#252;nchen&amp;destination=48.14516562942506,12.078125096991752&amp;travelmode=car" TargetMode="External"/><Relationship Id="rId1865" Type="http://schemas.openxmlformats.org/officeDocument/2006/relationships/hyperlink" Target="https://www.google.com/maps/dir/?api=1&amp;origin=Gymnasium+Kirchheim,+Heimstettner+Str.+3,+85551+Kirchheim+bei+M&#252;nchen&amp;destination=48.125364900080534,11.420102966318577&amp;travelmode=car" TargetMode="External"/><Relationship Id="rId2709" Type="http://schemas.openxmlformats.org/officeDocument/2006/relationships/hyperlink" Target="https://www.google.com/maps/dir/?api=1&amp;origin=Gymnasium+Kirchheim,+Heimstettner+Str.+3,+85551+Kirchheim+bei+M&#252;nchen&amp;destination=48.05451830727146,12.02040744491661&amp;travelmode=car" TargetMode="External"/><Relationship Id="rId1518" Type="http://schemas.openxmlformats.org/officeDocument/2006/relationships/hyperlink" Target="https://www.google.com/maps/dir/?api=1&amp;origin=Gymnasium+Kirchheim,+Heimstettner+Str.+3,+85551+Kirchheim+bei+M&#252;nchen&amp;destination=48.15560762562756,11.477826729716085&amp;travelmode=car" TargetMode="External"/><Relationship Id="rId2916" Type="http://schemas.openxmlformats.org/officeDocument/2006/relationships/hyperlink" Target="https://www.google.com/maps/dir/?api=1&amp;origin=Gymnasium+Kirchheim,+Heimstettner+Str.+3,+85551+Kirchheim+bei+M&#252;nchen&amp;destination=48.034401010556856,11.350834171536942&amp;travelmode=car" TargetMode="External"/><Relationship Id="rId3080" Type="http://schemas.openxmlformats.org/officeDocument/2006/relationships/hyperlink" Target="https://www.google.com/maps/dir/?api=1&amp;origin=Gymnasium+Kirchheim,+Heimstettner+Str.+3,+85551+Kirchheim+bei+M&#252;nchen&amp;destination=48.02245356914668,12.239729209273484&amp;travelmode=car" TargetMode="External"/><Relationship Id="rId1725" Type="http://schemas.openxmlformats.org/officeDocument/2006/relationships/hyperlink" Target="https://www.google.com/maps/dir/?api=1&amp;origin=Gymnasium+Kirchheim,+Heimstettner+Str.+3,+85551+Kirchheim+bei+M&#252;nchen&amp;destination=48.13910609366128,11.835705269507187&amp;travelmode=car" TargetMode="External"/><Relationship Id="rId1932" Type="http://schemas.openxmlformats.org/officeDocument/2006/relationships/hyperlink" Target="https://www.google.com/maps/dir/?api=1&amp;origin=Gymnasium+Kirchheim,+Heimstettner+Str.+3,+85551+Kirchheim+bei+M&#252;nchen&amp;destination=48.12149430119315,12.193557456977898&amp;travelmode=car" TargetMode="External"/><Relationship Id="rId17" Type="http://schemas.openxmlformats.org/officeDocument/2006/relationships/hyperlink" Target="https://www.google.com/maps/dir/?api=1&amp;origin=Gymnasium+Kirchheim,+Heimstettner+Str.+3,+85551+Kirchheim+bei+M&#252;nchen&amp;destination=48.28469585033117,11.431647738327094&amp;travelmode=car" TargetMode="External"/><Relationship Id="rId2499" Type="http://schemas.openxmlformats.org/officeDocument/2006/relationships/hyperlink" Target="https://www.google.com/maps/dir/?api=1&amp;origin=Gymnasium+Kirchheim,+Heimstettner+Str.+3,+85551+Kirchheim+bei+M&#252;nchen&amp;destination=48.07171768398243,11.627907037470955&amp;travelmode=car" TargetMode="External"/><Relationship Id="rId1" Type="http://schemas.openxmlformats.org/officeDocument/2006/relationships/hyperlink" Target="https://www.google.com/maps/dir/?api=1&amp;origin=Gymnasium+Kirchheim,+Heimstettner+Str.+3,+85551+Kirchheim+bei+M&#252;nchen&amp;destination=48.2848726357112,11.235385797131558&amp;travelmode=car" TargetMode="External"/><Relationship Id="rId678" Type="http://schemas.openxmlformats.org/officeDocument/2006/relationships/hyperlink" Target="https://www.google.com/maps/dir/?api=1&amp;origin=Gymnasium+Kirchheim,+Heimstettner+Str.+3,+85551+Kirchheim+bei+M&#252;nchen&amp;destination=48.22964133030218,11.928057368395926&amp;travelmode=car" TargetMode="External"/><Relationship Id="rId885" Type="http://schemas.openxmlformats.org/officeDocument/2006/relationships/hyperlink" Target="https://www.google.com/maps/dir/?api=1&amp;origin=Gymnasium+Kirchheim,+Heimstettner+Str.+3,+85551+Kirchheim+bei+M&#252;nchen&amp;destination=48.20897406899964,11.293110020250275&amp;travelmode=car" TargetMode="External"/><Relationship Id="rId2359" Type="http://schemas.openxmlformats.org/officeDocument/2006/relationships/hyperlink" Target="https://www.google.com/maps/dir/?api=1&amp;origin=Gymnasium+Kirchheim,+Heimstettner+Str.+3,+85551+Kirchheim+bei+M&#252;nchen&amp;destination=48.08471020299171,12.043494616728212&amp;travelmode=car" TargetMode="External"/><Relationship Id="rId2566" Type="http://schemas.openxmlformats.org/officeDocument/2006/relationships/hyperlink" Target="https://www.google.com/maps/dir/?api=1&amp;origin=Gymnasium+Kirchheim,+Heimstettner+Str.+3,+85551+Kirchheim+bei+M&#252;nchen&amp;destination=48.064711907903614,11.385468600664204&amp;travelmode=car" TargetMode="External"/><Relationship Id="rId2773" Type="http://schemas.openxmlformats.org/officeDocument/2006/relationships/hyperlink" Target="https://www.google.com/maps/dir/?api=1&amp;origin=Gymnasium+Kirchheim,+Heimstettner+Str.+3,+85551+Kirchheim+bei+M&#252;nchen&amp;destination=48.04849691620052,11.743351415580166&amp;travelmode=car" TargetMode="External"/><Relationship Id="rId2980" Type="http://schemas.openxmlformats.org/officeDocument/2006/relationships/hyperlink" Target="https://www.google.com/maps/dir/?api=1&amp;origin=Gymnasium+Kirchheim,+Heimstettner+Str.+3,+85551+Kirchheim+bei+M&#252;nchen&amp;destination=48.031171627015,12.101211892775435&amp;travelmode=car" TargetMode="External"/><Relationship Id="rId538" Type="http://schemas.openxmlformats.org/officeDocument/2006/relationships/hyperlink" Target="https://www.google.com/maps/dir/?api=1&amp;origin=Gymnasium+Kirchheim,+Heimstettner+Str.+3,+85551+Kirchheim+bei+M&#252;nchen&amp;destination=48.239302298215144,11.327744523821421&amp;travelmode=car" TargetMode="External"/><Relationship Id="rId745" Type="http://schemas.openxmlformats.org/officeDocument/2006/relationships/hyperlink" Target="https://www.google.com/maps/dir/?api=1&amp;origin=Gymnasium+Kirchheim,+Heimstettner+Str.+3,+85551+Kirchheim+bei+M&#252;nchen&amp;destination=48.22322017973144,11.69717391402856&amp;travelmode=car" TargetMode="External"/><Relationship Id="rId952" Type="http://schemas.openxmlformats.org/officeDocument/2006/relationships/hyperlink" Target="https://www.google.com/maps/dir/?api=1&amp;origin=Gymnasium+Kirchheim,+Heimstettner+Str.+3,+85551+Kirchheim+bei+M&#252;nchen&amp;destination=48.20603814671257,12.055038147665204&amp;travelmode=car" TargetMode="External"/><Relationship Id="rId1168" Type="http://schemas.openxmlformats.org/officeDocument/2006/relationships/hyperlink" Target="https://www.google.com/maps/dir/?api=1&amp;origin=Gymnasium+Kirchheim,+Heimstettner+Str.+3,+85551+Kirchheim+bei+M&#252;nchen&amp;destination=48.18590812410184,11.500916160110199&amp;travelmode=car" TargetMode="External"/><Relationship Id="rId1375" Type="http://schemas.openxmlformats.org/officeDocument/2006/relationships/hyperlink" Target="https://www.google.com/maps/dir/?api=1&amp;origin=Gymnasium+Kirchheim,+Heimstettner+Str.+3,+85551+Kirchheim+bei+M&#252;nchen&amp;destination=48.16933495814597,11.858793469207484&amp;travelmode=car" TargetMode="External"/><Relationship Id="rId1582" Type="http://schemas.openxmlformats.org/officeDocument/2006/relationships/hyperlink" Target="https://www.google.com/maps/dir/?api=1&amp;origin=Gymnasium+Kirchheim,+Heimstettner+Str.+3,+85551+Kirchheim+bei+M&#252;nchen&amp;destination=48.15165154188614,12.21664342242148&amp;travelmode=car" TargetMode="External"/><Relationship Id="rId2219" Type="http://schemas.openxmlformats.org/officeDocument/2006/relationships/hyperlink" Target="https://www.google.com/maps/dir/?api=1&amp;origin=Gymnasium+Kirchheim,+Heimstettner+Str.+3,+85551+Kirchheim+bei+M&#252;nchen&amp;destination=48.09495001148402,11.454737254395377&amp;travelmode=car" TargetMode="External"/><Relationship Id="rId2426" Type="http://schemas.openxmlformats.org/officeDocument/2006/relationships/hyperlink" Target="https://www.google.com/maps/dir/?api=1&amp;origin=Gymnasium+Kirchheim,+Heimstettner+Str.+3,+85551+Kirchheim+bei+M&#252;nchen&amp;destination=48.078577885022405,11.801072765593279&amp;travelmode=car" TargetMode="External"/><Relationship Id="rId2633" Type="http://schemas.openxmlformats.org/officeDocument/2006/relationships/hyperlink" Target="https://www.google.com/maps/dir/?api=1&amp;origin=Gymnasium+Kirchheim,+Heimstettner+Str.+3,+85551+Kirchheim+bei+M&#252;nchen&amp;destination=48.06107352980194,12.158928183084447&amp;travelmode=car" TargetMode="External"/><Relationship Id="rId81" Type="http://schemas.openxmlformats.org/officeDocument/2006/relationships/hyperlink" Target="https://www.google.com/maps/dir/?api=1&amp;origin=Gymnasium+Kirchheim,+Heimstettner+Str.+3,+85551+Kirchheim+bei+M&#252;nchen&amp;destination=48.281129110656224,12.158928183084447&amp;travelmode=car" TargetMode="External"/><Relationship Id="rId605" Type="http://schemas.openxmlformats.org/officeDocument/2006/relationships/hyperlink" Target="https://www.google.com/maps/dir/?api=1&amp;origin=Gymnasium+Kirchheim,+Heimstettner+Str.+3,+85551+Kirchheim+bei+M&#252;nchen&amp;destination=48.235963153018275,12.112755231783899&amp;travelmode=car" TargetMode="External"/><Relationship Id="rId812" Type="http://schemas.openxmlformats.org/officeDocument/2006/relationships/hyperlink" Target="https://www.google.com/maps/dir/?api=1&amp;origin=Gymnasium+Kirchheim,+Heimstettner+Str.+3,+85551+Kirchheim+bei+M&#252;nchen&amp;destination=48.21638194080244,11.44319250119349&amp;travelmode=car" TargetMode="External"/><Relationship Id="rId1028" Type="http://schemas.openxmlformats.org/officeDocument/2006/relationships/hyperlink" Target="https://www.google.com/maps/dir/?api=1&amp;origin=Gymnasium+Kirchheim,+Heimstettner+Str.+3,+85551+Kirchheim+bei+M&#252;nchen&amp;destination=48.19935816057216,11.916513461151142&amp;travelmode=car" TargetMode="External"/><Relationship Id="rId1235" Type="http://schemas.openxmlformats.org/officeDocument/2006/relationships/hyperlink" Target="https://www.google.com/maps/dir/?api=1&amp;origin=Gymnasium+Kirchheim,+Heimstettner+Str.+3,+85551+Kirchheim+bei+M&#252;nchen&amp;destination=48.17863544063549,11.258475490819581&amp;travelmode=car" TargetMode="External"/><Relationship Id="rId1442" Type="http://schemas.openxmlformats.org/officeDocument/2006/relationships/hyperlink" Target="https://www.google.com/maps/dir/?api=1&amp;origin=Gymnasium+Kirchheim,+Heimstettner+Str.+3,+85551+Kirchheim+bei+M&#252;nchen&amp;destination=48.162814450791444,11.616362491920484&amp;travelmode=car" TargetMode="External"/><Relationship Id="rId2840" Type="http://schemas.openxmlformats.org/officeDocument/2006/relationships/hyperlink" Target="https://www.google.com/maps/dir/?api=1&amp;origin=Gymnasium+Kirchheim,+Heimstettner+Str.+3,+85551+Kirchheim+bei+M&#252;nchen&amp;destination=48.041760353461925,11.489371450790154&amp;travelmode=car" TargetMode="External"/><Relationship Id="rId1302" Type="http://schemas.openxmlformats.org/officeDocument/2006/relationships/hyperlink" Target="https://www.google.com/maps/dir/?api=1&amp;origin=Gymnasium+Kirchheim,+Heimstettner+Str.+3,+85551+Kirchheim+bei+M&#252;nchen&amp;destination=48.1759282829152,12.02040744491661&amp;travelmode=car" TargetMode="External"/><Relationship Id="rId2700" Type="http://schemas.openxmlformats.org/officeDocument/2006/relationships/hyperlink" Target="https://www.google.com/maps/dir/?api=1&amp;origin=Gymnasium+Kirchheim,+Heimstettner+Str.+3,+85551+Kirchheim+bei+M&#252;nchen&amp;destination=48.05518381449522,11.916513461151142&amp;travelmode=car" TargetMode="External"/><Relationship Id="rId3267" Type="http://schemas.openxmlformats.org/officeDocument/2006/relationships/hyperlink" Target="https://www.google.com/maps/dir/?api=1&amp;origin=Gymnasium+Kirchheim,+Heimstettner+Str.+3,+85551+Kirchheim+bei+M&#252;nchen&amp;destination=48.00404851664593,11.350834171536942&amp;travelmode=car" TargetMode="External"/><Relationship Id="rId188" Type="http://schemas.openxmlformats.org/officeDocument/2006/relationships/hyperlink" Target="https://www.google.com/maps/dir/?api=1&amp;origin=Gymnasium+Kirchheim,+Heimstettner+Str.+3,+85551+Kirchheim+bei+M&#252;nchen&amp;destination=48.26962012830077,11.362378987427904&amp;travelmode=car" TargetMode="External"/><Relationship Id="rId395" Type="http://schemas.openxmlformats.org/officeDocument/2006/relationships/hyperlink" Target="https://www.google.com/maps/dir/?api=1&amp;origin=Gymnasium+Kirchheim,+Heimstettner+Str.+3,+85551+Kirchheim+bei+M&#252;nchen&amp;destination=48.2534767726167,11.720262709205143&amp;travelmode=car" TargetMode="External"/><Relationship Id="rId2076" Type="http://schemas.openxmlformats.org/officeDocument/2006/relationships/hyperlink" Target="https://www.google.com/maps/dir/?api=1&amp;origin=Gymnasium+Kirchheim,+Heimstettner+Str.+3,+85551+Kirchheim+bei+M&#252;nchen&amp;destination=48.10887260787338,11.81261696011681&amp;travelmode=car" TargetMode="External"/><Relationship Id="rId3474" Type="http://schemas.openxmlformats.org/officeDocument/2006/relationships/hyperlink" Target="https://www.google.com/maps/dir/?api=1&amp;origin=Gymnasium+Kirchheim,+Heimstettner+Str.+3,+85551+Kirchheim+bei+M&#252;nchen&amp;destination=47.9879409790974,11.708718322455919&amp;travelmode=car" TargetMode="External"/><Relationship Id="rId2283" Type="http://schemas.openxmlformats.org/officeDocument/2006/relationships/hyperlink" Target="https://www.google.com/maps/dir/?api=1&amp;origin=Gymnasium+Kirchheim,+Heimstettner+Str.+3,+85551+Kirchheim+bei+M&#252;nchen&amp;destination=48.09114180728222,12.193557456977898&amp;travelmode=car" TargetMode="External"/><Relationship Id="rId2490" Type="http://schemas.openxmlformats.org/officeDocument/2006/relationships/hyperlink" Target="https://www.google.com/maps/dir/?api=1&amp;origin=Gymnasium+Kirchheim,+Heimstettner+Str.+3,+85551+Kirchheim+bei+M&#252;nchen&amp;destination=48.072029654758744,11.524005541398747&amp;travelmode=car" TargetMode="External"/><Relationship Id="rId3127" Type="http://schemas.openxmlformats.org/officeDocument/2006/relationships/hyperlink" Target="https://www.google.com/maps/dir/?api=1&amp;origin=Gymnasium+Kirchheim,+Heimstettner+Str.+3,+85551+Kirchheim+bei+M&#252;nchen&amp;destination=48.01803927831508,11.766440028975659&amp;travelmode=car" TargetMode="External"/><Relationship Id="rId3334" Type="http://schemas.openxmlformats.org/officeDocument/2006/relationships/hyperlink" Target="https://www.google.com/maps/dir/?api=1&amp;origin=Gymnasium+Kirchheim,+Heimstettner+Str.+3,+85551+Kirchheim+bei+M&#252;nchen&amp;destination=48.00073132520853,12.112755231783899&amp;travelmode=car" TargetMode="External"/><Relationship Id="rId3541" Type="http://schemas.openxmlformats.org/officeDocument/2006/relationships/hyperlink" Target="https://www.google.com/maps/dir/?api=1&amp;origin=Gymnasium+Kirchheim,+Heimstettner+Str.+3,+85551+Kirchheim+bei+M&#252;nchen&amp;destination=47.9811050501997,11.466281997410366&amp;travelmode=car" TargetMode="External"/><Relationship Id="rId255" Type="http://schemas.openxmlformats.org/officeDocument/2006/relationships/hyperlink" Target="https://www.google.com/maps/dir/?api=1&amp;origin=Gymnasium+Kirchheim,+Heimstettner+Str.+3,+85551+Kirchheim+bei+M&#252;nchen&amp;destination=48.266045292239355,12.147385007013046&amp;travelmode=car" TargetMode="External"/><Relationship Id="rId462" Type="http://schemas.openxmlformats.org/officeDocument/2006/relationships/hyperlink" Target="https://www.google.com/maps/dir/?api=1&amp;origin=Gymnasium+Kirchheim,+Heimstettner+Str.+3,+85551+Kirchheim+bei+M&#252;nchen&amp;destination=48.246689371920375,11.466281997410366&amp;travelmode=car" TargetMode="External"/><Relationship Id="rId1092" Type="http://schemas.openxmlformats.org/officeDocument/2006/relationships/hyperlink" Target="https://www.google.com/maps/dir/?api=1&amp;origin=Gymnasium+Kirchheim,+Heimstettner+Str.+3,+85551+Kirchheim+bei+M&#252;nchen&amp;destination=48.193087219146456,11.639451564999296&amp;travelmode=car" TargetMode="External"/><Relationship Id="rId2143" Type="http://schemas.openxmlformats.org/officeDocument/2006/relationships/hyperlink" Target="https://www.google.com/maps/dir/?api=1&amp;origin=Gymnasium+Kirchheim,+Heimstettner+Str.+3,+85551+Kirchheim+bei+M&#252;nchen&amp;destination=48.10222038574403,11.581728752359444&amp;travelmode=car" TargetMode="External"/><Relationship Id="rId2350" Type="http://schemas.openxmlformats.org/officeDocument/2006/relationships/hyperlink" Target="https://www.google.com/maps/dir/?api=1&amp;origin=Gymnasium+Kirchheim,+Heimstettner+Str.+3,+85551+Kirchheim+bei+M&#252;nchen&amp;destination=48.08539650476331,11.939601244041153&amp;travelmode=car" TargetMode="External"/><Relationship Id="rId3401" Type="http://schemas.openxmlformats.org/officeDocument/2006/relationships/hyperlink" Target="https://www.google.com/maps/dir/?api=1&amp;origin=Gymnasium+Kirchheim,+Heimstettner+Str.+3,+85551+Kirchheim+bei+M&#252;nchen&amp;destination=47.99467986747108,11.881881555040426&amp;travelmode=car" TargetMode="External"/><Relationship Id="rId115" Type="http://schemas.openxmlformats.org/officeDocument/2006/relationships/hyperlink" Target="https://www.google.com/maps/dir/?api=1&amp;origin=Gymnasium+Kirchheim,+Heimstettner+Str.+3,+85551+Kirchheim+bei+M&#252;nchen&amp;destination=48.27687894692238,11.535550212322528&amp;travelmode=car" TargetMode="External"/><Relationship Id="rId322" Type="http://schemas.openxmlformats.org/officeDocument/2006/relationships/hyperlink" Target="https://www.google.com/maps/dir/?api=1&amp;origin=Gymnasium+Kirchheim,+Heimstettner+Str.+3,+85551+Kirchheim+bei+M&#252;nchen&amp;destination=48.260264189191744,11.881881555040426&amp;travelmode=car" TargetMode="External"/><Relationship Id="rId2003" Type="http://schemas.openxmlformats.org/officeDocument/2006/relationships/hyperlink" Target="https://www.google.com/maps/dir/?api=1&amp;origin=Gymnasium+Kirchheim,+Heimstettner+Str.+3,+85551+Kirchheim+bei+M&#252;nchen&amp;destination=48.11537927236477,11.997320130001427&amp;travelmode=car" TargetMode="External"/><Relationship Id="rId2210" Type="http://schemas.openxmlformats.org/officeDocument/2006/relationships/hyperlink" Target="https://www.google.com/maps/dir/?api=1&amp;origin=Gymnasium+Kirchheim,+Heimstettner+Str.+3,+85551+Kirchheim+bei+M&#252;nchen&amp;destination=48.0951175529875,11.339289350160644&amp;travelmode=car" TargetMode="External"/><Relationship Id="rId1769" Type="http://schemas.openxmlformats.org/officeDocument/2006/relationships/hyperlink" Target="https://www.google.com/maps/dir/?api=1&amp;origin=Gymnasium+Kirchheim,+Heimstettner+Str.+3,+85551+Kirchheim+bei+M&#252;nchen&amp;destination=48.13306856952688,11.327744523821421&amp;travelmode=car" TargetMode="External"/><Relationship Id="rId1976" Type="http://schemas.openxmlformats.org/officeDocument/2006/relationships/hyperlink" Target="https://www.google.com/maps/dir/?api=1&amp;origin=Gymnasium+Kirchheim,+Heimstettner+Str.+3,+85551+Kirchheim+bei+M&#252;nchen&amp;destination=48.11703266848627,11.685629484445332&amp;travelmode=car" TargetMode="External"/><Relationship Id="rId3191" Type="http://schemas.openxmlformats.org/officeDocument/2006/relationships/hyperlink" Target="https://www.google.com/maps/dir/?api=1&amp;origin=Gymnasium+Kirchheim,+Heimstettner+Str.+3,+85551+Kirchheim+bei+M&#252;nchen&amp;destination=48.011381284113966,11.500916160110199&amp;travelmode=car" TargetMode="External"/><Relationship Id="rId1629" Type="http://schemas.openxmlformats.org/officeDocument/2006/relationships/hyperlink" Target="https://www.google.com/maps/dir/?api=1&amp;origin=Gymnasium+Kirchheim,+Heimstettner+Str.+3,+85551+Kirchheim+bei+M&#252;nchen&amp;destination=48.147142521411055,11.743351415580166&amp;travelmode=car" TargetMode="External"/><Relationship Id="rId1836" Type="http://schemas.openxmlformats.org/officeDocument/2006/relationships/hyperlink" Target="https://www.google.com/maps/dir/?api=1&amp;origin=Gymnasium+Kirchheim,+Heimstettner+Str.+3,+85551+Kirchheim+bei+M&#252;nchen&amp;destination=48.12981723222553,12.101211892775435&amp;travelmode=car" TargetMode="External"/><Relationship Id="rId1903" Type="http://schemas.openxmlformats.org/officeDocument/2006/relationships/hyperlink" Target="https://www.google.com/maps/dir/?api=1&amp;origin=Gymnasium+Kirchheim,+Heimstettner+Str.+3,+85551+Kirchheim+bei+M&#252;nchen&amp;destination=48.123806217279565,11.858793469207484&amp;travelmode=car" TargetMode="External"/><Relationship Id="rId3051" Type="http://schemas.openxmlformats.org/officeDocument/2006/relationships/hyperlink" Target="https://www.google.com/maps/dir/?api=1&amp;origin=Gymnasium+Kirchheim,+Heimstettner+Str.+3,+85551+Kirchheim+bei+M&#252;nchen&amp;destination=48.024899489478244,11.90496952282889&amp;travelmode=car" TargetMode="External"/><Relationship Id="rId789" Type="http://schemas.openxmlformats.org/officeDocument/2006/relationships/hyperlink" Target="https://www.google.com/maps/dir/?api=1&amp;origin=Gymnasium+Kirchheim,+Heimstettner+Str.+3,+85551+Kirchheim+bei+M&#252;nchen&amp;destination=48.22004285734895,12.205100461762754&amp;travelmode=car" TargetMode="External"/><Relationship Id="rId996" Type="http://schemas.openxmlformats.org/officeDocument/2006/relationships/hyperlink" Target="https://www.google.com/maps/dir/?api=1&amp;origin=Gymnasium+Kirchheim,+Heimstettner+Str.+3,+85551+Kirchheim+bei+M&#252;nchen&amp;destination=48.20096651498214,11.547094869402834&amp;travelmode=car" TargetMode="External"/><Relationship Id="rId2677" Type="http://schemas.openxmlformats.org/officeDocument/2006/relationships/hyperlink" Target="https://www.google.com/maps/dir/?api=1&amp;origin=Gymnasium+Kirchheim,+Heimstettner+Str.+3,+85551+Kirchheim+bei+M&#252;nchen&amp;destination=48.056459400667514,11.650996073983201&amp;travelmode=car" TargetMode="External"/><Relationship Id="rId2884" Type="http://schemas.openxmlformats.org/officeDocument/2006/relationships/hyperlink" Target="https://www.google.com/maps/dir/?api=1&amp;origin=Gymnasium+Kirchheim,+Heimstettner+Str.+3,+85551+Kirchheim+bei+M&#252;nchen&amp;destination=48.039498037587435,11.997320130001427&amp;travelmode=car" TargetMode="External"/><Relationship Id="rId649" Type="http://schemas.openxmlformats.org/officeDocument/2006/relationships/hyperlink" Target="https://www.google.com/maps/dir/?api=1&amp;origin=Gymnasium+Kirchheim,+Heimstettner+Str.+3,+85551+Kirchheim+bei+M&#252;nchen&amp;destination=48.231145691760396,11.604817928870196&amp;travelmode=car" TargetMode="External"/><Relationship Id="rId856" Type="http://schemas.openxmlformats.org/officeDocument/2006/relationships/hyperlink" Target="https://www.google.com/maps/dir/?api=1&amp;origin=Gymnasium+Kirchheim,+Heimstettner+Str.+3,+85551+Kirchheim+bei+M&#252;nchen&amp;destination=48.21425017914221,11.962688898444616&amp;travelmode=car" TargetMode="External"/><Relationship Id="rId1279" Type="http://schemas.openxmlformats.org/officeDocument/2006/relationships/hyperlink" Target="https://www.google.com/maps/dir/?api=1&amp;origin=Gymnasium+Kirchheim,+Heimstettner+Str.+3,+85551+Kirchheim+bei+M&#252;nchen&amp;destination=48.17738987134748,11.766440028975659&amp;travelmode=car" TargetMode="External"/><Relationship Id="rId1486" Type="http://schemas.openxmlformats.org/officeDocument/2006/relationships/hyperlink" Target="https://www.google.com/maps/dir/?api=1&amp;origin=Gymnasium+Kirchheim,+Heimstettner+Str.+3,+85551+Kirchheim+bei+M&#252;nchen&amp;destination=48.15999295517309,12.12429853084091&amp;travelmode=car" TargetMode="External"/><Relationship Id="rId2537" Type="http://schemas.openxmlformats.org/officeDocument/2006/relationships/hyperlink" Target="https://www.google.com/maps/dir/?api=1&amp;origin=Gymnasium+Kirchheim,+Heimstettner+Str.+3,+85551+Kirchheim+bei+M&#252;nchen&amp;destination=48.06936873698148,12.066581641260367&amp;travelmode=car" TargetMode="External"/><Relationship Id="rId509" Type="http://schemas.openxmlformats.org/officeDocument/2006/relationships/hyperlink" Target="https://www.google.com/maps/dir/?api=1&amp;origin=Gymnasium+Kirchheim,+Heimstettner+Str.+3,+85551+Kirchheim+bei+M&#252;nchen&amp;destination=48.244221394214804,12.02040744491661&amp;travelmode=car" TargetMode="External"/><Relationship Id="rId1139" Type="http://schemas.openxmlformats.org/officeDocument/2006/relationships/hyperlink" Target="https://www.google.com/maps/dir/?api=1&amp;origin=Gymnasium+Kirchheim,+Heimstettner+Str.+3,+85551+Kirchheim+bei+M&#252;nchen&amp;destination=48.18978741249278,12.193557456977898&amp;travelmode=car" TargetMode="External"/><Relationship Id="rId1346" Type="http://schemas.openxmlformats.org/officeDocument/2006/relationships/hyperlink" Target="https://www.google.com/maps/dir/?api=1&amp;origin=Gymnasium+Kirchheim,+Heimstettner+Str.+3,+85551+Kirchheim+bei+M&#252;nchen&amp;destination=48.17067525996928,11.524005541398747&amp;travelmode=car" TargetMode="External"/><Relationship Id="rId1693" Type="http://schemas.openxmlformats.org/officeDocument/2006/relationships/hyperlink" Target="https://www.google.com/maps/dir/?api=1&amp;origin=Gymnasium+Kirchheim,+Heimstettner+Str.+3,+85551+Kirchheim+bei+M&#252;nchen&amp;destination=48.1404556432321,11.466281997410366&amp;travelmode=car" TargetMode="External"/><Relationship Id="rId2744" Type="http://schemas.openxmlformats.org/officeDocument/2006/relationships/hyperlink" Target="https://www.google.com/maps/dir/?api=1&amp;origin=Gymnasium+Kirchheim,+Heimstettner+Str.+3,+85551+Kirchheim+bei+M&#252;nchen&amp;destination=48.04950215263595,11.408558185690326&amp;travelmode=car" TargetMode="External"/><Relationship Id="rId2951" Type="http://schemas.openxmlformats.org/officeDocument/2006/relationships/hyperlink" Target="https://www.google.com/maps/dir/?api=1&amp;origin=Gymnasium+Kirchheim,+Heimstettner+Str.+3,+85551+Kirchheim+bei+M&#252;nchen&amp;destination=48.033161220248076,11.777984299500497&amp;travelmode=car" TargetMode="External"/><Relationship Id="rId716" Type="http://schemas.openxmlformats.org/officeDocument/2006/relationships/hyperlink" Target="https://www.google.com/maps/dir/?api=1&amp;origin=Gymnasium+Kirchheim,+Heimstettner+Str.+3,+85551+Kirchheim+bei+M&#252;nchen&amp;destination=48.224091387434385,11.362378987427904&amp;travelmode=car" TargetMode="External"/><Relationship Id="rId923" Type="http://schemas.openxmlformats.org/officeDocument/2006/relationships/hyperlink" Target="https://www.google.com/maps/dir/?api=1&amp;origin=Gymnasium+Kirchheim,+Heimstettner+Str.+3,+85551+Kirchheim+bei+M&#252;nchen&amp;destination=48.20794803175029,11.720262709205143&amp;travelmode=car" TargetMode="External"/><Relationship Id="rId1553" Type="http://schemas.openxmlformats.org/officeDocument/2006/relationships/hyperlink" Target="https://www.google.com/maps/dir/?api=1&amp;origin=Gymnasium+Kirchheim,+Heimstettner+Str.+3,+85551+Kirchheim+bei+M&#252;nchen&amp;destination=48.15396460220089,11.893425553951282&amp;travelmode=car" TargetMode="External"/><Relationship Id="rId1760" Type="http://schemas.openxmlformats.org/officeDocument/2006/relationships/hyperlink" Target="https://www.google.com/maps/dir/?api=1&amp;origin=Gymnasium+Kirchheim,+Heimstettner+Str.+3,+85551+Kirchheim+bei+M&#252;nchen&amp;destination=48.13627542131268,12.239729209273484&amp;travelmode=car" TargetMode="External"/><Relationship Id="rId2604" Type="http://schemas.openxmlformats.org/officeDocument/2006/relationships/hyperlink" Target="https://www.google.com/maps/dir/?api=1&amp;origin=Gymnasium+Kirchheim,+Heimstettner+Str.+3,+85551+Kirchheim+bei+M&#252;nchen&amp;destination=48.06334386700697,11.81261696011681&amp;travelmode=car" TargetMode="External"/><Relationship Id="rId2811" Type="http://schemas.openxmlformats.org/officeDocument/2006/relationships/hyperlink" Target="https://www.google.com/maps/dir/?api=1&amp;origin=Gymnasium+Kirchheim,+Heimstettner+Str.+3,+85551+Kirchheim+bei+M&#252;nchen&amp;destination=48.04570896035378,12.182014408588692&amp;travelmode=car" TargetMode="External"/><Relationship Id="rId52" Type="http://schemas.openxmlformats.org/officeDocument/2006/relationships/hyperlink" Target="https://www.google.com/maps/dir/?api=1&amp;origin=Gymnasium+Kirchheim,+Heimstettner+Str.+3,+85551+Kirchheim+bei+M&#252;nchen&amp;destination=48.28334052146523,11.824161128262173&amp;travelmode=car" TargetMode="External"/><Relationship Id="rId1206" Type="http://schemas.openxmlformats.org/officeDocument/2006/relationships/hyperlink" Target="https://www.google.com/maps/dir/?api=1&amp;origin=Gymnasium+Kirchheim,+Heimstettner+Str.+3,+85551+Kirchheim+bei+M&#252;nchen&amp;destination=48.18404210997385,11.939601244041153&amp;travelmode=car" TargetMode="External"/><Relationship Id="rId1413" Type="http://schemas.openxmlformats.org/officeDocument/2006/relationships/hyperlink" Target="https://www.google.com/maps/dir/?api=1&amp;origin=Gymnasium+Kirchheim,+Heimstettner+Str.+3,+85551+Kirchheim+bei+M&#252;nchen&amp;destination=48.163451105443826,11.281565179283442&amp;travelmode=car" TargetMode="External"/><Relationship Id="rId1620" Type="http://schemas.openxmlformats.org/officeDocument/2006/relationships/hyperlink" Target="https://www.google.com/maps/dir/?api=1&amp;origin=Gymnasium+Kirchheim,+Heimstettner+Str.+3,+85551+Kirchheim+bei+M&#252;nchen&amp;destination=48.14755847828006,11.639451564999296&amp;travelmode=car" TargetMode="External"/><Relationship Id="rId3378" Type="http://schemas.openxmlformats.org/officeDocument/2006/relationships/hyperlink" Target="https://www.google.com/maps/dir/?api=1&amp;origin=Gymnasium+Kirchheim,+Heimstettner+Str.+3,+85551+Kirchheim+bei+M&#252;nchen&amp;destination=47.9958757342813,11.616362491920484&amp;travelmode=car" TargetMode="External"/><Relationship Id="rId3585" Type="http://schemas.openxmlformats.org/officeDocument/2006/relationships/hyperlink" Target="https://www.google.com/maps/dir/?api=1&amp;origin=Gymnasium+Kirchheim,+Heimstettner+Str.+3,+85551+Kirchheim+bei+M&#252;nchen&amp;destination=47.978944406064244,11.97423267615872&amp;travelmode=car" TargetMode="External"/><Relationship Id="rId299" Type="http://schemas.openxmlformats.org/officeDocument/2006/relationships/hyperlink" Target="https://www.google.com/maps/dir/?api=1&amp;origin=Gymnasium+Kirchheim,+Heimstettner+Str.+3,+85551+Kirchheim+bei+M&#252;nchen&amp;destination=48.261420770925774,11.627907037470955&amp;travelmode=car" TargetMode="External"/><Relationship Id="rId2187" Type="http://schemas.openxmlformats.org/officeDocument/2006/relationships/hyperlink" Target="https://www.google.com/maps/dir/?api=1&amp;origin=Gymnasium+Kirchheim,+Heimstettner+Str.+3,+85551+Kirchheim+bei+M&#252;nchen&amp;destination=48.09955139103027,12.089668514337413&amp;travelmode=car" TargetMode="External"/><Relationship Id="rId2394" Type="http://schemas.openxmlformats.org/officeDocument/2006/relationships/hyperlink" Target="https://www.google.com/maps/dir/?api=1&amp;origin=Gymnasium+Kirchheim,+Heimstettner+Str.+3,+85551+Kirchheim+bei+M&#252;nchen&amp;destination=48.07981651643235,11.431647738327094&amp;travelmode=car" TargetMode="External"/><Relationship Id="rId3238" Type="http://schemas.openxmlformats.org/officeDocument/2006/relationships/hyperlink" Target="https://www.google.com/maps/dir/?api=1&amp;origin=Gymnasium+Kirchheim,+Heimstettner+Str.+3,+85551+Kirchheim+bei+M&#252;nchen&amp;destination=48.00890984492122,12.031951048971356&amp;travelmode=car" TargetMode="External"/><Relationship Id="rId3445" Type="http://schemas.openxmlformats.org/officeDocument/2006/relationships/hyperlink" Target="https://www.google.com/maps/dir/?api=1&amp;origin=Gymnasium+Kirchheim,+Heimstettner+Str.+3,+85551+Kirchheim+bei+M&#252;nchen&amp;destination=47.98884569410286,11.373923797311125&amp;travelmode=car" TargetMode="External"/><Relationship Id="rId159" Type="http://schemas.openxmlformats.org/officeDocument/2006/relationships/hyperlink" Target="https://www.google.com/maps/dir/?api=1&amp;origin=Gymnasium+Kirchheim,+Heimstettner+Str.+3,+85551+Kirchheim+bei+M&#252;nchen&amp;destination=48.27441328993506,12.043494616728212&amp;travelmode=car" TargetMode="External"/><Relationship Id="rId366" Type="http://schemas.openxmlformats.org/officeDocument/2006/relationships/hyperlink" Target="https://www.google.com/maps/dir/?api=1&amp;origin=Gymnasium+Kirchheim,+Heimstettner+Str.+3,+85551+Kirchheim+bei+M&#252;nchen&amp;destination=48.25441499484696,11.385468600664204&amp;travelmode=car" TargetMode="External"/><Relationship Id="rId573" Type="http://schemas.openxmlformats.org/officeDocument/2006/relationships/hyperlink" Target="https://www.google.com/maps/dir/?api=1&amp;origin=Gymnasium+Kirchheim,+Heimstettner+Str.+3,+85551+Kirchheim+bei+M&#252;nchen&amp;destination=48.23820000314385,11.743351415580166&amp;travelmode=car" TargetMode="External"/><Relationship Id="rId780" Type="http://schemas.openxmlformats.org/officeDocument/2006/relationships/hyperlink" Target="https://www.google.com/maps/dir/?api=1&amp;origin=Gymnasium+Kirchheim,+Heimstettner+Str.+3,+85551+Kirchheim+bei+M&#252;nchen&amp;destination=48.22087471395833,12.101211892775435&amp;travelmode=car" TargetMode="External"/><Relationship Id="rId2047" Type="http://schemas.openxmlformats.org/officeDocument/2006/relationships/hyperlink" Target="https://www.google.com/maps/dir/?api=1&amp;origin=Gymnasium+Kirchheim,+Heimstettner+Str.+3,+85551+Kirchheim+bei+M&#252;nchen&amp;destination=48.110053464761535,11.489371450790154&amp;travelmode=car" TargetMode="External"/><Relationship Id="rId2254" Type="http://schemas.openxmlformats.org/officeDocument/2006/relationships/hyperlink" Target="https://www.google.com/maps/dir/?api=1&amp;origin=Gymnasium+Kirchheim,+Heimstettner+Str.+3,+85551+Kirchheim+bei+M&#252;nchen&amp;destination=48.093516115742055,11.847249383329679&amp;travelmode=car" TargetMode="External"/><Relationship Id="rId2461" Type="http://schemas.openxmlformats.org/officeDocument/2006/relationships/hyperlink" Target="https://www.google.com/maps/dir/?api=1&amp;origin=Gymnasium+Kirchheim,+Heimstettner+Str.+3,+85551+Kirchheim+bei+M&#252;nchen&amp;destination=48.07586851127202,12.205100461762754&amp;travelmode=car" TargetMode="External"/><Relationship Id="rId3305" Type="http://schemas.openxmlformats.org/officeDocument/2006/relationships/hyperlink" Target="https://www.google.com/maps/dir/?api=1&amp;origin=Gymnasium+Kirchheim,+Heimstettner+Str.+3,+85551+Kirchheim+bei+M&#252;nchen&amp;destination=48.00269665024507,11.801072765593279&amp;travelmode=car" TargetMode="External"/><Relationship Id="rId3512" Type="http://schemas.openxmlformats.org/officeDocument/2006/relationships/hyperlink" Target="https://www.google.com/maps/dir/?api=1&amp;origin=Gymnasium+Kirchheim,+Heimstettner+Str.+3,+85551+Kirchheim+bei+M&#252;nchen&amp;destination=47.98528472356321,12.147385007013046&amp;travelmode=car" TargetMode="External"/><Relationship Id="rId226" Type="http://schemas.openxmlformats.org/officeDocument/2006/relationships/hyperlink" Target="https://www.google.com/maps/dir/?api=1&amp;origin=Gymnasium+Kirchheim,+Heimstettner+Str.+3,+85551+Kirchheim+bei+M&#252;nchen&amp;destination=48.26833758768472,11.789528545213775&amp;travelmode=car" TargetMode="External"/><Relationship Id="rId433" Type="http://schemas.openxmlformats.org/officeDocument/2006/relationships/hyperlink" Target="https://www.google.com/maps/dir/?api=1&amp;origin=Gymnasium+Kirchheim,+Heimstettner+Str.+3,+85551+Kirchheim+bei+M&#252;nchen&amp;destination=48.25077661674528,12.158928183084447&amp;travelmode=car" TargetMode="External"/><Relationship Id="rId1063" Type="http://schemas.openxmlformats.org/officeDocument/2006/relationships/hyperlink" Target="https://www.google.com/maps/dir/?api=1&amp;origin=Gymnasium+Kirchheim,+Heimstettner+Str.+3,+85551+Kirchheim+bei+M&#252;nchen&amp;destination=48.193790889272556,11.304654858343824&amp;travelmode=car" TargetMode="External"/><Relationship Id="rId1270" Type="http://schemas.openxmlformats.org/officeDocument/2006/relationships/hyperlink" Target="https://www.google.com/maps/dir/?api=1&amp;origin=Gymnasium+Kirchheim,+Heimstettner+Str.+3,+85551+Kirchheim+bei+M&#252;nchen&amp;destination=48.17782662503508,11.66254056390037&amp;travelmode=car" TargetMode="External"/><Relationship Id="rId2114" Type="http://schemas.openxmlformats.org/officeDocument/2006/relationships/hyperlink" Target="https://www.google.com/maps/dir/?api=1&amp;origin=Gymnasium+Kirchheim,+Heimstettner+Str.+3,+85551+Kirchheim+bei+M&#252;nchen&amp;destination=48.102756516783074,11.246930644367383&amp;travelmode=car" TargetMode="External"/><Relationship Id="rId640" Type="http://schemas.openxmlformats.org/officeDocument/2006/relationships/hyperlink" Target="https://www.google.com/maps/dir/?api=1&amp;origin=Gymnasium+Kirchheim,+Heimstettner+Str.+3,+85551+Kirchheim+bei+M&#252;nchen&amp;destination=48.23143686496825,11.500916160110199&amp;travelmode=car" TargetMode="External"/><Relationship Id="rId2321" Type="http://schemas.openxmlformats.org/officeDocument/2006/relationships/hyperlink" Target="https://www.google.com/maps/dir/?api=1&amp;origin=Gymnasium+Kirchheim,+Heimstettner+Str.+3,+85551+Kirchheim+bei+M&#252;nchen&amp;destination=48.086971345683466,11.604817928870196&amp;travelmode=car" TargetMode="External"/><Relationship Id="rId500" Type="http://schemas.openxmlformats.org/officeDocument/2006/relationships/hyperlink" Target="https://www.google.com/maps/dir/?api=1&amp;origin=Gymnasium+Kirchheim,+Heimstettner+Str.+3,+85551+Kirchheim+bei+M&#252;nchen&amp;destination=48.24488690143856,11.916513461151142&amp;travelmode=car" TargetMode="External"/><Relationship Id="rId1130" Type="http://schemas.openxmlformats.org/officeDocument/2006/relationships/hyperlink" Target="https://www.google.com/maps/dir/?api=1&amp;origin=Gymnasium+Kirchheim,+Heimstettner+Str.+3,+85551+Kirchheim+bei+M&#252;nchen&amp;destination=48.19069437029147,12.078125096991752&amp;travelmode=car" TargetMode="External"/><Relationship Id="rId1947" Type="http://schemas.openxmlformats.org/officeDocument/2006/relationships/hyperlink" Target="https://www.google.com/maps/dir/?api=1&amp;origin=Gymnasium+Kirchheim,+Heimstettner+Str.+3,+85551+Kirchheim+bei+M&#252;nchen&amp;destination=48.11787036881193,11.350834171536942&amp;travelmode=car" TargetMode="External"/><Relationship Id="rId3095" Type="http://schemas.openxmlformats.org/officeDocument/2006/relationships/hyperlink" Target="https://www.google.com/maps/dir/?api=1&amp;origin=Gymnasium+Kirchheim,+Heimstettner+Str.+3,+85551+Kirchheim+bei+M&#252;nchen&amp;destination=48.019166990607175,11.397013396964736&amp;travelmode=car" TargetMode="External"/><Relationship Id="rId1502" Type="http://schemas.openxmlformats.org/officeDocument/2006/relationships/hyperlink" Target="https://www.google.com/maps/dir/?api=1&amp;origin=Gymnasium+Kirchheim,+Heimstettner+Str.+3,+85551+Kirchheim+bei+M&#252;nchen&amp;destination=48.155862981966074,11.281565179283442&amp;travelmode=car" TargetMode="External"/><Relationship Id="rId1807" Type="http://schemas.openxmlformats.org/officeDocument/2006/relationships/hyperlink" Target="https://www.google.com/maps/dir/?api=1&amp;origin=Gymnasium+Kirchheim,+Heimstettner+Str.+3,+85551+Kirchheim+bei+M&#252;nchen&amp;destination=48.13186113048107,11.766440028975659&amp;travelmode=car" TargetMode="External"/><Relationship Id="rId3162" Type="http://schemas.openxmlformats.org/officeDocument/2006/relationships/hyperlink" Target="https://www.google.com/maps/dir/?api=1&amp;origin=Gymnasium+Kirchheim,+Heimstettner+Str.+3,+85551+Kirchheim+bei+M&#252;nchen&amp;destination=48.015451205255765,12.170471317116936&amp;travelmode=car" TargetMode="External"/><Relationship Id="rId290" Type="http://schemas.openxmlformats.org/officeDocument/2006/relationships/hyperlink" Target="https://www.google.com/maps/dir/?api=1&amp;origin=Gymnasium+Kirchheim,+Heimstettner+Str.+3,+85551+Kirchheim+bei+M&#252;nchen&amp;destination=48.26173274170208,11.524005541398747&amp;travelmode=car" TargetMode="External"/><Relationship Id="rId388" Type="http://schemas.openxmlformats.org/officeDocument/2006/relationships/hyperlink" Target="https://www.google.com/maps/dir/?api=1&amp;origin=Gymnasium+Kirchheim,+Heimstettner+Str.+3,+85551+Kirchheim+bei+M&#252;nchen&amp;destination=48.25379220696833,11.639451564999296&amp;travelmode=car" TargetMode="External"/><Relationship Id="rId2069" Type="http://schemas.openxmlformats.org/officeDocument/2006/relationships/hyperlink" Target="https://www.google.com/maps/dir/?api=1&amp;origin=Gymnasium+Kirchheim,+Heimstettner+Str.+3,+85551+Kirchheim+bei+M&#252;nchen&amp;destination=48.109201904022385,11.743351415580166&amp;travelmode=car" TargetMode="External"/><Relationship Id="rId3022" Type="http://schemas.openxmlformats.org/officeDocument/2006/relationships/hyperlink" Target="https://www.google.com/maps/dir/?api=1&amp;origin=Gymnasium+Kirchheim,+Heimstettner+Str.+3,+85551+Kirchheim+bei+M&#252;nchen&amp;destination=48.02640732240636,11.55863951211732&amp;travelmode=car" TargetMode="External"/><Relationship Id="rId3467" Type="http://schemas.openxmlformats.org/officeDocument/2006/relationships/hyperlink" Target="https://www.google.com/maps/dir/?api=1&amp;origin=Gymnasium+Kirchheim,+Heimstettner+Str.+3,+85551+Kirchheim+bei+M&#252;nchen&amp;destination=47.988207885247654,11.639451564999296&amp;travelmode=car" TargetMode="External"/><Relationship Id="rId150" Type="http://schemas.openxmlformats.org/officeDocument/2006/relationships/hyperlink" Target="https://www.google.com/maps/dir/?api=1&amp;origin=Gymnasium+Kirchheim,+Heimstettner+Str.+3,+85551+Kirchheim+bei+M&#252;nchen&amp;destination=48.275099591706656,11.939601244041153&amp;travelmode=car" TargetMode="External"/><Relationship Id="rId595" Type="http://schemas.openxmlformats.org/officeDocument/2006/relationships/hyperlink" Target="https://www.google.com/maps/dir/?api=1&amp;origin=Gymnasium+Kirchheim,+Heimstettner+Str.+3,+85551+Kirchheim+bei+M&#252;nchen&amp;destination=48.23678924800851,11.997320130001427&amp;travelmode=car" TargetMode="External"/><Relationship Id="rId2276" Type="http://schemas.openxmlformats.org/officeDocument/2006/relationships/hyperlink" Target="https://www.google.com/maps/dir/?api=1&amp;origin=Gymnasium+Kirchheim,+Heimstettner+Str.+3,+85551+Kirchheim+bei+M&#252;nchen&amp;destination=48.09187661483686,12.101211892775435&amp;travelmode=car" TargetMode="External"/><Relationship Id="rId2483" Type="http://schemas.openxmlformats.org/officeDocument/2006/relationships/hyperlink" Target="https://www.google.com/maps/dir/?api=1&amp;origin=Gymnasium+Kirchheim,+Heimstettner+Str.+3,+85551+Kirchheim+bei+M&#252;nchen&amp;destination=48.0722075947255,11.44319250119349&amp;travelmode=car" TargetMode="External"/><Relationship Id="rId2690" Type="http://schemas.openxmlformats.org/officeDocument/2006/relationships/hyperlink" Target="https://www.google.com/maps/dir/?api=1&amp;origin=Gymnasium+Kirchheim,+Heimstettner+Str.+3,+85551+Kirchheim+bei+M&#252;nchen&amp;destination=48.05581351458921,11.801072765593279&amp;travelmode=car" TargetMode="External"/><Relationship Id="rId3327" Type="http://schemas.openxmlformats.org/officeDocument/2006/relationships/hyperlink" Target="https://www.google.com/maps/dir/?api=1&amp;origin=Gymnasium+Kirchheim,+Heimstettner+Str.+3,+85551+Kirchheim+bei+M&#252;nchen&amp;destination=48.00115881281376,12.055038147665204&amp;travelmode=car" TargetMode="External"/><Relationship Id="rId3534" Type="http://schemas.openxmlformats.org/officeDocument/2006/relationships/hyperlink" Target="https://www.google.com/maps/dir/?api=1&amp;origin=Gymnasium+Kirchheim,+Heimstettner+Str.+3,+85551+Kirchheim+bei+M&#252;nchen&amp;destination=47.98124254964856,11.385468600664204&amp;travelmode=car" TargetMode="External"/><Relationship Id="rId248" Type="http://schemas.openxmlformats.org/officeDocument/2006/relationships/hyperlink" Target="https://www.google.com/maps/dir/?api=1&amp;origin=Gymnasium+Kirchheim,+Heimstettner+Str.+3,+85551+Kirchheim+bei+M&#252;nchen&amp;destination=48.266743134534444,12.055038147665204&amp;travelmode=car" TargetMode="External"/><Relationship Id="rId455" Type="http://schemas.openxmlformats.org/officeDocument/2006/relationships/hyperlink" Target="https://www.google.com/maps/dir/?api=1&amp;origin=Gymnasium+Kirchheim,+Heimstettner+Str.+3,+85551+Kirchheim+bei+M&#252;nchen&amp;destination=48.24681069493919,11.397013396964736&amp;travelmode=car" TargetMode="External"/><Relationship Id="rId662" Type="http://schemas.openxmlformats.org/officeDocument/2006/relationships/hyperlink" Target="https://www.google.com/maps/dir/?api=1&amp;origin=Gymnasium+Kirchheim,+Heimstettner+Str.+3,+85551+Kirchheim+bei+M&#252;nchen&amp;destination=48.2305598853588,11.754895734161472&amp;travelmode=car" TargetMode="External"/><Relationship Id="rId1085" Type="http://schemas.openxmlformats.org/officeDocument/2006/relationships/hyperlink" Target="https://www.google.com/maps/dir/?api=1&amp;origin=Gymnasium+Kirchheim,+Heimstettner+Str.+3,+85551+Kirchheim+bei+M&#252;nchen&amp;destination=48.193346038916495,11.55863951211732&amp;travelmode=car" TargetMode="External"/><Relationship Id="rId1292" Type="http://schemas.openxmlformats.org/officeDocument/2006/relationships/hyperlink" Target="https://www.google.com/maps/dir/?api=1&amp;origin=Gymnasium+Kirchheim,+Heimstettner+Str.+3,+85551+Kirchheim+bei+M&#252;nchen&amp;destination=48.17659379013895,11.916513461151142&amp;travelmode=car" TargetMode="External"/><Relationship Id="rId2136" Type="http://schemas.openxmlformats.org/officeDocument/2006/relationships/hyperlink" Target="https://www.google.com/maps/dir/?api=1&amp;origin=Gymnasium+Kirchheim,+Heimstettner+Str.+3,+85551+Kirchheim+bei+M&#252;nchen&amp;destination=48.10243876584677,11.500916160110199&amp;travelmode=car" TargetMode="External"/><Relationship Id="rId2343" Type="http://schemas.openxmlformats.org/officeDocument/2006/relationships/hyperlink" Target="https://www.google.com/maps/dir/?api=1&amp;origin=Gymnasium+Kirchheim,+Heimstettner+Str.+3,+85551+Kirchheim+bei+M&#252;nchen&amp;destination=48.085865599890894,11.858793469207484&amp;travelmode=car" TargetMode="External"/><Relationship Id="rId2550" Type="http://schemas.openxmlformats.org/officeDocument/2006/relationships/hyperlink" Target="https://www.google.com/maps/dir/?api=1&amp;origin=Gymnasium+Kirchheim,+Heimstettner+Str.+3,+85551+Kirchheim+bei+M&#252;nchen&amp;destination=48.06818218363107,12.21664342242148&amp;travelmode=car" TargetMode="External"/><Relationship Id="rId2788" Type="http://schemas.openxmlformats.org/officeDocument/2006/relationships/hyperlink" Target="https://www.google.com/maps/dir/?api=1&amp;origin=Gymnasium+Kirchheim,+Heimstettner+Str.+3,+85551+Kirchheim+bei+M&#252;nchen&amp;destination=48.047595691017484,11.916513461151142&amp;travelmode=car" TargetMode="External"/><Relationship Id="rId2995" Type="http://schemas.openxmlformats.org/officeDocument/2006/relationships/hyperlink" Target="https://www.google.com/maps/dir/?api=1&amp;origin=Gymnasium+Kirchheim,+Heimstettner+Str.+3,+85551+Kirchheim+bei+M&#252;nchen&amp;destination=48.02687297108081,11.258475490819581&amp;travelmode=car" TargetMode="External"/><Relationship Id="rId3601" Type="http://schemas.openxmlformats.org/officeDocument/2006/relationships/hyperlink" Target="https://www.google.com/maps/dir/?api=1&amp;origin=Gymnasium+Kirchheim,+Heimstettner+Str.+3,+85551+Kirchheim+bei+M&#252;nchen&amp;destination=47.97751058786711,12.170471317116936&amp;travelmode=car" TargetMode="External"/><Relationship Id="rId108" Type="http://schemas.openxmlformats.org/officeDocument/2006/relationships/hyperlink" Target="https://www.google.com/maps/dir/?api=1&amp;origin=Gymnasium+Kirchheim,+Heimstettner+Str.+3,+85551+Kirchheim+bei+M&#252;nchen&amp;destination=48.277064974949646,11.454737254395377&amp;travelmode=car" TargetMode="External"/><Relationship Id="rId315" Type="http://schemas.openxmlformats.org/officeDocument/2006/relationships/hyperlink" Target="https://www.google.com/maps/dir/?api=1&amp;origin=Gymnasium+Kirchheim,+Heimstettner+Str.+3,+85551+Kirchheim+bei+M&#252;nchen&amp;destination=48.26063507742805,11.81261696011681&amp;travelmode=car" TargetMode="External"/><Relationship Id="rId522" Type="http://schemas.openxmlformats.org/officeDocument/2006/relationships/hyperlink" Target="https://www.google.com/maps/dir/?api=1&amp;origin=Gymnasium+Kirchheim,+Heimstettner+Str.+3,+85551+Kirchheim+bei+M&#252;nchen&amp;destination=48.243094909587775,12.170471317116936&amp;travelmode=car" TargetMode="External"/><Relationship Id="rId967" Type="http://schemas.openxmlformats.org/officeDocument/2006/relationships/hyperlink" Target="https://www.google.com/maps/dir/?api=1&amp;origin=Gymnasium+Kirchheim,+Heimstettner+Str.+3,+85551+Kirchheim+bei+M&#252;nchen&amp;destination=48.20466904696705,12.228186338432307&amp;travelmode=car" TargetMode="External"/><Relationship Id="rId1152" Type="http://schemas.openxmlformats.org/officeDocument/2006/relationships/hyperlink" Target="https://www.google.com/maps/dir/?api=1&amp;origin=Gymnasium+Kirchheim,+Heimstettner+Str.+3,+85551+Kirchheim+bei+M&#252;nchen&amp;destination=48.18619467756279,11.316199693041677&amp;travelmode=car" TargetMode="External"/><Relationship Id="rId1597" Type="http://schemas.openxmlformats.org/officeDocument/2006/relationships/hyperlink" Target="https://www.google.com/maps/dir/?api=1&amp;origin=Gymnasium+Kirchheim,+Heimstettner+Str.+3,+85551+Kirchheim+bei+M&#252;nchen&amp;destination=48.14819628713526,11.373923797311125&amp;travelmode=car" TargetMode="External"/><Relationship Id="rId2203" Type="http://schemas.openxmlformats.org/officeDocument/2006/relationships/hyperlink" Target="https://www.google.com/maps/dir/?api=1&amp;origin=Gymnasium+Kirchheim,+Heimstettner+Str.+3,+85551+Kirchheim+bei+M&#252;nchen&amp;destination=48.095166082380416,11.258475490819581&amp;travelmode=car" TargetMode="External"/><Relationship Id="rId2410" Type="http://schemas.openxmlformats.org/officeDocument/2006/relationships/hyperlink" Target="https://www.google.com/maps/dir/?api=1&amp;origin=Gymnasium+Kirchheim,+Heimstettner+Str.+3,+85551+Kirchheim+bei+M&#252;nchen&amp;destination=48.07934509253638,11.616362491920484&amp;travelmode=car" TargetMode="External"/><Relationship Id="rId2648" Type="http://schemas.openxmlformats.org/officeDocument/2006/relationships/hyperlink" Target="https://www.google.com/maps/dir/?api=1&amp;origin=Gymnasium+Kirchheim,+Heimstettner+Str.+3,+85551+Kirchheim+bei+M&#252;nchen&amp;destination=48.05720466667334,11.304654858343824&amp;travelmode=car" TargetMode="External"/><Relationship Id="rId2855" Type="http://schemas.openxmlformats.org/officeDocument/2006/relationships/hyperlink" Target="https://www.google.com/maps/dir/?api=1&amp;origin=Gymnasium+Kirchheim,+Heimstettner+Str.+3,+85551+Kirchheim+bei+M&#252;nchen&amp;destination=48.04119649576691,11.67408503422851&amp;travelmode=car" TargetMode="External"/><Relationship Id="rId96" Type="http://schemas.openxmlformats.org/officeDocument/2006/relationships/hyperlink" Target="https://www.google.com/maps/dir/?api=1&amp;origin=Gymnasium+Kirchheim,+Heimstettner+Str.+3,+85551+Kirchheim+bei+M&#252;nchen&amp;destination=48.27725215929559,11.316199693041677&amp;travelmode=car" TargetMode="External"/><Relationship Id="rId827" Type="http://schemas.openxmlformats.org/officeDocument/2006/relationships/hyperlink" Target="https://www.google.com/maps/dir/?api=1&amp;origin=Gymnasium+Kirchheim,+Heimstettner+Str.+3,+85551+Kirchheim+bei+M&#252;nchen&amp;destination=48.21589203005936,11.627907037470955&amp;travelmode=car" TargetMode="External"/><Relationship Id="rId1012" Type="http://schemas.openxmlformats.org/officeDocument/2006/relationships/hyperlink" Target="https://www.google.com/maps/dir/?api=1&amp;origin=Gymnasium+Kirchheim,+Heimstettner+Str.+3,+85551+Kirchheim+bei+M&#252;nchen&amp;destination=48.20031022469821,11.731807073753979&amp;travelmode=car" TargetMode="External"/><Relationship Id="rId1457" Type="http://schemas.openxmlformats.org/officeDocument/2006/relationships/hyperlink" Target="https://www.google.com/maps/dir/?api=1&amp;origin=Gymnasium+Kirchheim,+Heimstettner+Str.+3,+85551+Kirchheim+bei+M&#252;nchen&amp;destination=48.16210385899644,11.789528545213775&amp;travelmode=car" TargetMode="External"/><Relationship Id="rId1664" Type="http://schemas.openxmlformats.org/officeDocument/2006/relationships/hyperlink" Target="https://www.google.com/maps/dir/?api=1&amp;origin=Gymnasium+Kirchheim,+Heimstettner+Str.+3,+85551+Kirchheim+bei+M&#252;nchen&amp;destination=48.14463531659561,12.147385007013046&amp;travelmode=car" TargetMode="External"/><Relationship Id="rId1871" Type="http://schemas.openxmlformats.org/officeDocument/2006/relationships/hyperlink" Target="https://www.google.com/maps/dir/?api=1&amp;origin=Gymnasium+Kirchheim,+Heimstettner+Str.+3,+85551+Kirchheim+bei+M&#252;nchen&amp;destination=48.125229711717,11.489371450790154&amp;travelmode=car" TargetMode="External"/><Relationship Id="rId2508" Type="http://schemas.openxmlformats.org/officeDocument/2006/relationships/hyperlink" Target="https://www.google.com/maps/dir/?api=1&amp;origin=Gymnasium+Kirchheim,+Heimstettner+Str.+3,+85551+Kirchheim+bei+M&#252;nchen&amp;destination=48.071312125576725,11.731807073753979&amp;travelmode=car" TargetMode="External"/><Relationship Id="rId2715" Type="http://schemas.openxmlformats.org/officeDocument/2006/relationships/hyperlink" Target="https://www.google.com/maps/dir/?api=1&amp;origin=Gymnasium+Kirchheim,+Heimstettner+Str.+3,+85551+Kirchheim+bei+M&#252;nchen&amp;destination=48.05393599744819,12.101211892775435&amp;travelmode=car" TargetMode="External"/><Relationship Id="rId2922" Type="http://schemas.openxmlformats.org/officeDocument/2006/relationships/hyperlink" Target="https://www.google.com/maps/dir/?api=1&amp;origin=Gymnasium+Kirchheim,+Heimstettner+Str.+3,+85551+Kirchheim+bei+M&#252;nchen&amp;destination=48.03428777556596,11.431647738327094&amp;travelmode=car" TargetMode="External"/><Relationship Id="rId1317" Type="http://schemas.openxmlformats.org/officeDocument/2006/relationships/hyperlink" Target="https://www.google.com/maps/dir/?api=1&amp;origin=Gymnasium+Kirchheim,+Heimstettner+Str.+3,+85551+Kirchheim+bei+M&#252;nchen&amp;destination=48.17451411648256,12.205100461762754&amp;travelmode=car" TargetMode="External"/><Relationship Id="rId1524" Type="http://schemas.openxmlformats.org/officeDocument/2006/relationships/hyperlink" Target="https://www.google.com/maps/dir/?api=1&amp;origin=Gymnasium+Kirchheim,+Heimstettner+Str.+3,+85551+Kirchheim+bei+M&#252;nchen&amp;destination=48.15543777411574,11.547094869402834&amp;travelmode=car" TargetMode="External"/><Relationship Id="rId1731" Type="http://schemas.openxmlformats.org/officeDocument/2006/relationships/hyperlink" Target="https://www.google.com/maps/dir/?api=1&amp;origin=Gymnasium+Kirchheim,+Heimstettner+Str.+3,+85551+Kirchheim+bei+M&#252;nchen&amp;destination=48.13872134164424,11.90496952282889&amp;travelmode=car" TargetMode="External"/><Relationship Id="rId1969" Type="http://schemas.openxmlformats.org/officeDocument/2006/relationships/hyperlink" Target="https://www.google.com/maps/dir/?api=1&amp;origin=Gymnasium+Kirchheim,+Heimstettner+Str.+3,+85551+Kirchheim+bei+M&#252;nchen&amp;destination=48.117323839594405,11.604817928870196&amp;travelmode=car" TargetMode="External"/><Relationship Id="rId3184" Type="http://schemas.openxmlformats.org/officeDocument/2006/relationships/hyperlink" Target="https://www.google.com/maps/dir/?api=1&amp;origin=Gymnasium+Kirchheim,+Heimstettner+Str.+3,+85551+Kirchheim+bei+M&#252;nchen&amp;destination=48.01156153524728,11.408558185690326&amp;travelmode=car" TargetMode="External"/><Relationship Id="rId23" Type="http://schemas.openxmlformats.org/officeDocument/2006/relationships/hyperlink" Target="https://www.google.com/maps/dir/?api=1&amp;origin=Gymnasium+Kirchheim,+Heimstettner+Str.+3,+85551+Kirchheim+bei+M&#252;nchen&amp;destination=48.28458030474941,11.489371450790154&amp;travelmode=car" TargetMode="External"/><Relationship Id="rId1829" Type="http://schemas.openxmlformats.org/officeDocument/2006/relationships/hyperlink" Target="https://www.google.com/maps/dir/?api=1&amp;origin=Gymnasium+Kirchheim,+Heimstettner+Str.+3,+85551+Kirchheim+bei+M&#252;nchen&amp;destination=48.130399542048785,12.02040744491661&amp;travelmode=car" TargetMode="External"/><Relationship Id="rId3391" Type="http://schemas.openxmlformats.org/officeDocument/2006/relationships/hyperlink" Target="https://www.google.com/maps/dir/?api=1&amp;origin=Gymnasium+Kirchheim,+Heimstettner+Str.+3,+85551+Kirchheim+bei+M&#252;nchen&amp;destination=47.995274907881864,11.766440028975659&amp;travelmode=car" TargetMode="External"/><Relationship Id="rId3489" Type="http://schemas.openxmlformats.org/officeDocument/2006/relationships/hyperlink" Target="https://www.google.com/maps/dir/?api=1&amp;origin=Gymnasium+Kirchheim,+Heimstettner+Str.+3,+85551+Kirchheim+bei+M&#252;nchen&amp;destination=47.987091743993346,11.881881555040426&amp;travelmode=car" TargetMode="External"/><Relationship Id="rId2298" Type="http://schemas.openxmlformats.org/officeDocument/2006/relationships/hyperlink" Target="https://www.google.com/maps/dir/?api=1&amp;origin=Gymnasium+Kirchheim,+Heimstettner+Str.+3,+85551+Kirchheim+bei+M&#252;nchen&amp;destination=48.087529429509765,11.339289350160644&amp;travelmode=car" TargetMode="External"/><Relationship Id="rId3044" Type="http://schemas.openxmlformats.org/officeDocument/2006/relationships/hyperlink" Target="https://www.google.com/maps/dir/?api=1&amp;origin=Gymnasium+Kirchheim,+Heimstettner+Str.+3,+85551+Kirchheim+bei+M&#252;nchen&amp;destination=48.025344323222285,11.824161128262173&amp;travelmode=car" TargetMode="External"/><Relationship Id="rId3251" Type="http://schemas.openxmlformats.org/officeDocument/2006/relationships/hyperlink" Target="https://www.google.com/maps/dir/?api=1&amp;origin=Gymnasium+Kirchheim,+Heimstettner+Str.+3,+85551+Kirchheim+bei+M&#252;nchen&amp;destination=48.00776834296509,12.182014408588692&amp;travelmode=car" TargetMode="External"/><Relationship Id="rId3349" Type="http://schemas.openxmlformats.org/officeDocument/2006/relationships/hyperlink" Target="https://www.google.com/maps/dir/?api=1&amp;origin=Gymnasium+Kirchheim,+Heimstettner+Str.+3,+85551+Kirchheim+bei+M&#252;nchen&amp;destination=47.99651238893367,11.281565179283442&amp;travelmode=car" TargetMode="External"/><Relationship Id="rId3556" Type="http://schemas.openxmlformats.org/officeDocument/2006/relationships/hyperlink" Target="https://www.google.com/maps/dir/?api=1&amp;origin=Gymnasium+Kirchheim,+Heimstettner+Str.+3,+85551+Kirchheim+bei+M&#252;nchen&amp;destination=47.980619761769915,11.639451564999296&amp;travelmode=car" TargetMode="External"/><Relationship Id="rId172" Type="http://schemas.openxmlformats.org/officeDocument/2006/relationships/hyperlink" Target="https://www.google.com/maps/dir/?api=1&amp;origin=Gymnasium+Kirchheim,+Heimstettner+Str.+3,+85551+Kirchheim+bei+M&#252;nchen&amp;destination=48.273256770747835,12.193557456977898&amp;travelmode=car" TargetMode="External"/><Relationship Id="rId477" Type="http://schemas.openxmlformats.org/officeDocument/2006/relationships/hyperlink" Target="https://www.google.com/maps/dir/?api=1&amp;origin=Gymnasium+Kirchheim,+Heimstettner+Str.+3,+85551+Kirchheim+bei+M&#252;nchen&amp;destination=48.24616248761086,11.650996073983201&amp;travelmode=car" TargetMode="External"/><Relationship Id="rId684" Type="http://schemas.openxmlformats.org/officeDocument/2006/relationships/hyperlink" Target="https://www.google.com/maps/dir/?api=1&amp;origin=Gymnasium+Kirchheim,+Heimstettner+Str.+3,+85551+Kirchheim+bei+M&#252;nchen&amp;destination=48.22912371351334,12.00886380508597&amp;travelmode=car" TargetMode="External"/><Relationship Id="rId2060" Type="http://schemas.openxmlformats.org/officeDocument/2006/relationships/hyperlink" Target="https://www.google.com/maps/dir/?api=1&amp;origin=Gymnasium+Kirchheim,+Heimstettner+Str.+3,+85551+Kirchheim+bei+M&#252;nchen&amp;destination=48.10961786089139,11.639451564999296&amp;travelmode=car" TargetMode="External"/><Relationship Id="rId2158" Type="http://schemas.openxmlformats.org/officeDocument/2006/relationships/hyperlink" Target="https://www.google.com/maps/dir/?api=1&amp;origin=Gymnasium+Kirchheim,+Heimstettner+Str.+3,+85551+Kirchheim+bei+M&#252;nchen&amp;destination=48.10156178623732,11.754895734161472&amp;travelmode=car" TargetMode="External"/><Relationship Id="rId2365" Type="http://schemas.openxmlformats.org/officeDocument/2006/relationships/hyperlink" Target="https://www.google.com/maps/dir/?api=1&amp;origin=Gymnasium+Kirchheim,+Heimstettner+Str.+3,+85551+Kirchheim+bei+M&#252;nchen&amp;destination=48.084200683463614,12.112755231783899&amp;travelmode=car" TargetMode="External"/><Relationship Id="rId3111" Type="http://schemas.openxmlformats.org/officeDocument/2006/relationships/hyperlink" Target="https://www.google.com/maps/dir/?api=1&amp;origin=Gymnasium+Kirchheim,+Heimstettner+Str.+3,+85551+Kirchheim+bei+M&#252;nchen&amp;destination=48.01875102748897,11.581728752359444&amp;travelmode=car" TargetMode="External"/><Relationship Id="rId3209" Type="http://schemas.openxmlformats.org/officeDocument/2006/relationships/hyperlink" Target="https://www.google.com/maps/dir/?api=1&amp;origin=Gymnasium+Kirchheim,+Heimstettner+Str.+3,+85551+Kirchheim+bei+M&#252;nchen&amp;destination=48.010752722354894,11.69717391402856&amp;travelmode=car" TargetMode="External"/><Relationship Id="rId337" Type="http://schemas.openxmlformats.org/officeDocument/2006/relationships/hyperlink" Target="https://www.google.com/maps/dir/?api=1&amp;origin=Gymnasium+Kirchheim,+Heimstettner+Str.+3,+85551+Kirchheim+bei+M&#252;nchen&amp;destination=48.259071823924835,12.066581641260367&amp;travelmode=car" TargetMode="External"/><Relationship Id="rId891" Type="http://schemas.openxmlformats.org/officeDocument/2006/relationships/hyperlink" Target="https://www.google.com/maps/dir/?api=1&amp;origin=Gymnasium+Kirchheim,+Heimstettner+Str.+3,+85551+Kirchheim+bei+M&#252;nchen&amp;destination=48.20892785054473,11.350834171536942&amp;travelmode=car" TargetMode="External"/><Relationship Id="rId989" Type="http://schemas.openxmlformats.org/officeDocument/2006/relationships/hyperlink" Target="https://www.google.com/maps/dir/?api=1&amp;origin=Gymnasium+Kirchheim,+Heimstettner+Str.+3,+85551+Kirchheim+bei+M&#252;nchen&amp;destination=48.201160631053966,11.466281997410366&amp;travelmode=car" TargetMode="External"/><Relationship Id="rId2018" Type="http://schemas.openxmlformats.org/officeDocument/2006/relationships/hyperlink" Target="https://www.google.com/maps/dir/?api=1&amp;origin=Gymnasium+Kirchheim,+Heimstettner+Str.+3,+85551+Kirchheim+bei+M&#252;nchen&amp;destination=48.11409681046631,12.170471317116936&amp;travelmode=car" TargetMode="External"/><Relationship Id="rId2572" Type="http://schemas.openxmlformats.org/officeDocument/2006/relationships/hyperlink" Target="https://www.google.com/maps/dir/?api=1&amp;origin=Gymnasium+Kirchheim,+Heimstettner+Str.+3,+85551+Kirchheim+bei+M&#252;nchen&amp;destination=48.06459751757309,11.454737254395377&amp;travelmode=car" TargetMode="External"/><Relationship Id="rId2877" Type="http://schemas.openxmlformats.org/officeDocument/2006/relationships/hyperlink" Target="https://www.google.com/maps/dir/?api=1&amp;origin=Gymnasium+Kirchheim,+Heimstettner+Str.+3,+85551+Kirchheim+bei+M&#252;nchen&amp;destination=48.03993824335883,11.928057368395926&amp;travelmode=car" TargetMode="External"/><Relationship Id="rId3416" Type="http://schemas.openxmlformats.org/officeDocument/2006/relationships/hyperlink" Target="https://www.google.com/maps/dir/?api=1&amp;origin=Gymnasium+Kirchheim,+Heimstettner+Str.+3,+85551+Kirchheim+bei+M&#252;nchen&amp;destination=47.99357068933603,12.055038147665204&amp;travelmode=car" TargetMode="External"/><Relationship Id="rId544" Type="http://schemas.openxmlformats.org/officeDocument/2006/relationships/hyperlink" Target="https://www.google.com/maps/dir/?api=1&amp;origin=Gymnasium+Kirchheim,+Heimstettner+Str.+3,+85551+Kirchheim+bei+M&#252;nchen&amp;destination=48.2392052395793,11.408558185690326&amp;travelmode=car" TargetMode="External"/><Relationship Id="rId751" Type="http://schemas.openxmlformats.org/officeDocument/2006/relationships/hyperlink" Target="https://www.google.com/maps/dir/?api=1&amp;origin=Gymnasium+Kirchheim,+Heimstettner+Str.+3,+85551+Kirchheim+bei+M&#252;nchen&amp;destination=48.22291861221388,11.766440028975659&amp;travelmode=car" TargetMode="External"/><Relationship Id="rId849" Type="http://schemas.openxmlformats.org/officeDocument/2006/relationships/hyperlink" Target="https://www.google.com/maps/dir/?api=1&amp;origin=Gymnasium+Kirchheim,+Heimstettner+Str.+3,+85551+Kirchheim+bei+M&#252;nchen&amp;destination=48.21473544832536,11.881881555040426&amp;travelmode=car" TargetMode="External"/><Relationship Id="rId1174" Type="http://schemas.openxmlformats.org/officeDocument/2006/relationships/hyperlink" Target="https://www.google.com/maps/dir/?api=1&amp;origin=Gymnasium+Kirchheim,+Heimstettner+Str.+3,+85551+Kirchheim+bei+M&#252;nchen&amp;destination=48.185724407428616,11.570184139943638&amp;travelmode=car" TargetMode="External"/><Relationship Id="rId1381" Type="http://schemas.openxmlformats.org/officeDocument/2006/relationships/hyperlink" Target="https://www.google.com/maps/dir/?api=1&amp;origin=Gymnasium+Kirchheim,+Heimstettner+Str.+3,+85551+Kirchheim+bei+M&#252;nchen&amp;destination=48.1689363424803,11.928057368395926&amp;travelmode=car" TargetMode="External"/><Relationship Id="rId1479" Type="http://schemas.openxmlformats.org/officeDocument/2006/relationships/hyperlink" Target="https://www.google.com/maps/dir/?api=1&amp;origin=Gymnasium+Kirchheim,+Heimstettner+Str.+3,+85551+Kirchheim+bei+M&#252;nchen&amp;destination=48.16059143776904,12.043494616728212&amp;travelmode=car" TargetMode="External"/><Relationship Id="rId1686" Type="http://schemas.openxmlformats.org/officeDocument/2006/relationships/hyperlink" Target="https://www.google.com/maps/dir/?api=1&amp;origin=Gymnasium+Kirchheim,+Heimstettner+Str.+3,+85551+Kirchheim+bei+M&#252;nchen&amp;destination=48.140593142680956,11.385468600664204&amp;travelmode=car" TargetMode="External"/><Relationship Id="rId2225" Type="http://schemas.openxmlformats.org/officeDocument/2006/relationships/hyperlink" Target="https://www.google.com/maps/dir/?api=1&amp;origin=Gymnasium+Kirchheim,+Heimstettner+Str.+3,+85551+Kirchheim+bei+M&#252;nchen&amp;destination=48.094822911496884,11.512460857153851&amp;travelmode=car" TargetMode="External"/><Relationship Id="rId2432" Type="http://schemas.openxmlformats.org/officeDocument/2006/relationships/hyperlink" Target="https://www.google.com/maps/dir/?api=1&amp;origin=Gymnasium+Kirchheim,+Heimstettner+Str.+3,+85551+Kirchheim+bei+M&#252;nchen&amp;destination=48.07821392872453,11.870337526618448&amp;travelmode=car" TargetMode="External"/><Relationship Id="rId404" Type="http://schemas.openxmlformats.org/officeDocument/2006/relationships/hyperlink" Target="https://www.google.com/maps/dir/?api=1&amp;origin=Gymnasium+Kirchheim,+Heimstettner+Str.+3,+85551+Kirchheim+bei+M&#252;nchen&amp;destination=48.2529880275543,11.824161128262173&amp;travelmode=car" TargetMode="External"/><Relationship Id="rId611" Type="http://schemas.openxmlformats.org/officeDocument/2006/relationships/hyperlink" Target="https://www.google.com/maps/dir/?api=1&amp;origin=Gymnasium+Kirchheim,+Heimstettner+Str.+3,+85551+Kirchheim+bei+M&#252;nchen&amp;destination=48.2354120472971,12.182014408588692&amp;travelmode=car" TargetMode="External"/><Relationship Id="rId1034" Type="http://schemas.openxmlformats.org/officeDocument/2006/relationships/hyperlink" Target="https://www.google.com/maps/dir/?api=1&amp;origin=Gymnasium+Kirchheim,+Heimstettner+Str.+3,+85551+Kirchheim+bei+M&#252;nchen&amp;destination=48.19892488639406,11.985776420185003&amp;travelmode=car" TargetMode="External"/><Relationship Id="rId1241" Type="http://schemas.openxmlformats.org/officeDocument/2006/relationships/hyperlink" Target="https://www.google.com/maps/dir/?api=1&amp;origin=Gymnasium+Kirchheim,+Heimstettner+Str.+3,+85551+Kirchheim+bei+M&#252;nchen&amp;destination=48.17859731039328,11.327744523821421&amp;travelmode=car" TargetMode="External"/><Relationship Id="rId1339" Type="http://schemas.openxmlformats.org/officeDocument/2006/relationships/hyperlink" Target="https://www.google.com/maps/dir/?api=1&amp;origin=Gymnasium+Kirchheim,+Heimstettner+Str.+3,+85551+Kirchheim+bei+M&#252;nchen&amp;destination=48.17085319993604,11.44319250119349&amp;travelmode=car" TargetMode="External"/><Relationship Id="rId1893" Type="http://schemas.openxmlformats.org/officeDocument/2006/relationships/hyperlink" Target="https://www.google.com/maps/dir/?api=1&amp;origin=Gymnasium+Kirchheim,+Heimstettner+Str.+3,+85551+Kirchheim+bei+M&#252;nchen&amp;destination=48.12437815097785,11.743351415580166&amp;travelmode=car" TargetMode="External"/><Relationship Id="rId2737" Type="http://schemas.openxmlformats.org/officeDocument/2006/relationships/hyperlink" Target="https://www.google.com/maps/dir/?api=1&amp;origin=Gymnasium+Kirchheim,+Heimstettner+Str.+3,+85551+Kirchheim+bei+M&#252;nchen&amp;destination=48.04959921127181,11.327744523821421&amp;travelmode=car" TargetMode="External"/><Relationship Id="rId2944" Type="http://schemas.openxmlformats.org/officeDocument/2006/relationships/hyperlink" Target="https://www.google.com/maps/dir/?api=1&amp;origin=Gymnasium+Kirchheim,+Heimstettner+Str.+3,+85551+Kirchheim+bei+M&#252;nchen&amp;destination=48.03356331023121,11.685629484445332&amp;travelmode=car" TargetMode="External"/><Relationship Id="rId709" Type="http://schemas.openxmlformats.org/officeDocument/2006/relationships/hyperlink" Target="https://www.google.com/maps/dir/?api=1&amp;origin=Gymnasium+Kirchheim,+Heimstettner+Str.+3,+85551+Kirchheim+bei+M&#252;nchen&amp;destination=48.224156093265684,11.281565179283442&amp;travelmode=car" TargetMode="External"/><Relationship Id="rId916" Type="http://schemas.openxmlformats.org/officeDocument/2006/relationships/hyperlink" Target="https://www.google.com/maps/dir/?api=1&amp;origin=Gymnasium+Kirchheim,+Heimstettner+Str.+3,+85551+Kirchheim+bei+M&#252;nchen&amp;destination=48.20826346610193,11.639451564999296&amp;travelmode=car" TargetMode="External"/><Relationship Id="rId1101" Type="http://schemas.openxmlformats.org/officeDocument/2006/relationships/hyperlink" Target="https://www.google.com/maps/dir/?api=1&amp;origin=Gymnasium+Kirchheim,+Heimstettner+Str.+3,+85551+Kirchheim+bei+M&#252;nchen&amp;destination=48.19267126227745,11.743351415580166&amp;travelmode=car" TargetMode="External"/><Relationship Id="rId1546" Type="http://schemas.openxmlformats.org/officeDocument/2006/relationships/hyperlink" Target="https://www.google.com/maps/dir/?api=1&amp;origin=Gymnasium+Kirchheim,+Heimstettner+Str.+3,+85551+Kirchheim+bei+M&#252;nchen&amp;destination=48.154459119799746,11.801072765593279&amp;travelmode=car" TargetMode="External"/><Relationship Id="rId1753" Type="http://schemas.openxmlformats.org/officeDocument/2006/relationships/hyperlink" Target="https://www.google.com/maps/dir/?api=1&amp;origin=Gymnasium+Kirchheim,+Heimstettner+Str.+3,+85551+Kirchheim+bei+M&#252;nchen&amp;destination=48.13695476457928,12.158928183084447&amp;travelmode=car" TargetMode="External"/><Relationship Id="rId1960" Type="http://schemas.openxmlformats.org/officeDocument/2006/relationships/hyperlink" Target="https://www.google.com/maps/dir/?api=1&amp;origin=Gymnasium+Kirchheim,+Heimstettner+Str.+3,+85551+Kirchheim+bei+M&#252;nchen&amp;destination=48.11761501280223,11.500916160110199&amp;travelmode=car" TargetMode="External"/><Relationship Id="rId2804" Type="http://schemas.openxmlformats.org/officeDocument/2006/relationships/hyperlink" Target="https://www.google.com/maps/dir/?api=1&amp;origin=Gymnasium+Kirchheim,+Heimstettner+Str.+3,+85551+Kirchheim+bei+M&#252;nchen&amp;destination=48.046434526686134,12.089668514337413&amp;travelmode=car" TargetMode="External"/><Relationship Id="rId45" Type="http://schemas.openxmlformats.org/officeDocument/2006/relationships/hyperlink" Target="https://www.google.com/maps/dir/?api=1&amp;origin=Gymnasium+Kirchheim,+Heimstettner+Str.+3,+85551+Kirchheim+bei+M&#252;nchen&amp;destination=48.283728744010254,11.743351415580166&amp;travelmode=car" TargetMode="External"/><Relationship Id="rId1406" Type="http://schemas.openxmlformats.org/officeDocument/2006/relationships/hyperlink" Target="https://www.google.com/maps/dir/?api=1&amp;origin=Gymnasium+Kirchheim,+Heimstettner+Str.+3,+85551+Kirchheim+bei+M&#252;nchen&amp;destination=48.16682778884161,12.21664342242148&amp;travelmode=car" TargetMode="External"/><Relationship Id="rId1613" Type="http://schemas.openxmlformats.org/officeDocument/2006/relationships/hyperlink" Target="https://www.google.com/maps/dir/?api=1&amp;origin=Gymnasium+Kirchheim,+Heimstettner+Str.+3,+85551+Kirchheim+bei+M&#252;nchen&amp;destination=48.1478172980501,11.55863951211732&amp;travelmode=car" TargetMode="External"/><Relationship Id="rId1820" Type="http://schemas.openxmlformats.org/officeDocument/2006/relationships/hyperlink" Target="https://www.google.com/maps/dir/?api=1&amp;origin=Gymnasium+Kirchheim,+Heimstettner+Str.+3,+85551+Kirchheim+bei+M&#252;nchen&amp;destination=48.13106504927254,11.916513461151142&amp;travelmode=car" TargetMode="External"/><Relationship Id="rId3066" Type="http://schemas.openxmlformats.org/officeDocument/2006/relationships/hyperlink" Target="https://www.google.com/maps/dir/?api=1&amp;origin=Gymnasium+Kirchheim,+Heimstettner+Str.+3,+85551+Kirchheim+bei+M&#252;nchen&amp;destination=48.02375565378132,12.078125096991752&amp;travelmode=car" TargetMode="External"/><Relationship Id="rId3273" Type="http://schemas.openxmlformats.org/officeDocument/2006/relationships/hyperlink" Target="https://www.google.com/maps/dir/?api=1&amp;origin=Gymnasium+Kirchheim,+Heimstettner+Str.+3,+85551+Kirchheim+bei+M&#252;nchen&amp;destination=48.0039549244368,11.420102966318577&amp;travelmode=car" TargetMode="External"/><Relationship Id="rId3480" Type="http://schemas.openxmlformats.org/officeDocument/2006/relationships/hyperlink" Target="https://www.google.com/maps/dir/?api=1&amp;origin=Gymnasium+Kirchheim,+Heimstettner+Str.+3,+85551+Kirchheim+bei+M&#252;nchen&amp;destination=47.98763247938168,11.777984299500497&amp;travelmode=car" TargetMode="External"/><Relationship Id="rId194" Type="http://schemas.openxmlformats.org/officeDocument/2006/relationships/hyperlink" Target="https://www.google.com/maps/dir/?api=1&amp;origin=Gymnasium+Kirchheim,+Heimstettner+Str.+3,+85551+Kirchheim+bei+M&#252;nchen&amp;destination=48.269519603375706,11.431647738327094&amp;travelmode=car" TargetMode="External"/><Relationship Id="rId1918" Type="http://schemas.openxmlformats.org/officeDocument/2006/relationships/hyperlink" Target="https://www.google.com/maps/dir/?api=1&amp;origin=Gymnasium+Kirchheim,+Heimstettner+Str.+3,+85551+Kirchheim+bei+M&#252;nchen&amp;destination=48.122731697087225,12.031951048971356&amp;travelmode=car" TargetMode="External"/><Relationship Id="rId2082" Type="http://schemas.openxmlformats.org/officeDocument/2006/relationships/hyperlink" Target="https://www.google.com/maps/dir/?api=1&amp;origin=Gymnasium+Kirchheim,+Heimstettner+Str.+3,+85551+Kirchheim+bei+M&#252;nchen&amp;destination=48.10843586133448,11.893425553951282&amp;travelmode=car" TargetMode="External"/><Relationship Id="rId3133" Type="http://schemas.openxmlformats.org/officeDocument/2006/relationships/hyperlink" Target="https://www.google.com/maps/dir/?api=1&amp;origin=Gymnasium+Kirchheim,+Heimstettner+Str.+3,+85551+Kirchheim+bei+M&#252;nchen&amp;destination=48.017696118017554,11.835705269507187&amp;travelmode=car" TargetMode="External"/><Relationship Id="rId3578" Type="http://schemas.openxmlformats.org/officeDocument/2006/relationships/hyperlink" Target="https://www.google.com/maps/dir/?api=1&amp;origin=Gymnasium+Kirchheim,+Heimstettner+Str.+3,+85551+Kirchheim+bei+M&#252;nchen&amp;destination=47.97943776221302,11.893425553951282&amp;travelmode=car" TargetMode="External"/><Relationship Id="rId261" Type="http://schemas.openxmlformats.org/officeDocument/2006/relationships/hyperlink" Target="https://www.google.com/maps/dir/?api=1&amp;origin=Gymnasium+Kirchheim,+Heimstettner+Str.+3,+85551+Kirchheim+bei+M&#252;nchen&amp;destination=48.26557159821536,12.205100461762754&amp;travelmode=car" TargetMode="External"/><Relationship Id="rId499" Type="http://schemas.openxmlformats.org/officeDocument/2006/relationships/hyperlink" Target="https://www.google.com/maps/dir/?api=1&amp;origin=Gymnasium+Kirchheim,+Heimstettner+Str.+3,+85551+Kirchheim+bei+M&#252;nchen&amp;destination=48.24495507033254,11.90496952282889&amp;travelmode=car" TargetMode="External"/><Relationship Id="rId2387" Type="http://schemas.openxmlformats.org/officeDocument/2006/relationships/hyperlink" Target="https://www.google.com/maps/dir/?api=1&amp;origin=Gymnasium+Kirchheim,+Heimstettner+Str.+3,+85551+Kirchheim+bei+M&#252;nchen&amp;destination=48.079929751423265,11.350834171536942&amp;travelmode=car" TargetMode="External"/><Relationship Id="rId2594" Type="http://schemas.openxmlformats.org/officeDocument/2006/relationships/hyperlink" Target="https://www.google.com/maps/dir/?api=1&amp;origin=Gymnasium+Kirchheim,+Heimstettner+Str.+3,+85551+Kirchheim+bei+M&#252;nchen&amp;destination=48.06382221387474,11.708718322455919&amp;travelmode=car" TargetMode="External"/><Relationship Id="rId3340" Type="http://schemas.openxmlformats.org/officeDocument/2006/relationships/hyperlink" Target="https://www.google.com/maps/dir/?api=1&amp;origin=Gymnasium+Kirchheim,+Heimstettner+Str.+3,+85551+Kirchheim+bei+M&#252;nchen&amp;destination=48.000084325549416,12.193557456977898&amp;travelmode=car" TargetMode="External"/><Relationship Id="rId3438" Type="http://schemas.openxmlformats.org/officeDocument/2006/relationships/hyperlink" Target="https://www.google.com/maps/dir/?api=1&amp;origin=Gymnasium+Kirchheim,+Heimstettner+Str.+3,+85551+Kirchheim+bei+M&#252;nchen&amp;destination=47.988918488145366,11.293110020250275&amp;travelmode=car" TargetMode="External"/><Relationship Id="rId359" Type="http://schemas.openxmlformats.org/officeDocument/2006/relationships/hyperlink" Target="https://www.google.com/maps/dir/?api=1&amp;origin=Gymnasium+Kirchheim,+Heimstettner+Str.+3,+85551+Kirchheim+bei+M&#252;nchen&amp;destination=48.25449587709443,11.304654858343824&amp;travelmode=car" TargetMode="External"/><Relationship Id="rId566" Type="http://schemas.openxmlformats.org/officeDocument/2006/relationships/hyperlink" Target="https://www.google.com/maps/dir/?api=1&amp;origin=Gymnasium+Kirchheim,+Heimstettner+Str.+3,+85551+Kirchheim+bei+M&#252;nchen&amp;destination=48.238531612856946,11.66254056390037&amp;travelmode=car" TargetMode="External"/><Relationship Id="rId773" Type="http://schemas.openxmlformats.org/officeDocument/2006/relationships/hyperlink" Target="https://www.google.com/maps/dir/?api=1&amp;origin=Gymnasium+Kirchheim,+Heimstettner+Str.+3,+85551+Kirchheim+bei+M&#252;nchen&amp;destination=48.221457023781596,12.02040744491661&amp;travelmode=car" TargetMode="External"/><Relationship Id="rId1196" Type="http://schemas.openxmlformats.org/officeDocument/2006/relationships/hyperlink" Target="https://www.google.com/maps/dir/?api=1&amp;origin=Gymnasium+Kirchheim,+Heimstettner+Str.+3,+85551+Kirchheim+bei+M&#252;nchen&amp;destination=48.184694916254685,11.824161128262173&amp;travelmode=car" TargetMode="External"/><Relationship Id="rId2247" Type="http://schemas.openxmlformats.org/officeDocument/2006/relationships/hyperlink" Target="https://www.google.com/maps/dir/?api=1&amp;origin=Gymnasium+Kirchheim,+Heimstettner+Str.+3,+85551+Kirchheim+bei+M&#252;nchen&amp;destination=48.09392051309241,11.766440028975659&amp;travelmode=car" TargetMode="External"/><Relationship Id="rId2454" Type="http://schemas.openxmlformats.org/officeDocument/2006/relationships/hyperlink" Target="https://www.google.com/maps/dir/?api=1&amp;origin=Gymnasium+Kirchheim,+Heimstettner+Str.+3,+85551+Kirchheim+bei+M&#252;nchen&amp;destination=48.07652359691801,12.12429853084091&amp;travelmode=car" TargetMode="External"/><Relationship Id="rId2899" Type="http://schemas.openxmlformats.org/officeDocument/2006/relationships/hyperlink" Target="https://www.google.com/maps/dir/?api=1&amp;origin=Gymnasium+Kirchheim,+Heimstettner+Str.+3,+85551+Kirchheim+bei+M&#252;nchen&amp;destination=48.03812083687604,12.182014408588692&amp;travelmode=car" TargetMode="External"/><Relationship Id="rId3200" Type="http://schemas.openxmlformats.org/officeDocument/2006/relationships/hyperlink" Target="https://www.google.com/maps/dir/?api=1&amp;origin=Gymnasium+Kirchheim,+Heimstettner+Str.+3,+85551+Kirchheim+bei+M&#252;nchen&amp;destination=48.011127085165334,11.593273348842407&amp;travelmode=car" TargetMode="External"/><Relationship Id="rId3505" Type="http://schemas.openxmlformats.org/officeDocument/2006/relationships/hyperlink" Target="https://www.google.com/maps/dir/?api=1&amp;origin=Gymnasium+Kirchheim,+Heimstettner+Str.+3,+85551+Kirchheim+bei+M&#252;nchen&amp;destination=47.985899378726415,12.066581641260367&amp;travelmode=car" TargetMode="External"/><Relationship Id="rId121" Type="http://schemas.openxmlformats.org/officeDocument/2006/relationships/hyperlink" Target="https://www.google.com/maps/dir/?api=1&amp;origin=Gymnasium+Kirchheim,+Heimstettner+Str.+3,+85551+Kirchheim+bei+M&#252;nchen&amp;destination=48.276674432626805,11.604817928870196&amp;travelmode=car" TargetMode="External"/><Relationship Id="rId219" Type="http://schemas.openxmlformats.org/officeDocument/2006/relationships/hyperlink" Target="https://www.google.com/maps/dir/?api=1&amp;origin=Gymnasium+Kirchheim,+Heimstettner+Str.+3,+85551+Kirchheim+bei+M&#252;nchen&amp;destination=48.26860333599781,11.731807073753979&amp;travelmode=car" TargetMode="External"/><Relationship Id="rId426" Type="http://schemas.openxmlformats.org/officeDocument/2006/relationships/hyperlink" Target="https://www.google.com/maps/dir/?api=1&amp;origin=Gymnasium+Kirchheim,+Heimstettner+Str.+3,+85551+Kirchheim+bei+M&#252;nchen&amp;destination=48.25139935811334,12.078125096991752&amp;travelmode=car" TargetMode="External"/><Relationship Id="rId633" Type="http://schemas.openxmlformats.org/officeDocument/2006/relationships/hyperlink" Target="https://www.google.com/maps/dir/?api=1&amp;origin=Gymnasium+Kirchheim,+Heimstettner+Str.+3,+85551+Kirchheim+bei+M&#252;nchen&amp;destination=48.23159862876881,11.420102966318577&amp;travelmode=car" TargetMode="External"/><Relationship Id="rId980" Type="http://schemas.openxmlformats.org/officeDocument/2006/relationships/hyperlink" Target="https://www.google.com/maps/dir/?api=1&amp;origin=Gymnasium+Kirchheim,+Heimstettner+Str.+3,+85551+Kirchheim+bei+M&#252;nchen&amp;destination=48.20132701700118,11.362378987427904&amp;travelmode=car" TargetMode="External"/><Relationship Id="rId1056" Type="http://schemas.openxmlformats.org/officeDocument/2006/relationships/hyperlink" Target="https://www.google.com/maps/dir/?api=1&amp;origin=Gymnasium+Kirchheim,+Heimstettner+Str.+3,+85551+Kirchheim+bei+M&#252;nchen&amp;destination=48.19698040913456,12.239729209273484&amp;travelmode=car" TargetMode="External"/><Relationship Id="rId1263" Type="http://schemas.openxmlformats.org/officeDocument/2006/relationships/hyperlink" Target="https://www.google.com/maps/dir/?api=1&amp;origin=Gymnasium+Kirchheim,+Heimstettner+Str.+3,+85551+Kirchheim+bei+M&#252;nchen&amp;destination=48.17810162052138,11.581728752359444&amp;travelmode=car" TargetMode="External"/><Relationship Id="rId2107" Type="http://schemas.openxmlformats.org/officeDocument/2006/relationships/hyperlink" Target="https://www.google.com/maps/dir/?api=1&amp;origin=Gymnasium+Kirchheim,+Heimstettner+Str.+3,+85551+Kirchheim+bei+M&#252;nchen&amp;destination=48.106413948175636,12.182014408588692&amp;travelmode=car" TargetMode="External"/><Relationship Id="rId2314" Type="http://schemas.openxmlformats.org/officeDocument/2006/relationships/hyperlink" Target="https://www.google.com/maps/dir/?api=1&amp;origin=Gymnasium+Kirchheim,+Heimstettner+Str.+3,+85551+Kirchheim+bei+M&#252;nchen&amp;destination=48.087205901714206,11.524005541398747&amp;travelmode=car" TargetMode="External"/><Relationship Id="rId2661" Type="http://schemas.openxmlformats.org/officeDocument/2006/relationships/hyperlink" Target="https://www.google.com/maps/dir/?api=1&amp;origin=Gymnasium+Kirchheim,+Heimstettner+Str.+3,+85551+Kirchheim+bei+M&#252;nchen&amp;destination=48.05698628497703,11.466281997410366&amp;travelmode=car" TargetMode="External"/><Relationship Id="rId2759" Type="http://schemas.openxmlformats.org/officeDocument/2006/relationships/hyperlink" Target="https://www.google.com/maps/dir/?api=1&amp;origin=Gymnasium+Kirchheim,+Heimstettner+Str.+3,+85551+Kirchheim+bei+M&#252;nchen&amp;destination=48.04906770255401,11.593273348842407&amp;travelmode=car" TargetMode="External"/><Relationship Id="rId2966" Type="http://schemas.openxmlformats.org/officeDocument/2006/relationships/hyperlink" Target="https://www.google.com/maps/dir/?api=1&amp;origin=Gymnasium+Kirchheim,+Heimstettner+Str.+3,+85551+Kirchheim+bei+M&#252;nchen&amp;destination=48.032279640419176,11.939601244041153&amp;travelmode=car" TargetMode="External"/><Relationship Id="rId840" Type="http://schemas.openxmlformats.org/officeDocument/2006/relationships/hyperlink" Target="https://www.google.com/maps/dir/?api=1&amp;origin=Gymnasium+Kirchheim,+Heimstettner+Str.+3,+85551+Kirchheim+bei+M&#252;nchen&amp;destination=48.215276183713684,11.777984299500497&amp;travelmode=car" TargetMode="External"/><Relationship Id="rId938" Type="http://schemas.openxmlformats.org/officeDocument/2006/relationships/hyperlink" Target="https://www.google.com/maps/dir/?api=1&amp;origin=Gymnasium+Kirchheim,+Heimstettner+Str.+3,+85551+Kirchheim+bei+M&#252;nchen&amp;destination=48.20708146654502,11.893425553951282&amp;travelmode=car" TargetMode="External"/><Relationship Id="rId1470" Type="http://schemas.openxmlformats.org/officeDocument/2006/relationships/hyperlink" Target="https://www.google.com/maps/dir/?api=1&amp;origin=Gymnasium+Kirchheim,+Heimstettner+Str.+3,+85551+Kirchheim+bei+M&#252;nchen&amp;destination=48.16127773954065,11.939601244041153&amp;travelmode=car" TargetMode="External"/><Relationship Id="rId1568" Type="http://schemas.openxmlformats.org/officeDocument/2006/relationships/hyperlink" Target="https://www.google.com/maps/dir/?api=1&amp;origin=Gymnasium+Kirchheim,+Heimstettner+Str.+3,+85551+Kirchheim+bei+M&#252;nchen&amp;destination=48.15292128236843,12.055038147665204&amp;travelmode=car" TargetMode="External"/><Relationship Id="rId1775" Type="http://schemas.openxmlformats.org/officeDocument/2006/relationships/hyperlink" Target="https://www.google.com/maps/dir/?api=1&amp;origin=Gymnasium+Kirchheim,+Heimstettner+Str.+3,+85551+Kirchheim+bei+M&#252;nchen&amp;destination=48.13298884277317,11.397013396964736&amp;travelmode=car" TargetMode="External"/><Relationship Id="rId2521" Type="http://schemas.openxmlformats.org/officeDocument/2006/relationships/hyperlink" Target="https://www.google.com/maps/dir/?api=1&amp;origin=Gymnasium+Kirchheim,+Heimstettner+Str.+3,+85551+Kirchheim+bei+M&#252;nchen&amp;destination=48.070561102248405,11.881881555040426&amp;travelmode=car" TargetMode="External"/><Relationship Id="rId2619" Type="http://schemas.openxmlformats.org/officeDocument/2006/relationships/hyperlink" Target="https://www.google.com/maps/dir/?api=1&amp;origin=Gymnasium+Kirchheim,+Heimstettner+Str.+3,+85551+Kirchheim+bei+M&#252;nchen&amp;destination=48.0621849970032,12.00886380508597&amp;travelmode=car" TargetMode="External"/><Relationship Id="rId2826" Type="http://schemas.openxmlformats.org/officeDocument/2006/relationships/hyperlink" Target="https://www.google.com/maps/dir/?api=1&amp;origin=Gymnasium+Kirchheim,+Heimstettner+Str.+3,+85551+Kirchheim+bei+M&#252;nchen&amp;destination=48.04200068864336,11.339289350160644&amp;travelmode=car" TargetMode="External"/><Relationship Id="rId67" Type="http://schemas.openxmlformats.org/officeDocument/2006/relationships/hyperlink" Target="https://www.google.com/maps/dir/?api=1&amp;origin=Gymnasium+Kirchheim,+Heimstettner+Str.+3,+85551+Kirchheim+bei+M&#252;nchen&amp;destination=48.28231798887492,11.997320130001427&amp;travelmode=car" TargetMode="External"/><Relationship Id="rId700" Type="http://schemas.openxmlformats.org/officeDocument/2006/relationships/hyperlink" Target="https://www.google.com/maps/dir/?api=1&amp;origin=Gymnasium+Kirchheim,+Heimstettner+Str.+3,+85551+Kirchheim+bei+M&#252;nchen&amp;destination=48.22772802988143,12.193557456977898&amp;travelmode=car" TargetMode="External"/><Relationship Id="rId1123" Type="http://schemas.openxmlformats.org/officeDocument/2006/relationships/hyperlink" Target="https://www.google.com/maps/dir/?api=1&amp;origin=Gymnasium+Kirchheim,+Heimstettner+Str.+3,+85551+Kirchheim+bei+M&#252;nchen&amp;destination=48.19126050714212,11.997320130001427&amp;travelmode=car" TargetMode="External"/><Relationship Id="rId1330" Type="http://schemas.openxmlformats.org/officeDocument/2006/relationships/hyperlink" Target="https://www.google.com/maps/dir/?api=1&amp;origin=Gymnasium+Kirchheim,+Heimstettner+Str.+3,+85551+Kirchheim+bei+M&#252;nchen&amp;destination=48.17099878776484,11.339289350160644&amp;travelmode=car" TargetMode="External"/><Relationship Id="rId1428" Type="http://schemas.openxmlformats.org/officeDocument/2006/relationships/hyperlink" Target="https://www.google.com/maps/dir/?api=1&amp;origin=Gymnasium+Kirchheim,+Heimstettner+Str.+3,+85551+Kirchheim+bei+M&#252;nchen&amp;destination=48.163243122783626,11.454737254395377&amp;travelmode=car" TargetMode="External"/><Relationship Id="rId1635" Type="http://schemas.openxmlformats.org/officeDocument/2006/relationships/hyperlink" Target="https://www.google.com/maps/dir/?api=1&amp;origin=Gymnasium+Kirchheim,+Heimstettner+Str.+3,+85551+Kirchheim+bei+M&#252;nchen&amp;destination=48.14681322526204,11.81261696011681&amp;travelmode=car" TargetMode="External"/><Relationship Id="rId1982" Type="http://schemas.openxmlformats.org/officeDocument/2006/relationships/hyperlink" Target="https://www.google.com/maps/dir/?api=1&amp;origin=Gymnasium+Kirchheim,+Heimstettner+Str.+3,+85551+Kirchheim+bei+M&#252;nchen&amp;destination=48.11673803319279,11.754895734161472&amp;travelmode=car" TargetMode="External"/><Relationship Id="rId3088" Type="http://schemas.openxmlformats.org/officeDocument/2006/relationships/hyperlink" Target="https://www.google.com/maps/dir/?api=1&amp;origin=Gymnasium+Kirchheim,+Heimstettner+Str.+3,+85551+Kirchheim+bei+M&#252;nchen&amp;destination=48.01926404928468,11.304654858343824&amp;travelmode=car" TargetMode="External"/><Relationship Id="rId1842" Type="http://schemas.openxmlformats.org/officeDocument/2006/relationships/hyperlink" Target="https://www.google.com/maps/dir/?api=1&amp;origin=Gymnasium+Kirchheim,+Heimstettner+Str.+3,+85551+Kirchheim+bei+M&#252;nchen&amp;destination=48.12927305742177,12.170471317116936&amp;travelmode=car" TargetMode="External"/><Relationship Id="rId3295" Type="http://schemas.openxmlformats.org/officeDocument/2006/relationships/hyperlink" Target="https://www.google.com/maps/dir/?api=1&amp;origin=Gymnasium+Kirchheim,+Heimstettner+Str.+3,+85551+Kirchheim+bei+M&#252;nchen&amp;destination=48.00325587837825,11.67408503422851&amp;travelmode=car" TargetMode="External"/><Relationship Id="rId1702" Type="http://schemas.openxmlformats.org/officeDocument/2006/relationships/hyperlink" Target="https://www.google.com/maps/dir/?api=1&amp;origin=Gymnasium+Kirchheim,+Heimstettner+Str.+3,+85551+Kirchheim+bei+M&#252;nchen&amp;destination=48.140195666562214,11.570184139943638&amp;travelmode=car" TargetMode="External"/><Relationship Id="rId3155" Type="http://schemas.openxmlformats.org/officeDocument/2006/relationships/hyperlink" Target="https://www.google.com/maps/dir/?api=1&amp;origin=Gymnasium+Kirchheim,+Heimstettner+Str.+3,+85551+Kirchheim+bei+M&#252;nchen&amp;destination=48.01599538005953,12.101211892775435&amp;travelmode=car" TargetMode="External"/><Relationship Id="rId3362" Type="http://schemas.openxmlformats.org/officeDocument/2006/relationships/hyperlink" Target="https://www.google.com/maps/dir/?api=1&amp;origin=Gymnasium+Kirchheim,+Heimstettner+Str.+3,+85551+Kirchheim+bei+M&#252;nchen&amp;destination=47.99634715817729,11.431647738327094&amp;travelmode=car" TargetMode="External"/><Relationship Id="rId283" Type="http://schemas.openxmlformats.org/officeDocument/2006/relationships/hyperlink" Target="https://www.google.com/maps/dir/?api=1&amp;origin=Gymnasium+Kirchheim,+Heimstettner+Str.+3,+85551+Kirchheim+bei+M&#252;nchen&amp;destination=48.26191068166886,11.44319250119349&amp;travelmode=car" TargetMode="External"/><Relationship Id="rId490" Type="http://schemas.openxmlformats.org/officeDocument/2006/relationships/hyperlink" Target="https://www.google.com/maps/dir/?api=1&amp;origin=Gymnasium+Kirchheim,+Heimstettner+Str.+3,+85551+Kirchheim+bei+M&#252;nchen&amp;destination=48.24551660153256,11.801072765593279&amp;travelmode=car" TargetMode="External"/><Relationship Id="rId2171" Type="http://schemas.openxmlformats.org/officeDocument/2006/relationships/hyperlink" Target="https://www.google.com/maps/dir/?api=1&amp;origin=Gymnasium+Kirchheim,+Heimstettner+Str.+3,+85551+Kirchheim+bei+M&#252;nchen&amp;destination=48.10078072425558,11.90496952282889&amp;travelmode=car" TargetMode="External"/><Relationship Id="rId3015" Type="http://schemas.openxmlformats.org/officeDocument/2006/relationships/hyperlink" Target="https://www.google.com/maps/dir/?api=1&amp;origin=Gymnasium+Kirchheim,+Heimstettner+Str.+3,+85551+Kirchheim+bei+M&#252;nchen&amp;destination=48.02658410650646,11.489371450790154&amp;travelmode=car" TargetMode="External"/><Relationship Id="rId3222" Type="http://schemas.openxmlformats.org/officeDocument/2006/relationships/hyperlink" Target="https://www.google.com/maps/dir/?api=1&amp;origin=Gymnasium+Kirchheim,+Heimstettner+Str.+3,+85551+Kirchheim+bei+M&#252;nchen&amp;destination=48.01004675748698,11.847249383329679&amp;travelmode=car" TargetMode="External"/><Relationship Id="rId143" Type="http://schemas.openxmlformats.org/officeDocument/2006/relationships/hyperlink" Target="https://www.google.com/maps/dir/?api=1&amp;origin=Gymnasium+Kirchheim,+Heimstettner+Str.+3,+85551+Kirchheim+bei+M&#252;nchen&amp;destination=48.27556868683425,11.858793469207484&amp;travelmode=car" TargetMode="External"/><Relationship Id="rId350" Type="http://schemas.openxmlformats.org/officeDocument/2006/relationships/hyperlink" Target="https://www.google.com/maps/dir/?api=1&amp;origin=Gymnasium+Kirchheim,+Heimstettner+Str.+3,+85551+Kirchheim+bei+M&#252;nchen&amp;destination=48.25788527057442,12.21664342242148&amp;travelmode=car" TargetMode="External"/><Relationship Id="rId588" Type="http://schemas.openxmlformats.org/officeDocument/2006/relationships/hyperlink" Target="https://www.google.com/maps/dir/?api=1&amp;origin=Gymnasium+Kirchheim,+Heimstettner+Str.+3,+85551+Kirchheim+bei+M&#252;nchen&amp;destination=48.237298777960824,11.916513461151142&amp;travelmode=car" TargetMode="External"/><Relationship Id="rId795" Type="http://schemas.openxmlformats.org/officeDocument/2006/relationships/hyperlink" Target="https://www.google.com/maps/dir/?api=1&amp;origin=Gymnasium+Kirchheim,+Heimstettner+Str.+3,+85551+Kirchheim+bei+M&#252;nchen&amp;destination=48.21657605802415,11.258475490819581&amp;travelmode=car" TargetMode="External"/><Relationship Id="rId2031" Type="http://schemas.openxmlformats.org/officeDocument/2006/relationships/hyperlink" Target="https://www.google.com/maps/dir/?api=1&amp;origin=Gymnasium+Kirchheim,+Heimstettner+Str.+3,+85551+Kirchheim+bei+M&#252;nchen&amp;destination=48.11032153101749,11.304654858343824&amp;travelmode=car" TargetMode="External"/><Relationship Id="rId2269" Type="http://schemas.openxmlformats.org/officeDocument/2006/relationships/hyperlink" Target="https://www.google.com/maps/dir/?api=1&amp;origin=Gymnasium+Kirchheim,+Heimstettner+Str.+3,+85551+Kirchheim+bei+M&#252;nchen&amp;destination=48.09245892466012,12.02040744491661&amp;travelmode=car" TargetMode="External"/><Relationship Id="rId2476" Type="http://schemas.openxmlformats.org/officeDocument/2006/relationships/hyperlink" Target="https://www.google.com/maps/dir/?api=1&amp;origin=Gymnasium+Kirchheim,+Heimstettner+Str.+3,+85551+Kirchheim+bei+M&#252;nchen&amp;destination=48.072328917879695,11.362378987427904&amp;travelmode=car" TargetMode="External"/><Relationship Id="rId2683" Type="http://schemas.openxmlformats.org/officeDocument/2006/relationships/hyperlink" Target="https://www.google.com/maps/dir/?api=1&amp;origin=Gymnasium+Kirchheim,+Heimstettner+Str.+3,+85551+Kirchheim+bei+M&#252;nchen&amp;destination=48.05618556219562,11.720262709205143&amp;travelmode=car" TargetMode="External"/><Relationship Id="rId2890" Type="http://schemas.openxmlformats.org/officeDocument/2006/relationships/hyperlink" Target="https://www.google.com/maps/dir/?api=1&amp;origin=Gymnasium+Kirchheim,+Heimstettner+Str.+3,+85551+Kirchheim+bei+M&#252;nchen&amp;destination=48.038931900736785,12.078125096991752&amp;travelmode=car" TargetMode="External"/><Relationship Id="rId3527" Type="http://schemas.openxmlformats.org/officeDocument/2006/relationships/hyperlink" Target="https://www.google.com/maps/dir/?api=1&amp;origin=Gymnasium+Kirchheim,+Heimstettner+Str.+3,+85551+Kirchheim+bei+M&#252;nchen&amp;destination=47.98132343189602,11.304654858343824&amp;travelmode=car" TargetMode="External"/><Relationship Id="rId9" Type="http://schemas.openxmlformats.org/officeDocument/2006/relationships/hyperlink" Target="https://www.google.com/maps/dir/?api=1&amp;origin=Gymnasium+Kirchheim,+Heimstettner+Str.+3,+85551+Kirchheim+bei+M&#252;nchen&amp;destination=48.28483103908155,11.327744523821421&amp;travelmode=car" TargetMode="External"/><Relationship Id="rId210" Type="http://schemas.openxmlformats.org/officeDocument/2006/relationships/hyperlink" Target="https://www.google.com/maps/dir/?api=1&amp;origin=Gymnasium+Kirchheim,+Heimstettner+Str.+3,+85551+Kirchheim+bei+M&#252;nchen&amp;destination=48.26904817947972,11.616362491920484&amp;travelmode=car" TargetMode="External"/><Relationship Id="rId448" Type="http://schemas.openxmlformats.org/officeDocument/2006/relationships/hyperlink" Target="https://www.google.com/maps/dir/?api=1&amp;origin=Gymnasium+Kirchheim,+Heimstettner+Str.+3,+85551+Kirchheim+bei+M&#252;nchen&amp;destination=48.24689966538466,11.316199693041677&amp;travelmode=car" TargetMode="External"/><Relationship Id="rId655" Type="http://schemas.openxmlformats.org/officeDocument/2006/relationships/hyperlink" Target="https://www.google.com/maps/dir/?api=1&amp;origin=Gymnasium+Kirchheim,+Heimstettner+Str.+3,+85551+Kirchheim+bei+M&#252;nchen&amp;destination=48.23089958271025,11.67408503422851&amp;travelmode=car" TargetMode="External"/><Relationship Id="rId862" Type="http://schemas.openxmlformats.org/officeDocument/2006/relationships/hyperlink" Target="https://www.google.com/maps/dir/?api=1&amp;origin=Gymnasium+Kirchheim,+Heimstettner+Str.+3,+85551+Kirchheim+bei+M&#252;nchen&amp;destination=48.21378917882002,12.031951048971356&amp;travelmode=car" TargetMode="External"/><Relationship Id="rId1078" Type="http://schemas.openxmlformats.org/officeDocument/2006/relationships/hyperlink" Target="https://www.google.com/maps/dir/?api=1&amp;origin=Gymnasium+Kirchheim,+Heimstettner+Str.+3,+85551+Kirchheim+bei+M&#252;nchen&amp;destination=48.193548243016224,11.477826729716085&amp;travelmode=car" TargetMode="External"/><Relationship Id="rId1285" Type="http://schemas.openxmlformats.org/officeDocument/2006/relationships/hyperlink" Target="https://www.google.com/maps/dir/?api=1&amp;origin=Gymnasium+Kirchheim,+Heimstettner+Str.+3,+85551+Kirchheim+bei+M&#252;nchen&amp;destination=48.17704671104995,11.835705269507187&amp;travelmode=car" TargetMode="External"/><Relationship Id="rId1492" Type="http://schemas.openxmlformats.org/officeDocument/2006/relationships/hyperlink" Target="https://www.google.com/maps/dir/?api=1&amp;origin=Gymnasium+Kirchheim,+Heimstettner+Str.+3,+85551+Kirchheim+bei+M&#252;nchen&amp;destination=48.15943491858183,12.193557456977898&amp;travelmode=car" TargetMode="External"/><Relationship Id="rId2129" Type="http://schemas.openxmlformats.org/officeDocument/2006/relationships/hyperlink" Target="https://www.google.com/maps/dir/?api=1&amp;origin=Gymnasium+Kirchheim,+Heimstettner+Str.+3,+85551+Kirchheim+bei+M&#252;nchen&amp;destination=48.10260052964734,11.420102966318577&amp;travelmode=car" TargetMode="External"/><Relationship Id="rId2336" Type="http://schemas.openxmlformats.org/officeDocument/2006/relationships/hyperlink" Target="https://www.google.com/maps/dir/?api=1&amp;origin=Gymnasium+Kirchheim,+Heimstettner+Str.+3,+85551+Kirchheim+bei+M&#252;nchen&amp;destination=48.086278084592216,11.777984299500497&amp;travelmode=car" TargetMode="External"/><Relationship Id="rId2543" Type="http://schemas.openxmlformats.org/officeDocument/2006/relationships/hyperlink" Target="https://www.google.com/maps/dir/?api=1&amp;origin=Gymnasium+Kirchheim,+Heimstettner+Str.+3,+85551+Kirchheim+bei+M&#252;nchen&amp;destination=48.06875408181827,12.147385007013046&amp;travelmode=car" TargetMode="External"/><Relationship Id="rId2750" Type="http://schemas.openxmlformats.org/officeDocument/2006/relationships/hyperlink" Target="https://www.google.com/maps/dir/?api=1&amp;origin=Gymnasium+Kirchheim,+Heimstettner+Str.+3,+85551+Kirchheim+bei+M&#252;nchen&amp;destination=48.049373896939294,11.477826729716085&amp;travelmode=car" TargetMode="External"/><Relationship Id="rId2988" Type="http://schemas.openxmlformats.org/officeDocument/2006/relationships/hyperlink" Target="https://www.google.com/maps/dir/?api=1&amp;origin=Gymnasium+Kirchheim,+Heimstettner+Str.+3,+85551+Kirchheim+bei+M&#252;nchen&amp;destination=48.030532713398294,12.182014408588692&amp;travelmode=car" TargetMode="External"/><Relationship Id="rId308" Type="http://schemas.openxmlformats.org/officeDocument/2006/relationships/hyperlink" Target="https://www.google.com/maps/dir/?api=1&amp;origin=Gymnasium+Kirchheim,+Heimstettner+Str.+3,+85551+Kirchheim+bei+M&#252;nchen&amp;destination=48.26101521252008,11.731807073753979&amp;travelmode=car" TargetMode="External"/><Relationship Id="rId515" Type="http://schemas.openxmlformats.org/officeDocument/2006/relationships/hyperlink" Target="https://www.google.com/maps/dir/?api=1&amp;origin=Gymnasium+Kirchheim,+Heimstettner+Str.+3,+85551+Kirchheim+bei+M&#252;nchen&amp;destination=48.24372573710722,12.089668514337413&amp;travelmode=car" TargetMode="External"/><Relationship Id="rId722" Type="http://schemas.openxmlformats.org/officeDocument/2006/relationships/hyperlink" Target="https://www.google.com/maps/dir/?api=1&amp;origin=Gymnasium+Kirchheim,+Heimstettner+Str.+3,+85551+Kirchheim+bei+M&#252;nchen&amp;destination=48.22399086250929,11.431647738327094&amp;travelmode=car" TargetMode="External"/><Relationship Id="rId1145" Type="http://schemas.openxmlformats.org/officeDocument/2006/relationships/hyperlink" Target="https://www.google.com/maps/dir/?api=1&amp;origin=Gymnasium+Kirchheim,+Heimstettner+Str.+3,+85551+Kirchheim+bei+M&#252;nchen&amp;destination=48.186227030500675,11.235385797131558&amp;travelmode=car" TargetMode="External"/><Relationship Id="rId1352" Type="http://schemas.openxmlformats.org/officeDocument/2006/relationships/hyperlink" Target="https://www.google.com/maps/dir/?api=1&amp;origin=Gymnasium+Kirchheim,+Heimstettner+Str.+3,+85551+Kirchheim+bei+M&#252;nchen&amp;destination=48.17047767819774,11.593273348842407&amp;travelmode=car" TargetMode="External"/><Relationship Id="rId1797" Type="http://schemas.openxmlformats.org/officeDocument/2006/relationships/hyperlink" Target="https://www.google.com/maps/dir/?api=1&amp;origin=Gymnasium+Kirchheim,+Heimstettner+Str.+3,+85551+Kirchheim+bei+M&#252;nchen&amp;destination=48.13234063544485,11.650996073983201&amp;travelmode=car" TargetMode="External"/><Relationship Id="rId2403" Type="http://schemas.openxmlformats.org/officeDocument/2006/relationships/hyperlink" Target="https://www.google.com/maps/dir/?api=1&amp;origin=Gymnasium+Kirchheim,+Heimstettner+Str.+3,+85551+Kirchheim+bei+M&#252;nchen&amp;destination=48.07958773650131,11.535550212322528&amp;travelmode=car" TargetMode="External"/><Relationship Id="rId2848" Type="http://schemas.openxmlformats.org/officeDocument/2006/relationships/hyperlink" Target="https://www.google.com/maps/dir/?api=1&amp;origin=Gymnasium+Kirchheim,+Heimstettner+Str.+3,+85551+Kirchheim+bei+M&#252;nchen&amp;destination=48.041515397922176,11.581728752359444&amp;travelmode=car" TargetMode="External"/><Relationship Id="rId89" Type="http://schemas.openxmlformats.org/officeDocument/2006/relationships/hyperlink" Target="https://www.google.com/maps/dir/?api=1&amp;origin=Gymnasium+Kirchheim,+Heimstettner+Str.+3,+85551+Kirchheim+bei+M&#252;nchen&amp;destination=48.27728451223348,11.235385797131558&amp;travelmode=car" TargetMode="External"/><Relationship Id="rId1005" Type="http://schemas.openxmlformats.org/officeDocument/2006/relationships/hyperlink" Target="https://www.google.com/maps/dir/?api=1&amp;origin=Gymnasium+Kirchheim,+Heimstettner+Str.+3,+85551+Kirchheim+bei+M&#252;nchen&amp;destination=48.20063374674446,11.650996073983201&amp;travelmode=car" TargetMode="External"/><Relationship Id="rId1212" Type="http://schemas.openxmlformats.org/officeDocument/2006/relationships/hyperlink" Target="https://www.google.com/maps/dir/?api=1&amp;origin=Gymnasium+Kirchheim,+Heimstettner+Str.+3,+85551+Kirchheim+bei+M&#252;nchen&amp;destination=48.183594972646944,12.00886380508597&amp;travelmode=car" TargetMode="External"/><Relationship Id="rId1657" Type="http://schemas.openxmlformats.org/officeDocument/2006/relationships/hyperlink" Target="https://www.google.com/maps/dir/?api=1&amp;origin=Gymnasium+Kirchheim,+Heimstettner+Str.+3,+85551+Kirchheim+bei+M&#252;nchen&amp;destination=48.14524997175884,12.066581641260367&amp;travelmode=car" TargetMode="External"/><Relationship Id="rId1864" Type="http://schemas.openxmlformats.org/officeDocument/2006/relationships/hyperlink" Target="https://www.google.com/maps/dir/?api=1&amp;origin=Gymnasium+Kirchheim,+Heimstettner+Str.+3,+85551+Kirchheim+bei+M&#252;nchen&amp;destination=48.125383387413294,11.408558185690326&amp;travelmode=car" TargetMode="External"/><Relationship Id="rId2610" Type="http://schemas.openxmlformats.org/officeDocument/2006/relationships/hyperlink" Target="https://www.google.com/maps/dir/?api=1&amp;origin=Gymnasium+Kirchheim,+Heimstettner+Str.+3,+85551+Kirchheim+bei+M&#252;nchen&amp;destination=48.06297297877067,11.881881555040426&amp;travelmode=car" TargetMode="External"/><Relationship Id="rId2708" Type="http://schemas.openxmlformats.org/officeDocument/2006/relationships/hyperlink" Target="https://www.google.com/maps/dir/?api=1&amp;origin=Gymnasium+Kirchheim,+Heimstettner+Str.+3,+85551+Kirchheim+bei+M&#252;nchen&amp;destination=48.0546742845429,11.997320130001427&amp;travelmode=car" TargetMode="External"/><Relationship Id="rId2915" Type="http://schemas.openxmlformats.org/officeDocument/2006/relationships/hyperlink" Target="https://www.google.com/maps/dir/?api=1&amp;origin=Gymnasium+Kirchheim,+Heimstettner+Str.+3,+85551+Kirchheim+bei+M&#252;nchen&amp;destination=48.03438830049104,11.362378987427904&amp;travelmode=car" TargetMode="External"/><Relationship Id="rId1517" Type="http://schemas.openxmlformats.org/officeDocument/2006/relationships/hyperlink" Target="https://www.google.com/maps/dir/?api=1&amp;origin=Gymnasium+Kirchheim,+Heimstettner+Str.+3,+85551+Kirchheim+bei+M&#252;nchen&amp;destination=48.155631890187564,11.466281997410366&amp;travelmode=car" TargetMode="External"/><Relationship Id="rId1724" Type="http://schemas.openxmlformats.org/officeDocument/2006/relationships/hyperlink" Target="https://www.google.com/maps/dir/?api=1&amp;origin=Gymnasium+Kirchheim,+Heimstettner+Str.+3,+85551+Kirchheim+bei+M&#252;nchen&amp;destination=48.13922510178431,11.81261696011681&amp;travelmode=car" TargetMode="External"/><Relationship Id="rId3177" Type="http://schemas.openxmlformats.org/officeDocument/2006/relationships/hyperlink" Target="https://www.google.com/maps/dir/?api=1&amp;origin=Gymnasium+Kirchheim,+Heimstettner+Str.+3,+85551+Kirchheim+bei+M&#252;nchen&amp;destination=48.01165859388314,11.327744523821421&amp;travelmode=car" TargetMode="External"/><Relationship Id="rId16" Type="http://schemas.openxmlformats.org/officeDocument/2006/relationships/hyperlink" Target="https://www.google.com/maps/dir/?api=1&amp;origin=Gymnasium+Kirchheim,+Heimstettner+Str.+3,+85551+Kirchheim+bei+M&#252;nchen&amp;destination=48.2847339804457,11.408558185690326&amp;travelmode=car" TargetMode="External"/><Relationship Id="rId1931" Type="http://schemas.openxmlformats.org/officeDocument/2006/relationships/hyperlink" Target="https://www.google.com/maps/dir/?api=1&amp;origin=Gymnasium+Kirchheim,+Heimstettner+Str.+3,+85551+Kirchheim+bei+M&#252;nchen&amp;destination=48.1215901951311,12.182014408588692&amp;travelmode=car" TargetMode="External"/><Relationship Id="rId3037" Type="http://schemas.openxmlformats.org/officeDocument/2006/relationships/hyperlink" Target="https://www.google.com/maps/dir/?api=1&amp;origin=Gymnasium+Kirchheim,+Heimstettner+Str.+3,+85551+Kirchheim+bei+M&#252;nchen&amp;destination=48.02573254576731,11.743351415580166&amp;travelmode=car" TargetMode="External"/><Relationship Id="rId3384" Type="http://schemas.openxmlformats.org/officeDocument/2006/relationships/hyperlink" Target="https://www.google.com/maps/dir/?api=1&amp;origin=Gymnasium+Kirchheim,+Heimstettner+Str.+3,+85551+Kirchheim+bei+M&#252;nchen&amp;destination=47.99562269284254,11.685629484445332&amp;travelmode=car" TargetMode="External"/><Relationship Id="rId3591" Type="http://schemas.openxmlformats.org/officeDocument/2006/relationships/hyperlink" Target="https://www.google.com/maps/dir/?api=1&amp;origin=Gymnasium+Kirchheim,+Heimstettner+Str.+3,+85551+Kirchheim+bei+M&#252;nchen&amp;destination=47.97847647430345,12.043494616728212&amp;travelmode=car" TargetMode="External"/><Relationship Id="rId2193" Type="http://schemas.openxmlformats.org/officeDocument/2006/relationships/hyperlink" Target="https://www.google.com/maps/dir/?api=1&amp;origin=Gymnasium+Kirchheim,+Heimstettner+Str.+3,+85551+Kirchheim+bei+M&#252;nchen&amp;destination=48.0990141471906,12.158928183084447&amp;travelmode=car" TargetMode="External"/><Relationship Id="rId2498" Type="http://schemas.openxmlformats.org/officeDocument/2006/relationships/hyperlink" Target="https://www.google.com/maps/dir/?api=1&amp;origin=Gymnasium+Kirchheim,+Heimstettner+Str.+3,+85551+Kirchheim+bei+M&#252;nchen&amp;destination=48.07175696905864,11.616362491920484&amp;travelmode=car" TargetMode="External"/><Relationship Id="rId3244" Type="http://schemas.openxmlformats.org/officeDocument/2006/relationships/hyperlink" Target="https://www.google.com/maps/dir/?api=1&amp;origin=Gymnasium+Kirchheim,+Heimstettner+Str.+3,+85551+Kirchheim+bei+M&#252;nchen&amp;destination=48.00840725658178,12.101211892775435&amp;travelmode=car" TargetMode="External"/><Relationship Id="rId3451" Type="http://schemas.openxmlformats.org/officeDocument/2006/relationships/hyperlink" Target="https://www.google.com/maps/dir/?api=1&amp;origin=Gymnasium+Kirchheim,+Heimstettner+Str.+3,+85551+Kirchheim+bei+M&#252;nchen&amp;destination=47.98873823647044,11.44319250119349&amp;travelmode=car" TargetMode="External"/><Relationship Id="rId3549" Type="http://schemas.openxmlformats.org/officeDocument/2006/relationships/hyperlink" Target="https://www.google.com/maps/dir/?api=1&amp;origin=Gymnasium+Kirchheim,+Heimstettner+Str.+3,+85551+Kirchheim+bei+M&#252;nchen&amp;destination=47.980845073529814,11.570184139943638&amp;travelmode=car" TargetMode="External"/><Relationship Id="rId165" Type="http://schemas.openxmlformats.org/officeDocument/2006/relationships/hyperlink" Target="https://www.google.com/maps/dir/?api=1&amp;origin=Gymnasium+Kirchheim,+Heimstettner+Str.+3,+85551+Kirchheim+bei+M&#252;nchen&amp;destination=48.273903770406946,12.112755231783899&amp;travelmode=car" TargetMode="External"/><Relationship Id="rId372" Type="http://schemas.openxmlformats.org/officeDocument/2006/relationships/hyperlink" Target="https://www.google.com/maps/dir/?api=1&amp;origin=Gymnasium+Kirchheim,+Heimstettner+Str.+3,+85551+Kirchheim+bei+M&#252;nchen&amp;destination=48.25430060451644,11.454737254395377&amp;travelmode=car" TargetMode="External"/><Relationship Id="rId677" Type="http://schemas.openxmlformats.org/officeDocument/2006/relationships/hyperlink" Target="https://www.google.com/maps/dir/?api=1&amp;origin=Gymnasium+Kirchheim,+Heimstettner+Str.+3,+85551+Kirchheim+bei+M&#252;nchen&amp;destination=48.229570850840254,11.939601244041153&amp;travelmode=car" TargetMode="External"/><Relationship Id="rId2053" Type="http://schemas.openxmlformats.org/officeDocument/2006/relationships/hyperlink" Target="https://www.google.com/maps/dir/?api=1&amp;origin=Gymnasium+Kirchheim,+Heimstettner+Str.+3,+85551+Kirchheim+bei+M&#252;nchen&amp;destination=48.109876680661436,11.55863951211732&amp;travelmode=car" TargetMode="External"/><Relationship Id="rId2260" Type="http://schemas.openxmlformats.org/officeDocument/2006/relationships/hyperlink" Target="https://www.google.com/maps/dir/?api=1&amp;origin=Gymnasium+Kirchheim,+Heimstettner+Str.+3,+85551+Kirchheim+bei+M&#252;nchen&amp;destination=48.09312443188388,11.916513461151142&amp;travelmode=car" TargetMode="External"/><Relationship Id="rId2358" Type="http://schemas.openxmlformats.org/officeDocument/2006/relationships/hyperlink" Target="https://www.google.com/maps/dir/?api=1&amp;origin=Gymnasium+Kirchheim,+Heimstettner+Str.+3,+85551+Kirchheim+bei+M&#252;nchen&amp;destination=48.08479107969856,12.031951048971356&amp;travelmode=car" TargetMode="External"/><Relationship Id="rId3104" Type="http://schemas.openxmlformats.org/officeDocument/2006/relationships/hyperlink" Target="https://www.google.com/maps/dir/?api=1&amp;origin=Gymnasium+Kirchheim,+Heimstettner+Str.+3,+85551+Kirchheim+bei+M&#252;nchen&amp;destination=48.018969407591705,11.500916160110199&amp;travelmode=car" TargetMode="External"/><Relationship Id="rId3311" Type="http://schemas.openxmlformats.org/officeDocument/2006/relationships/hyperlink" Target="https://www.google.com/maps/dir/?api=1&amp;origin=Gymnasium+Kirchheim,+Heimstettner+Str.+3,+85551+Kirchheim+bei+M&#252;nchen&amp;destination=48.00239624163583,11.858793469207484&amp;travelmode=car" TargetMode="External"/><Relationship Id="rId232" Type="http://schemas.openxmlformats.org/officeDocument/2006/relationships/hyperlink" Target="https://www.google.com/maps/dir/?api=1&amp;origin=Gymnasium+Kirchheim,+Heimstettner+Str.+3,+85551+Kirchheim+bei+M&#252;nchen&amp;destination=48.26791701566788,11.870337526618448&amp;travelmode=car" TargetMode="External"/><Relationship Id="rId884" Type="http://schemas.openxmlformats.org/officeDocument/2006/relationships/hyperlink" Target="https://www.google.com/maps/dir/?api=1&amp;origin=Gymnasium+Kirchheim,+Heimstettner+Str.+3,+85551+Kirchheim+bei+M&#252;nchen&amp;destination=48.20898446815927,11.27002033596574&amp;travelmode=car" TargetMode="External"/><Relationship Id="rId2120" Type="http://schemas.openxmlformats.org/officeDocument/2006/relationships/hyperlink" Target="https://www.google.com/maps/dir/?api=1&amp;origin=Gymnasium+Kirchheim,+Heimstettner+Str.+3,+85551+Kirchheim+bei+M&#252;nchen&amp;destination=48.102725319307716,11.316199693041677&amp;travelmode=car" TargetMode="External"/><Relationship Id="rId2565" Type="http://schemas.openxmlformats.org/officeDocument/2006/relationships/hyperlink" Target="https://www.google.com/maps/dir/?api=1&amp;origin=Gymnasium+Kirchheim,+Heimstettner+Str.+3,+85551+Kirchheim+bei+M&#252;nchen&amp;destination=48.06472692888019,11.373923797311125&amp;travelmode=car" TargetMode="External"/><Relationship Id="rId2772" Type="http://schemas.openxmlformats.org/officeDocument/2006/relationships/hyperlink" Target="https://www.google.com/maps/dir/?api=1&amp;origin=Gymnasium+Kirchheim,+Heimstettner+Str.+3,+85551+Kirchheim+bei+M&#252;nchen&amp;destination=48.048547755143545,11.731807073753979&amp;travelmode=car" TargetMode="External"/><Relationship Id="rId3409" Type="http://schemas.openxmlformats.org/officeDocument/2006/relationships/hyperlink" Target="https://www.google.com/maps/dir/?api=1&amp;origin=Gymnasium+Kirchheim,+Heimstettner+Str.+3,+85551+Kirchheim+bei+M&#252;nchen&amp;destination=47.994120653019706,11.97423267615872&amp;travelmode=car" TargetMode="External"/><Relationship Id="rId537" Type="http://schemas.openxmlformats.org/officeDocument/2006/relationships/hyperlink" Target="https://www.google.com/maps/dir/?api=1&amp;origin=Gymnasium+Kirchheim,+Heimstettner+Str.+3,+85551+Kirchheim+bei+M&#252;nchen&amp;destination=48.23929189906444,11.339289350160644&amp;travelmode=car" TargetMode="External"/><Relationship Id="rId744" Type="http://schemas.openxmlformats.org/officeDocument/2006/relationships/hyperlink" Target="https://www.google.com/maps/dir/?api=1&amp;origin=Gymnasium+Kirchheim,+Heimstettner+Str.+3,+85551+Kirchheim+bei+M&#252;nchen&amp;destination=48.22326639717455,11.685629484445332&amp;travelmode=car" TargetMode="External"/><Relationship Id="rId951" Type="http://schemas.openxmlformats.org/officeDocument/2006/relationships/hyperlink" Target="https://www.google.com/maps/dir/?api=1&amp;origin=Gymnasium+Kirchheim,+Heimstettner+Str.+3,+85551+Kirchheim+bei+M&#252;nchen&amp;destination=48.206120178635445,12.043494616728212&amp;travelmode=car" TargetMode="External"/><Relationship Id="rId1167" Type="http://schemas.openxmlformats.org/officeDocument/2006/relationships/hyperlink" Target="https://www.google.com/maps/dir/?api=1&amp;origin=Gymnasium+Kirchheim,+Heimstettner+Str.+3,+85551+Kirchheim+bei+M&#252;nchen&amp;destination=48.185934699538876,11.489371450790154&amp;travelmode=car" TargetMode="External"/><Relationship Id="rId1374" Type="http://schemas.openxmlformats.org/officeDocument/2006/relationships/hyperlink" Target="https://www.google.com/maps/dir/?api=1&amp;origin=Gymnasium+Kirchheim,+Heimstettner+Str.+3,+85551+Kirchheim+bei+M&#252;nchen&amp;destination=48.16939735051939,11.847249383329679&amp;travelmode=car" TargetMode="External"/><Relationship Id="rId1581" Type="http://schemas.openxmlformats.org/officeDocument/2006/relationships/hyperlink" Target="https://www.google.com/maps/dir/?api=1&amp;origin=Gymnasium+Kirchheim,+Heimstettner+Str.+3,+85551+Kirchheim+bei+M&#252;nchen&amp;destination=48.15174974604935,12.205100461762754&amp;travelmode=car" TargetMode="External"/><Relationship Id="rId1679" Type="http://schemas.openxmlformats.org/officeDocument/2006/relationships/hyperlink" Target="https://www.google.com/maps/dir/?api=1&amp;origin=Gymnasium+Kirchheim,+Heimstettner+Str.+3,+85551+Kirchheim+bei+M&#252;nchen&amp;destination=48.14067402492842,11.304654858343824&amp;travelmode=car" TargetMode="External"/><Relationship Id="rId2218" Type="http://schemas.openxmlformats.org/officeDocument/2006/relationships/hyperlink" Target="https://www.google.com/maps/dir/?api=1&amp;origin=Gymnasium+Kirchheim,+Heimstettner+Str.+3,+85551+Kirchheim+bei+M&#252;nchen&amp;destination=48.094992763387836,11.431647738327094&amp;travelmode=car" TargetMode="External"/><Relationship Id="rId2425" Type="http://schemas.openxmlformats.org/officeDocument/2006/relationships/hyperlink" Target="https://www.google.com/maps/dir/?api=1&amp;origin=Gymnasium+Kirchheim,+Heimstettner+Str.+3,+85551+Kirchheim+bei+M&#252;nchen&amp;destination=48.07863450074137,11.789528545213775&amp;travelmode=car" TargetMode="External"/><Relationship Id="rId2632" Type="http://schemas.openxmlformats.org/officeDocument/2006/relationships/hyperlink" Target="https://www.google.com/maps/dir/?api=1&amp;origin=Gymnasium+Kirchheim,+Heimstettner+Str.+3,+85551+Kirchheim+bei+M&#252;nchen&amp;destination=48.06125723173001,12.135841789424584&amp;travelmode=car" TargetMode="External"/><Relationship Id="rId80" Type="http://schemas.openxmlformats.org/officeDocument/2006/relationships/hyperlink" Target="https://www.google.com/maps/dir/?api=1&amp;origin=Gymnasium+Kirchheim,+Heimstettner+Str.+3,+85551+Kirchheim+bei+M&#252;nchen&amp;destination=48.28131281258429,12.135841789424584&amp;travelmode=car" TargetMode="External"/><Relationship Id="rId604" Type="http://schemas.openxmlformats.org/officeDocument/2006/relationships/hyperlink" Target="https://www.google.com/maps/dir/?api=1&amp;origin=Gymnasium+Kirchheim,+Heimstettner+Str.+3,+85551+Kirchheim+bei+M&#252;nchen&amp;destination=48.2360509609138,12.101211892775435&amp;travelmode=car" TargetMode="External"/><Relationship Id="rId811" Type="http://schemas.openxmlformats.org/officeDocument/2006/relationships/hyperlink" Target="https://www.google.com/maps/dir/?api=1&amp;origin=Gymnasium+Kirchheim,+Heimstettner+Str.+3,+85551+Kirchheim+bei+M&#252;nchen&amp;destination=48.21635998712777,11.454737254395377&amp;travelmode=car" TargetMode="External"/><Relationship Id="rId1027" Type="http://schemas.openxmlformats.org/officeDocument/2006/relationships/hyperlink" Target="https://www.google.com/maps/dir/?api=1&amp;origin=Gymnasium+Kirchheim,+Heimstettner+Str.+3,+85551+Kirchheim+bei+M&#252;nchen&amp;destination=48.199426329466114,11.90496952282889&amp;travelmode=car" TargetMode="External"/><Relationship Id="rId1234" Type="http://schemas.openxmlformats.org/officeDocument/2006/relationships/hyperlink" Target="https://www.google.com/maps/dir/?api=1&amp;origin=Gymnasium+Kirchheim,+Heimstettner+Str.+3,+85551+Kirchheim+bei+M&#252;nchen&amp;destination=48.17863775156041,11.246930644367383&amp;travelmode=car" TargetMode="External"/><Relationship Id="rId1441" Type="http://schemas.openxmlformats.org/officeDocument/2006/relationships/hyperlink" Target="https://www.google.com/maps/dir/?api=1&amp;origin=Gymnasium+Kirchheim,+Heimstettner+Str.+3,+85551+Kirchheim+bei+M&#252;nchen&amp;destination=48.16285258046079,11.604817928870196&amp;travelmode=car" TargetMode="External"/><Relationship Id="rId1886" Type="http://schemas.openxmlformats.org/officeDocument/2006/relationships/hyperlink" Target="https://www.google.com/maps/dir/?api=1&amp;origin=Gymnasium+Kirchheim,+Heimstettner+Str.+3,+85551+Kirchheim+bei+M&#252;nchen&amp;destination=48.12470976069095,11.66254056390037&amp;travelmode=car" TargetMode="External"/><Relationship Id="rId2937" Type="http://schemas.openxmlformats.org/officeDocument/2006/relationships/hyperlink" Target="https://www.google.com/maps/dir/?api=1&amp;origin=Gymnasium+Kirchheim,+Heimstettner+Str.+3,+85551+Kirchheim+bei+M&#252;nchen&amp;destination=48.03385448133934,11.604817928870196&amp;travelmode=car" TargetMode="External"/><Relationship Id="rId909" Type="http://schemas.openxmlformats.org/officeDocument/2006/relationships/hyperlink" Target="https://www.google.com/maps/dir/?api=1&amp;origin=Gymnasium+Kirchheim,+Heimstettner+Str.+3,+85551+Kirchheim+bei+M&#252;nchen&amp;destination=48.208522285871965,11.55863951211732&amp;travelmode=car" TargetMode="External"/><Relationship Id="rId1301" Type="http://schemas.openxmlformats.org/officeDocument/2006/relationships/hyperlink" Target="https://www.google.com/maps/dir/?api=1&amp;origin=Gymnasium+Kirchheim,+Heimstettner+Str.+3,+85551+Kirchheim+bei+M&#252;nchen&amp;destination=48.17584856143137,12.031951048971356&amp;travelmode=car" TargetMode="External"/><Relationship Id="rId1539" Type="http://schemas.openxmlformats.org/officeDocument/2006/relationships/hyperlink" Target="https://www.google.com/maps/dir/?api=1&amp;origin=Gymnasium+Kirchheim,+Heimstettner+Str.+3,+85551+Kirchheim+bei+M&#252;nchen&amp;destination=48.154831167406165,11.720262709205143&amp;travelmode=car" TargetMode="External"/><Relationship Id="rId1746" Type="http://schemas.openxmlformats.org/officeDocument/2006/relationships/hyperlink" Target="https://www.google.com/maps/dir/?api=1&amp;origin=Gymnasium+Kirchheim,+Heimstettner+Str.+3,+85551+Kirchheim+bei+M&#252;nchen&amp;destination=48.13757750594732,12.078125096991752&amp;travelmode=car" TargetMode="External"/><Relationship Id="rId1953" Type="http://schemas.openxmlformats.org/officeDocument/2006/relationships/hyperlink" Target="https://www.google.com/maps/dir/?api=1&amp;origin=Gymnasium+Kirchheim,+Heimstettner+Str.+3,+85551+Kirchheim+bei+M&#252;nchen&amp;destination=48.11777677660281,11.420102966318577&amp;travelmode=car" TargetMode="External"/><Relationship Id="rId3199" Type="http://schemas.openxmlformats.org/officeDocument/2006/relationships/hyperlink" Target="https://www.google.com/maps/dir/?api=1&amp;origin=Gymnasium+Kirchheim,+Heimstettner+Str.+3,+85551+Kirchheim+bei+M&#252;nchen&amp;destination=48.011162904011236,11.581728752359444&amp;travelmode=car" TargetMode="External"/><Relationship Id="rId38" Type="http://schemas.openxmlformats.org/officeDocument/2006/relationships/hyperlink" Target="https://www.google.com/maps/dir/?api=1&amp;origin=Gymnasium+Kirchheim,+Heimstettner+Str.+3,+85551+Kirchheim+bei+M&#252;nchen&amp;destination=48.284103104999524,11.650996073983201&amp;travelmode=car" TargetMode="External"/><Relationship Id="rId1606" Type="http://schemas.openxmlformats.org/officeDocument/2006/relationships/hyperlink" Target="https://www.google.com/maps/dir/?api=1&amp;origin=Gymnasium+Kirchheim,+Heimstettner+Str.+3,+85551+Kirchheim+bei+M&#252;nchen&amp;destination=48.14801950214983,11.477826729716085&amp;travelmode=car" TargetMode="External"/><Relationship Id="rId1813" Type="http://schemas.openxmlformats.org/officeDocument/2006/relationships/hyperlink" Target="https://www.google.com/maps/dir/?api=1&amp;origin=Gymnasium+Kirchheim,+Heimstettner+Str.+3,+85551+Kirchheim+bei+M&#252;nchen&amp;destination=48.13151797018355,11.835705269507187&amp;travelmode=car" TargetMode="External"/><Relationship Id="rId3059" Type="http://schemas.openxmlformats.org/officeDocument/2006/relationships/hyperlink" Target="https://www.google.com/maps/dir/?api=1&amp;origin=Gymnasium+Kirchheim,+Heimstettner+Str.+3,+85551+Kirchheim+bei+M&#252;nchen&amp;destination=48.02432179063197,11.997320130001427&amp;travelmode=car" TargetMode="External"/><Relationship Id="rId3266" Type="http://schemas.openxmlformats.org/officeDocument/2006/relationships/hyperlink" Target="https://www.google.com/maps/dir/?api=1&amp;origin=Gymnasium+Kirchheim,+Heimstettner+Str.+3,+85551+Kirchheim+bei+M&#252;nchen&amp;destination=48.00406007125469,11.339289350160644&amp;travelmode=car" TargetMode="External"/><Relationship Id="rId3473" Type="http://schemas.openxmlformats.org/officeDocument/2006/relationships/hyperlink" Target="https://www.google.com/maps/dir/?api=1&amp;origin=Gymnasium+Kirchheim,+Heimstettner+Str.+3,+85551+Kirchheim+bei+M&#252;nchen&amp;destination=47.9879883519217,11.69717391402856&amp;travelmode=car" TargetMode="External"/><Relationship Id="rId187" Type="http://schemas.openxmlformats.org/officeDocument/2006/relationships/hyperlink" Target="https://www.google.com/maps/dir/?api=1&amp;origin=Gymnasium+Kirchheim,+Heimstettner+Str.+3,+85551+Kirchheim+bei+M&#252;nchen&amp;destination=48.26963283836661,11.350834171536942&amp;travelmode=car" TargetMode="External"/><Relationship Id="rId394" Type="http://schemas.openxmlformats.org/officeDocument/2006/relationships/hyperlink" Target="https://www.google.com/maps/dir/?api=1&amp;origin=Gymnasium+Kirchheim,+Heimstettner+Str.+3,+85551+Kirchheim+bei+M&#252;nchen&amp;destination=48.253525300818076,11.708718322455919&amp;travelmode=car" TargetMode="External"/><Relationship Id="rId2075" Type="http://schemas.openxmlformats.org/officeDocument/2006/relationships/hyperlink" Target="https://www.google.com/maps/dir/?api=1&amp;origin=Gymnasium+Kirchheim,+Heimstettner+Str.+3,+85551+Kirchheim+bei+M&#252;nchen&amp;destination=48.108813681477365,11.824161128262173&amp;travelmode=car" TargetMode="External"/><Relationship Id="rId2282" Type="http://schemas.openxmlformats.org/officeDocument/2006/relationships/hyperlink" Target="https://www.google.com/maps/dir/?api=1&amp;origin=Gymnasium+Kirchheim,+Heimstettner+Str.+3,+85551+Kirchheim+bei+M&#252;nchen&amp;destination=48.091332440033106,12.170471317116936&amp;travelmode=car" TargetMode="External"/><Relationship Id="rId3126" Type="http://schemas.openxmlformats.org/officeDocument/2006/relationships/hyperlink" Target="https://www.google.com/maps/dir/?api=1&amp;origin=Gymnasium+Kirchheim,+Heimstettner+Str.+3,+85551+Kirchheim+bei+M&#252;nchen&amp;destination=48.01809242798225,11.754895734161472&amp;travelmode=car" TargetMode="External"/><Relationship Id="rId254" Type="http://schemas.openxmlformats.org/officeDocument/2006/relationships/hyperlink" Target="https://www.google.com/maps/dir/?api=1&amp;origin=Gymnasium+Kirchheim,+Heimstettner+Str.+3,+85551+Kirchheim+bei+M&#252;nchen&amp;destination=48.266315646929215,12.112755231783899&amp;travelmode=car" TargetMode="External"/><Relationship Id="rId699" Type="http://schemas.openxmlformats.org/officeDocument/2006/relationships/hyperlink" Target="https://www.google.com/maps/dir/?api=1&amp;origin=Gymnasium+Kirchheim,+Heimstettner+Str.+3,+85551+Kirchheim+bei+M&#252;nchen&amp;destination=48.22782392381938,12.182014408588692&amp;travelmode=car" TargetMode="External"/><Relationship Id="rId1091" Type="http://schemas.openxmlformats.org/officeDocument/2006/relationships/hyperlink" Target="https://www.google.com/maps/dir/?api=1&amp;origin=Gymnasium+Kirchheim,+Heimstettner+Str.+3,+85551+Kirchheim+bei+M&#252;nchen&amp;destination=48.193127659626164,11.627907037470955&amp;travelmode=car" TargetMode="External"/><Relationship Id="rId2587" Type="http://schemas.openxmlformats.org/officeDocument/2006/relationships/hyperlink" Target="https://www.google.com/maps/dir/?api=1&amp;origin=Gymnasium+Kirchheim,+Heimstettner+Str.+3,+85551+Kirchheim+bei+M&#252;nchen&amp;destination=48.06412956050469,11.627907037470955&amp;travelmode=car" TargetMode="External"/><Relationship Id="rId2794" Type="http://schemas.openxmlformats.org/officeDocument/2006/relationships/hyperlink" Target="https://www.google.com/maps/dir/?api=1&amp;origin=Gymnasium+Kirchheim,+Heimstettner+Str.+3,+85551+Kirchheim+bei+M&#252;nchen&amp;destination=48.047162416839384,11.985776420185003&amp;travelmode=car" TargetMode="External"/><Relationship Id="rId3333" Type="http://schemas.openxmlformats.org/officeDocument/2006/relationships/hyperlink" Target="https://www.google.com/maps/dir/?api=1&amp;origin=Gymnasium+Kirchheim,+Heimstettner+Str.+3,+85551+Kirchheim+bei+M&#252;nchen&amp;destination=48.00064236214067,12.12429853084091&amp;travelmode=car" TargetMode="External"/><Relationship Id="rId3540" Type="http://schemas.openxmlformats.org/officeDocument/2006/relationships/hyperlink" Target="https://www.google.com/maps/dir/?api=1&amp;origin=Gymnasium+Kirchheim,+Heimstettner+Str.+3,+85551+Kirchheim+bei+M&#252;nchen&amp;destination=47.98112815931803,11.454737254395377&amp;travelmode=car" TargetMode="External"/><Relationship Id="rId114" Type="http://schemas.openxmlformats.org/officeDocument/2006/relationships/hyperlink" Target="https://www.google.com/maps/dir/?api=1&amp;origin=Gymnasium+Kirchheim,+Heimstettner+Str.+3,+85551+Kirchheim+bei+M&#252;nchen&amp;destination=48.27693787496249,11.512460857153851&amp;travelmode=car" TargetMode="External"/><Relationship Id="rId461" Type="http://schemas.openxmlformats.org/officeDocument/2006/relationships/hyperlink" Target="https://www.google.com/maps/dir/?api=1&amp;origin=Gymnasium+Kirchheim,+Heimstettner+Str.+3,+85551+Kirchheim+bei+M&#252;nchen&amp;destination=48.246665107360364,11.477826729716085&amp;travelmode=car" TargetMode="External"/><Relationship Id="rId559" Type="http://schemas.openxmlformats.org/officeDocument/2006/relationships/hyperlink" Target="https://www.google.com/maps/dir/?api=1&amp;origin=Gymnasium+Kirchheim,+Heimstettner+Str.+3,+85551+Kirchheim+bei+M&#252;nchen&amp;destination=48.23877078949735,11.593273348842407&amp;travelmode=car" TargetMode="External"/><Relationship Id="rId766" Type="http://schemas.openxmlformats.org/officeDocument/2006/relationships/hyperlink" Target="https://www.google.com/maps/dir/?api=1&amp;origin=Gymnasium+Kirchheim,+Heimstettner+Str.+3,+85551+Kirchheim+bei+M&#252;nchen&amp;destination=48.22205320682444,11.928057368395926&amp;travelmode=car" TargetMode="External"/><Relationship Id="rId1189" Type="http://schemas.openxmlformats.org/officeDocument/2006/relationships/hyperlink" Target="https://www.google.com/maps/dir/?api=1&amp;origin=Gymnasium+Kirchheim,+Heimstettner+Str.+3,+85551+Kirchheim+bei+M&#252;nchen&amp;destination=48.1850311444924,11.754895734161472&amp;travelmode=car" TargetMode="External"/><Relationship Id="rId1396" Type="http://schemas.openxmlformats.org/officeDocument/2006/relationships/hyperlink" Target="https://www.google.com/maps/dir/?api=1&amp;origin=Gymnasium+Kirchheim,+Heimstettner+Str.+3,+85551+Kirchheim+bei+M&#252;nchen&amp;destination=48.16784450232988,12.089668514337413&amp;travelmode=car" TargetMode="External"/><Relationship Id="rId2142" Type="http://schemas.openxmlformats.org/officeDocument/2006/relationships/hyperlink" Target="https://www.google.com/maps/dir/?api=1&amp;origin=Gymnasium+Kirchheim,+Heimstettner+Str.+3,+85551+Kirchheim+bei+M&#252;nchen&amp;destination=48.10225504917355,11.570184139943638&amp;travelmode=car" TargetMode="External"/><Relationship Id="rId2447" Type="http://schemas.openxmlformats.org/officeDocument/2006/relationships/hyperlink" Target="https://www.google.com/maps/dir/?api=1&amp;origin=Gymnasium+Kirchheim,+Heimstettner+Str.+3,+85551+Kirchheim+bei+M&#252;nchen&amp;destination=48.077122079513984,12.043494616728212&amp;travelmode=car" TargetMode="External"/><Relationship Id="rId3400" Type="http://schemas.openxmlformats.org/officeDocument/2006/relationships/hyperlink" Target="https://www.google.com/maps/dir/?api=1&amp;origin=Gymnasium+Kirchheim,+Heimstettner+Str.+3,+85551+Kirchheim+bei+M&#252;nchen&amp;destination=47.994744570469464,11.870337526618448&amp;travelmode=car" TargetMode="External"/><Relationship Id="rId321" Type="http://schemas.openxmlformats.org/officeDocument/2006/relationships/hyperlink" Target="https://www.google.com/maps/dir/?api=1&amp;origin=Gymnasium+Kirchheim,+Heimstettner+Str.+3,+85551+Kirchheim+bei+M&#252;nchen&amp;destination=48.260198330889175,11.893425553951282&amp;travelmode=car" TargetMode="External"/><Relationship Id="rId419" Type="http://schemas.openxmlformats.org/officeDocument/2006/relationships/hyperlink" Target="https://www.google.com/maps/dir/?api=1&amp;origin=Gymnasium+Kirchheim,+Heimstettner+Str.+3,+85551+Kirchheim+bei+M&#252;nchen&amp;destination=48.251965494963976,11.997320130001427&amp;travelmode=car" TargetMode="External"/><Relationship Id="rId626" Type="http://schemas.openxmlformats.org/officeDocument/2006/relationships/hyperlink" Target="https://www.google.com/maps/dir/?api=1&amp;origin=Gymnasium+Kirchheim,+Heimstettner+Str.+3,+85551+Kirchheim+bei+M&#252;nchen&amp;destination=48.231703775586716,11.339289350160644&amp;travelmode=car" TargetMode="External"/><Relationship Id="rId973" Type="http://schemas.openxmlformats.org/officeDocument/2006/relationships/hyperlink" Target="https://www.google.com/maps/dir/?api=1&amp;origin=Gymnasium+Kirchheim,+Heimstettner+Str.+3,+85551+Kirchheim+bei+M&#252;nchen&amp;destination=48.2013859455219,11.293110020250275&amp;travelmode=car" TargetMode="External"/><Relationship Id="rId1049" Type="http://schemas.openxmlformats.org/officeDocument/2006/relationships/hyperlink" Target="https://www.google.com/maps/dir/?api=1&amp;origin=Gymnasium+Kirchheim,+Heimstettner+Str.+3,+85551+Kirchheim+bei+M&#252;nchen&amp;destination=48.197659752401144,12.158928183084447&amp;travelmode=car" TargetMode="External"/><Relationship Id="rId1256" Type="http://schemas.openxmlformats.org/officeDocument/2006/relationships/hyperlink" Target="https://www.google.com/maps/dir/?api=1&amp;origin=Gymnasium+Kirchheim,+Heimstettner+Str.+3,+85551+Kirchheim+bei+M&#252;nchen&amp;destination=48.17832000062411,11.500916160110199&amp;travelmode=car" TargetMode="External"/><Relationship Id="rId2002" Type="http://schemas.openxmlformats.org/officeDocument/2006/relationships/hyperlink" Target="https://www.google.com/maps/dir/?api=1&amp;origin=Gymnasium+Kirchheim,+Heimstettner+Str.+3,+85551+Kirchheim+bei+M&#252;nchen&amp;destination=48.11553062866344,11.97423267615872&amp;travelmode=car" TargetMode="External"/><Relationship Id="rId2307" Type="http://schemas.openxmlformats.org/officeDocument/2006/relationships/hyperlink" Target="https://www.google.com/maps/dir/?api=1&amp;origin=Gymnasium+Kirchheim,+Heimstettner+Str.+3,+85551+Kirchheim+bei+M&#252;nchen&amp;destination=48.087383841680975,11.44319250119349&amp;travelmode=car" TargetMode="External"/><Relationship Id="rId2654" Type="http://schemas.openxmlformats.org/officeDocument/2006/relationships/hyperlink" Target="https://www.google.com/maps/dir/?api=1&amp;origin=Gymnasium+Kirchheim,+Heimstettner+Str.+3,+85551+Kirchheim+bei+M&#252;nchen&amp;destination=48.05712378442588,11.385468600664204&amp;travelmode=car" TargetMode="External"/><Relationship Id="rId2861" Type="http://schemas.openxmlformats.org/officeDocument/2006/relationships/hyperlink" Target="https://www.google.com/maps/dir/?api=1&amp;origin=Gymnasium+Kirchheim,+Heimstettner+Str.+3,+85551+Kirchheim+bei+M&#252;nchen&amp;destination=48.04090879272278,11.743351415580166&amp;travelmode=car" TargetMode="External"/><Relationship Id="rId2959" Type="http://schemas.openxmlformats.org/officeDocument/2006/relationships/hyperlink" Target="https://www.google.com/maps/dir/?api=1&amp;origin=Gymnasium+Kirchheim,+Heimstettner+Str.+3,+85551+Kirchheim+bei+M&#252;nchen&amp;destination=48.03268518785814,11.870337526618448&amp;travelmode=car" TargetMode="External"/><Relationship Id="rId833" Type="http://schemas.openxmlformats.org/officeDocument/2006/relationships/hyperlink" Target="https://www.google.com/maps/dir/?api=1&amp;origin=Gymnasium+Kirchheim,+Heimstettner+Str.+3,+85551+Kirchheim+bei+M&#252;nchen&amp;destination=48.2156320562537,11.69717391402856&amp;travelmode=car" TargetMode="External"/><Relationship Id="rId1116" Type="http://schemas.openxmlformats.org/officeDocument/2006/relationships/hyperlink" Target="https://www.google.com/maps/dir/?api=1&amp;origin=Gymnasium+Kirchheim,+Heimstettner+Str.+3,+85551+Kirchheim+bei+M&#252;nchen&amp;destination=48.19177003709442,11.916513461151142&amp;travelmode=car" TargetMode="External"/><Relationship Id="rId1463" Type="http://schemas.openxmlformats.org/officeDocument/2006/relationships/hyperlink" Target="https://www.google.com/maps/dir/?api=1&amp;origin=Gymnasium+Kirchheim,+Heimstettner+Str.+3,+85551+Kirchheim+bei+M&#252;nchen&amp;destination=48.16174683466824,11.858793469207484&amp;travelmode=car" TargetMode="External"/><Relationship Id="rId1670" Type="http://schemas.openxmlformats.org/officeDocument/2006/relationships/hyperlink" Target="https://www.google.com/maps/dir/?api=1&amp;origin=Gymnasium+Kirchheim,+Heimstettner+Str.+3,+85551+Kirchheim+bei+M&#252;nchen&amp;destination=48.144161622571616,12.205100461762754&amp;travelmode=car" TargetMode="External"/><Relationship Id="rId1768" Type="http://schemas.openxmlformats.org/officeDocument/2006/relationships/hyperlink" Target="https://www.google.com/maps/dir/?api=1&amp;origin=Gymnasium+Kirchheim,+Heimstettner+Str.+3,+85551+Kirchheim+bei+M&#252;nchen&amp;destination=48.13307781321865,11.316199693041677&amp;travelmode=car" TargetMode="External"/><Relationship Id="rId2514" Type="http://schemas.openxmlformats.org/officeDocument/2006/relationships/hyperlink" Target="https://www.google.com/maps/dir/?api=1&amp;origin=Gymnasium+Kirchheim,+Heimstettner+Str.+3,+85551+Kirchheim+bei+M&#252;nchen&amp;destination=48.07098976154467,11.801072765593279&amp;travelmode=car" TargetMode="External"/><Relationship Id="rId2721" Type="http://schemas.openxmlformats.org/officeDocument/2006/relationships/hyperlink" Target="https://www.google.com/maps/dir/?api=1&amp;origin=Gymnasium+Kirchheim,+Heimstettner+Str.+3,+85551+Kirchheim+bei+M&#252;nchen&amp;destination=48.0534854063242,12.158928183084447&amp;travelmode=car" TargetMode="External"/><Relationship Id="rId2819" Type="http://schemas.openxmlformats.org/officeDocument/2006/relationships/hyperlink" Target="https://www.google.com/maps/dir/?api=1&amp;origin=Gymnasium+Kirchheim,+Heimstettner+Str.+3,+85551+Kirchheim+bei+M&#252;nchen&amp;destination=48.04204921803628,11.258475490819581&amp;travelmode=car" TargetMode="External"/><Relationship Id="rId900" Type="http://schemas.openxmlformats.org/officeDocument/2006/relationships/hyperlink" Target="https://www.google.com/maps/dir/?api=1&amp;origin=Gymnasium+Kirchheim,+Heimstettner+Str.+3,+85551+Kirchheim+bei+M&#252;nchen&amp;destination=48.20879381732472,11.44319250119349&amp;travelmode=car" TargetMode="External"/><Relationship Id="rId1323" Type="http://schemas.openxmlformats.org/officeDocument/2006/relationships/hyperlink" Target="https://www.google.com/maps/dir/?api=1&amp;origin=Gymnasium+Kirchheim,+Heimstettner+Str.+3,+85551+Kirchheim+bei+M&#252;nchen&amp;destination=48.17104731715776,11.258475490819581&amp;travelmode=car" TargetMode="External"/><Relationship Id="rId1530" Type="http://schemas.openxmlformats.org/officeDocument/2006/relationships/hyperlink" Target="https://www.google.com/maps/dir/?api=1&amp;origin=Gymnasium+Kirchheim,+Heimstettner+Str.+3,+85551+Kirchheim+bei+M&#252;nchen&amp;destination=48.15522632731372,11.616362491920484&amp;travelmode=car" TargetMode="External"/><Relationship Id="rId1628" Type="http://schemas.openxmlformats.org/officeDocument/2006/relationships/hyperlink" Target="https://www.google.com/maps/dir/?api=1&amp;origin=Gymnasium+Kirchheim,+Heimstettner+Str.+3,+85551+Kirchheim+bei+M&#252;nchen&amp;destination=48.14719336035407,11.731807073753979&amp;travelmode=car" TargetMode="External"/><Relationship Id="rId1975" Type="http://schemas.openxmlformats.org/officeDocument/2006/relationships/hyperlink" Target="https://www.google.com/maps/dir/?api=1&amp;origin=Gymnasium+Kirchheim,+Heimstettner+Str.+3,+85551+Kirchheim+bei+M&#252;nchen&amp;destination=48.11707773054424,11.67408503422851&amp;travelmode=car" TargetMode="External"/><Relationship Id="rId3190" Type="http://schemas.openxmlformats.org/officeDocument/2006/relationships/hyperlink" Target="https://www.google.com/maps/dir/?api=1&amp;origin=Gymnasium+Kirchheim,+Heimstettner+Str.+3,+85551+Kirchheim+bei+M&#252;nchen&amp;destination=48.011433279550616,11.477826729716085&amp;travelmode=car" TargetMode="External"/><Relationship Id="rId1835" Type="http://schemas.openxmlformats.org/officeDocument/2006/relationships/hyperlink" Target="https://www.google.com/maps/dir/?api=1&amp;origin=Gymnasium+Kirchheim,+Heimstettner+Str.+3,+85551+Kirchheim+bei+M&#252;nchen&amp;destination=48.129903884941214,12.089668514337413&amp;travelmode=car" TargetMode="External"/><Relationship Id="rId3050" Type="http://schemas.openxmlformats.org/officeDocument/2006/relationships/hyperlink" Target="https://www.google.com/maps/dir/?api=1&amp;origin=Gymnasium+Kirchheim,+Heimstettner+Str.+3,+85551+Kirchheim+bei+M&#252;nchen&amp;destination=48.02496650307941,11.893425553951282&amp;travelmode=car" TargetMode="External"/><Relationship Id="rId3288" Type="http://schemas.openxmlformats.org/officeDocument/2006/relationships/hyperlink" Target="https://www.google.com/maps/dir/?api=1&amp;origin=Gymnasium+Kirchheim,+Heimstettner+Str.+3,+85551+Kirchheim+bei+M&#252;nchen&amp;destination=48.0035747805335,11.581728752359444&amp;travelmode=car" TargetMode="External"/><Relationship Id="rId3495" Type="http://schemas.openxmlformats.org/officeDocument/2006/relationships/hyperlink" Target="https://www.google.com/maps/dir/?api=1&amp;origin=Gymnasium+Kirchheim,+Heimstettner+Str.+3,+85551+Kirchheim+bei+M&#252;nchen&amp;destination=47.9866792648159,11.95114508756474&amp;travelmode=car" TargetMode="External"/><Relationship Id="rId1902" Type="http://schemas.openxmlformats.org/officeDocument/2006/relationships/hyperlink" Target="https://www.google.com/maps/dir/?api=1&amp;origin=Gymnasium+Kirchheim,+Heimstettner+Str.+3,+85551+Kirchheim+bei+M&#252;nchen&amp;destination=48.12386860965298,11.847249383329679&amp;travelmode=car" TargetMode="External"/><Relationship Id="rId2097" Type="http://schemas.openxmlformats.org/officeDocument/2006/relationships/hyperlink" Target="https://www.google.com/maps/dir/?api=1&amp;origin=Gymnasium+Kirchheim,+Heimstettner+Str.+3,+85551+Kirchheim+bei+M&#252;nchen&amp;destination=48.107309354370166,12.066581641260367&amp;travelmode=car" TargetMode="External"/><Relationship Id="rId3148" Type="http://schemas.openxmlformats.org/officeDocument/2006/relationships/hyperlink" Target="https://www.google.com/maps/dir/?api=1&amp;origin=Gymnasium+Kirchheim,+Heimstettner+Str.+3,+85551+Kirchheim+bei+M&#252;nchen&amp;destination=48.016656256136805,12.00886380508597&amp;travelmode=car" TargetMode="External"/><Relationship Id="rId3355" Type="http://schemas.openxmlformats.org/officeDocument/2006/relationships/hyperlink" Target="https://www.google.com/maps/dir/?api=1&amp;origin=Gymnasium+Kirchheim,+Heimstettner+Str.+3,+85551+Kirchheim+bei+M&#252;nchen&amp;destination=47.996460393168185,11.350834171536942&amp;travelmode=car" TargetMode="External"/><Relationship Id="rId3562" Type="http://schemas.openxmlformats.org/officeDocument/2006/relationships/hyperlink" Target="https://www.google.com/maps/dir/?api=1&amp;origin=Gymnasium+Kirchheim,+Heimstettner+Str.+3,+85551+Kirchheim+bei+M&#252;nchen&amp;destination=47.98035285561968,11.708718322455919&amp;travelmode=car" TargetMode="External"/><Relationship Id="rId276" Type="http://schemas.openxmlformats.org/officeDocument/2006/relationships/hyperlink" Target="https://www.google.com/maps/dir/?api=1&amp;origin=Gymnasium+Kirchheim,+Heimstettner+Str.+3,+85551+Kirchheim+bei+M&#252;nchen&amp;destination=48.26203200482305,11.362378987427904&amp;travelmode=car" TargetMode="External"/><Relationship Id="rId483" Type="http://schemas.openxmlformats.org/officeDocument/2006/relationships/hyperlink" Target="https://www.google.com/maps/dir/?api=1&amp;origin=Gymnasium+Kirchheim,+Heimstettner+Str.+3,+85551+Kirchheim+bei+M&#252;nchen&amp;destination=48.245888649138976,11.720262709205143&amp;travelmode=car" TargetMode="External"/><Relationship Id="rId690" Type="http://schemas.openxmlformats.org/officeDocument/2006/relationships/hyperlink" Target="https://www.google.com/maps/dir/?api=1&amp;origin=Gymnasium+Kirchheim,+Heimstettner+Str.+3,+85551+Kirchheim+bei+M&#252;nchen&amp;destination=48.228634987680124,12.078125096991752&amp;travelmode=car" TargetMode="External"/><Relationship Id="rId2164" Type="http://schemas.openxmlformats.org/officeDocument/2006/relationships/hyperlink" Target="https://www.google.com/maps/dir/?api=1&amp;origin=Gymnasium+Kirchheim,+Heimstettner+Str.+3,+85551+Kirchheim+bei+M&#252;nchen&amp;destination=48.101284484395656,11.81261696011681&amp;travelmode=car" TargetMode="External"/><Relationship Id="rId2371" Type="http://schemas.openxmlformats.org/officeDocument/2006/relationships/hyperlink" Target="https://www.google.com/maps/dir/?api=1&amp;origin=Gymnasium+Kirchheim,+Heimstettner+Str.+3,+85551+Kirchheim+bei+M&#252;nchen&amp;destination=48.083553683804496,12.193557456977898&amp;travelmode=car" TargetMode="External"/><Relationship Id="rId3008" Type="http://schemas.openxmlformats.org/officeDocument/2006/relationships/hyperlink" Target="https://www.google.com/maps/dir/?api=1&amp;origin=Gymnasium+Kirchheim,+Heimstettner+Str.+3,+85551+Kirchheim+bei+M&#252;nchen&amp;destination=48.02673778220276,11.408558185690326&amp;travelmode=car" TargetMode="External"/><Relationship Id="rId3215" Type="http://schemas.openxmlformats.org/officeDocument/2006/relationships/hyperlink" Target="https://www.google.com/maps/dir/?api=1&amp;origin=Gymnasium+Kirchheim,+Heimstettner+Str.+3,+85551+Kirchheim+bei+M&#252;nchen&amp;destination=48.010451154837334,11.766440028975659&amp;travelmode=car" TargetMode="External"/><Relationship Id="rId3422" Type="http://schemas.openxmlformats.org/officeDocument/2006/relationships/hyperlink" Target="https://www.google.com/maps/dir/?api=1&amp;origin=Gymnasium+Kirchheim,+Heimstettner+Str.+3,+85551+Kirchheim+bei+M&#252;nchen&amp;destination=47.993143201730796,12.112755231783899&amp;travelmode=car" TargetMode="External"/><Relationship Id="rId136" Type="http://schemas.openxmlformats.org/officeDocument/2006/relationships/hyperlink" Target="https://www.google.com/maps/dir/?api=1&amp;origin=Gymnasium+Kirchheim,+Heimstettner+Str.+3,+85551+Kirchheim+bei+M&#252;nchen&amp;destination=48.27598117153555,11.777984299500497&amp;travelmode=car" TargetMode="External"/><Relationship Id="rId343" Type="http://schemas.openxmlformats.org/officeDocument/2006/relationships/hyperlink" Target="https://www.google.com/maps/dir/?api=1&amp;origin=Gymnasium+Kirchheim,+Heimstettner+Str.+3,+85551+Kirchheim+bei+M&#252;nchen&amp;destination=48.258457168761616,12.147385007013046&amp;travelmode=car" TargetMode="External"/><Relationship Id="rId550" Type="http://schemas.openxmlformats.org/officeDocument/2006/relationships/hyperlink" Target="https://www.google.com/maps/dir/?api=1&amp;origin=Gymnasium+Kirchheim,+Heimstettner+Str.+3,+85551+Kirchheim+bei+M&#252;nchen&amp;destination=48.239076983882626,11.477826729716085&amp;travelmode=car" TargetMode="External"/><Relationship Id="rId788" Type="http://schemas.openxmlformats.org/officeDocument/2006/relationships/hyperlink" Target="https://www.google.com/maps/dir/?api=1&amp;origin=Gymnasium+Kirchheim,+Heimstettner+Str.+3,+85551+Kirchheim+bei+M&#252;nchen&amp;destination=48.220139906403695,12.193557456977898&amp;travelmode=car" TargetMode="External"/><Relationship Id="rId995" Type="http://schemas.openxmlformats.org/officeDocument/2006/relationships/hyperlink" Target="https://www.google.com/maps/dir/?api=1&amp;origin=Gymnasium+Kirchheim,+Heimstettner+Str.+3,+85551+Kirchheim+bei+M&#252;nchen&amp;destination=48.20099771214504,11.535550212322528&amp;travelmode=car" TargetMode="External"/><Relationship Id="rId1180" Type="http://schemas.openxmlformats.org/officeDocument/2006/relationships/hyperlink" Target="https://www.google.com/maps/dir/?api=1&amp;origin=Gymnasium+Kirchheim,+Heimstettner+Str.+3,+85551+Kirchheim+bei+M&#252;nchen&amp;destination=48.18549909566873,11.639451564999296&amp;travelmode=car" TargetMode="External"/><Relationship Id="rId2024" Type="http://schemas.openxmlformats.org/officeDocument/2006/relationships/hyperlink" Target="https://www.google.com/maps/dir/?api=1&amp;origin=Gymnasium+Kirchheim,+Heimstettner+Str.+3,+85551+Kirchheim+bei+M&#252;nchen&amp;destination=48.11351105087949,12.239729209273484&amp;travelmode=car" TargetMode="External"/><Relationship Id="rId2231" Type="http://schemas.openxmlformats.org/officeDocument/2006/relationships/hyperlink" Target="https://www.google.com/maps/dir/?api=1&amp;origin=Gymnasium+Kirchheim,+Heimstettner+Str.+3,+85551+Kirchheim+bei+M&#252;nchen&amp;destination=48.0946322622663,11.581728752359444&amp;travelmode=car" TargetMode="External"/><Relationship Id="rId2469" Type="http://schemas.openxmlformats.org/officeDocument/2006/relationships/hyperlink" Target="https://www.google.com/maps/dir/?api=1&amp;origin=Gymnasium+Kirchheim,+Heimstettner+Str.+3,+85551+Kirchheim+bei+M&#252;nchen&amp;destination=48.072393623711,11.281565179283442&amp;travelmode=car" TargetMode="External"/><Relationship Id="rId2676" Type="http://schemas.openxmlformats.org/officeDocument/2006/relationships/hyperlink" Target="https://www.google.com/maps/dir/?api=1&amp;origin=Gymnasium+Kirchheim,+Heimstettner+Str.+3,+85551+Kirchheim+bei+M&#252;nchen&amp;destination=48.05650099654725,11.639451564999296&amp;travelmode=car" TargetMode="External"/><Relationship Id="rId2883" Type="http://schemas.openxmlformats.org/officeDocument/2006/relationships/hyperlink" Target="https://www.google.com/maps/dir/?api=1&amp;origin=Gymnasium+Kirchheim,+Heimstettner+Str.+3,+85551+Kirchheim+bei+M&#252;nchen&amp;destination=48.03942062656999,12.00886380508597&amp;travelmode=car" TargetMode="External"/><Relationship Id="rId203" Type="http://schemas.openxmlformats.org/officeDocument/2006/relationships/hyperlink" Target="https://www.google.com/maps/dir/?api=1&amp;origin=Gymnasium+Kirchheim,+Heimstettner+Str.+3,+85551+Kirchheim+bei+M&#252;nchen&amp;destination=48.26929082344466,11.535550212322528&amp;travelmode=car" TargetMode="External"/><Relationship Id="rId648" Type="http://schemas.openxmlformats.org/officeDocument/2006/relationships/hyperlink" Target="https://www.google.com/maps/dir/?api=1&amp;origin=Gymnasium+Kirchheim,+Heimstettner+Str.+3,+85551+Kirchheim+bei+M&#252;nchen&amp;destination=48.231218484865515,11.581728752359444&amp;travelmode=car" TargetMode="External"/><Relationship Id="rId855" Type="http://schemas.openxmlformats.org/officeDocument/2006/relationships/hyperlink" Target="https://www.google.com/maps/dir/?api=1&amp;origin=Gymnasium+Kirchheim,+Heimstettner+Str.+3,+85551+Kirchheim+bei+M&#252;nchen&amp;destination=48.2143229691479,11.95114508756474&amp;travelmode=car" TargetMode="External"/><Relationship Id="rId1040" Type="http://schemas.openxmlformats.org/officeDocument/2006/relationships/hyperlink" Target="https://www.google.com/maps/dir/?api=1&amp;origin=Gymnasium+Kirchheim,+Heimstettner+Str.+3,+85551+Kirchheim+bei+M&#252;nchen&amp;destination=48.19845002323484,12.055038147665204&amp;travelmode=car" TargetMode="External"/><Relationship Id="rId1278" Type="http://schemas.openxmlformats.org/officeDocument/2006/relationships/hyperlink" Target="https://www.google.com/maps/dir/?api=1&amp;origin=Gymnasium+Kirchheim,+Heimstettner+Str.+3,+85551+Kirchheim+bei+M&#252;nchen&amp;destination=48.17744302101466,11.754895734161472&amp;travelmode=car" TargetMode="External"/><Relationship Id="rId1485" Type="http://schemas.openxmlformats.org/officeDocument/2006/relationships/hyperlink" Target="https://www.google.com/maps/dir/?api=1&amp;origin=Gymnasium+Kirchheim,+Heimstettner+Str.+3,+85551+Kirchheim+bei+M&#252;nchen&amp;destination=48.16008191824094,12.112755231783899&amp;travelmode=car" TargetMode="External"/><Relationship Id="rId1692" Type="http://schemas.openxmlformats.org/officeDocument/2006/relationships/hyperlink" Target="https://www.google.com/maps/dir/?api=1&amp;origin=Gymnasium+Kirchheim,+Heimstettner+Str.+3,+85551+Kirchheim+bei+M&#252;nchen&amp;destination=48.14047875235043,11.454737254395377&amp;travelmode=car" TargetMode="External"/><Relationship Id="rId2329" Type="http://schemas.openxmlformats.org/officeDocument/2006/relationships/hyperlink" Target="https://www.google.com/maps/dir/?api=1&amp;origin=Gymnasium+Kirchheim,+Heimstettner+Str.+3,+85551+Kirchheim+bei+M&#252;nchen&amp;destination=48.086633957132236,11.69717391402856&amp;travelmode=car" TargetMode="External"/><Relationship Id="rId2536" Type="http://schemas.openxmlformats.org/officeDocument/2006/relationships/hyperlink" Target="https://www.google.com/maps/dir/?api=1&amp;origin=Gymnasium+Kirchheim,+Heimstettner+Str.+3,+85551+Kirchheim+bei+M&#252;nchen&amp;destination=48.06953395603624,12.043494616728212&amp;travelmode=car" TargetMode="External"/><Relationship Id="rId2743" Type="http://schemas.openxmlformats.org/officeDocument/2006/relationships/hyperlink" Target="https://www.google.com/maps/dir/?api=1&amp;origin=Gymnasium+Kirchheim,+Heimstettner+Str.+3,+85551+Kirchheim+bei+M&#252;nchen&amp;destination=48.04951948451811,11.397013396964736&amp;travelmode=car" TargetMode="External"/><Relationship Id="rId410" Type="http://schemas.openxmlformats.org/officeDocument/2006/relationships/hyperlink" Target="https://www.google.com/maps/dir/?api=1&amp;origin=Gymnasium+Kirchheim,+Heimstettner+Str.+3,+85551+Kirchheim+bei+M&#252;nchen&amp;destination=48.25261020741143,11.893425553951282&amp;travelmode=car" TargetMode="External"/><Relationship Id="rId508" Type="http://schemas.openxmlformats.org/officeDocument/2006/relationships/hyperlink" Target="https://www.google.com/maps/dir/?api=1&amp;origin=Gymnasium+Kirchheim,+Heimstettner+Str.+3,+85551+Kirchheim+bei+M&#252;nchen&amp;destination=48.24429996046881,12.00886380508597&amp;travelmode=car" TargetMode="External"/><Relationship Id="rId715" Type="http://schemas.openxmlformats.org/officeDocument/2006/relationships/hyperlink" Target="https://www.google.com/maps/dir/?api=1&amp;origin=Gymnasium+Kirchheim,+Heimstettner+Str.+3,+85551+Kirchheim+bei+M&#252;nchen&amp;destination=48.22410409750021,11.350834171536942&amp;travelmode=car" TargetMode="External"/><Relationship Id="rId922" Type="http://schemas.openxmlformats.org/officeDocument/2006/relationships/hyperlink" Target="https://www.google.com/maps/dir/?api=1&amp;origin=Gymnasium+Kirchheim,+Heimstettner+Str.+3,+85551+Kirchheim+bei+M&#252;nchen&amp;destination=48.20799655995167,11.708718322455919&amp;travelmode=car" TargetMode="External"/><Relationship Id="rId1138" Type="http://schemas.openxmlformats.org/officeDocument/2006/relationships/hyperlink" Target="https://www.google.com/maps/dir/?api=1&amp;origin=Gymnasium+Kirchheim,+Heimstettner+Str.+3,+85551+Kirchheim+bei+M&#252;nchen&amp;destination=48.18997804524364,12.170471317116936&amp;travelmode=car" TargetMode="External"/><Relationship Id="rId1345" Type="http://schemas.openxmlformats.org/officeDocument/2006/relationships/hyperlink" Target="https://www.google.com/maps/dir/?api=1&amp;origin=Gymnasium+Kirchheim,+Heimstettner+Str.+3,+85551+Kirchheim+bei+M&#252;nchen&amp;destination=48.17070414627421,11.512460857153851&amp;travelmode=car" TargetMode="External"/><Relationship Id="rId1552" Type="http://schemas.openxmlformats.org/officeDocument/2006/relationships/hyperlink" Target="https://www.google.com/maps/dir/?api=1&amp;origin=Gymnasium+Kirchheim,+Heimstettner+Str.+3,+85551+Kirchheim+bei+M&#252;nchen&amp;destination=48.15409516350187,11.870337526618448&amp;travelmode=car" TargetMode="External"/><Relationship Id="rId1997" Type="http://schemas.openxmlformats.org/officeDocument/2006/relationships/hyperlink" Target="https://www.google.com/maps/dir/?api=1&amp;origin=Gymnasium+Kirchheim,+Heimstettner+Str.+3,+85551+Kirchheim+bei+M&#252;nchen&amp;destination=48.11574899867424,11.939601244041153&amp;travelmode=car" TargetMode="External"/><Relationship Id="rId2603" Type="http://schemas.openxmlformats.org/officeDocument/2006/relationships/hyperlink" Target="https://www.google.com/maps/dir/?api=1&amp;origin=Gymnasium+Kirchheim,+Heimstettner+Str.+3,+85551+Kirchheim+bei+M&#252;nchen&amp;destination=48.06328494061095,11.824161128262173&amp;travelmode=car" TargetMode="External"/><Relationship Id="rId2950" Type="http://schemas.openxmlformats.org/officeDocument/2006/relationships/hyperlink" Target="https://www.google.com/maps/dir/?api=1&amp;origin=Gymnasium+Kirchheim,+Heimstettner+Str.+3,+85551+Kirchheim+bei+M&#252;nchen&amp;destination=48.03326867493773,11.754895734161472&amp;travelmode=car" TargetMode="External"/><Relationship Id="rId1205" Type="http://schemas.openxmlformats.org/officeDocument/2006/relationships/hyperlink" Target="https://www.google.com/maps/dir/?api=1&amp;origin=Gymnasium+Kirchheim,+Heimstettner+Str.+3,+85551+Kirchheim+bei+M&#252;nchen&amp;destination=48.18411258943577,11.928057368395926&amp;travelmode=car" TargetMode="External"/><Relationship Id="rId1857" Type="http://schemas.openxmlformats.org/officeDocument/2006/relationships/hyperlink" Target="https://www.google.com/maps/dir/?api=1&amp;origin=Gymnasium+Kirchheim,+Heimstettner+Str.+3,+85551+Kirchheim+bei+M&#252;nchen&amp;destination=48.12548044604914,11.327744523821421&amp;travelmode=car" TargetMode="External"/><Relationship Id="rId2810" Type="http://schemas.openxmlformats.org/officeDocument/2006/relationships/hyperlink" Target="https://www.google.com/maps/dir/?api=1&amp;origin=Gymnasium+Kirchheim,+Heimstettner+Str.+3,+85551+Kirchheim+bei+M&#252;nchen&amp;destination=48.04580369916671,12.170471317116936&amp;travelmode=car" TargetMode="External"/><Relationship Id="rId2908" Type="http://schemas.openxmlformats.org/officeDocument/2006/relationships/hyperlink" Target="https://www.google.com/maps/dir/?api=1&amp;origin=Gymnasium+Kirchheim,+Heimstettner+Str.+3,+85551+Kirchheim+bei+M&#252;nchen&amp;destination=48.034457628171396,11.27002033596574&amp;travelmode=car" TargetMode="External"/><Relationship Id="rId51" Type="http://schemas.openxmlformats.org/officeDocument/2006/relationships/hyperlink" Target="https://www.google.com/maps/dir/?api=1&amp;origin=Gymnasium+Kirchheim,+Heimstettner+Str.+3,+85551+Kirchheim+bei+M&#252;nchen&amp;destination=48.28339944786125,11.81261696011681&amp;travelmode=car" TargetMode="External"/><Relationship Id="rId1412" Type="http://schemas.openxmlformats.org/officeDocument/2006/relationships/hyperlink" Target="https://www.google.com/maps/dir/?api=1&amp;origin=Gymnasium+Kirchheim,+Heimstettner+Str.+3,+85551+Kirchheim+bei+M&#252;nchen&amp;destination=48.16345572729287,11.27002033596574&amp;travelmode=car" TargetMode="External"/><Relationship Id="rId1717" Type="http://schemas.openxmlformats.org/officeDocument/2006/relationships/hyperlink" Target="https://www.google.com/maps/dir/?api=1&amp;origin=Gymnasium+Kirchheim,+Heimstettner+Str.+3,+85551+Kirchheim+bei+M&#252;nchen&amp;destination=48.13955439793332,11.743351415580166&amp;travelmode=car" TargetMode="External"/><Relationship Id="rId1924" Type="http://schemas.openxmlformats.org/officeDocument/2006/relationships/hyperlink" Target="https://www.google.com/maps/dir/?api=1&amp;origin=Gymnasium+Kirchheim,+Heimstettner+Str.+3,+85551+Kirchheim+bei+M&#252;nchen&amp;destination=48.12222910874779,12.101211892775435&amp;travelmode=car" TargetMode="External"/><Relationship Id="rId3072" Type="http://schemas.openxmlformats.org/officeDocument/2006/relationships/hyperlink" Target="https://www.google.com/maps/dir/?api=1&amp;origin=Gymnasium+Kirchheim,+Heimstettner+Str.+3,+85551+Kirchheim+bei+M&#252;nchen&amp;destination=48.02322534095187,12.147385007013046&amp;travelmode=car" TargetMode="External"/><Relationship Id="rId3377" Type="http://schemas.openxmlformats.org/officeDocument/2006/relationships/hyperlink" Target="https://www.google.com/maps/dir/?api=1&amp;origin=Gymnasium+Kirchheim,+Heimstettner+Str.+3,+85551+Kirchheim+bei+M&#252;nchen&amp;destination=47.995913863950655,11.604817928870196&amp;travelmode=car" TargetMode="External"/><Relationship Id="rId298" Type="http://schemas.openxmlformats.org/officeDocument/2006/relationships/hyperlink" Target="https://www.google.com/maps/dir/?api=1&amp;origin=Gymnasium+Kirchheim,+Heimstettner+Str.+3,+85551+Kirchheim+bei+M&#252;nchen&amp;destination=48.26146005600198,11.616362491920484&amp;travelmode=car" TargetMode="External"/><Relationship Id="rId3584" Type="http://schemas.openxmlformats.org/officeDocument/2006/relationships/hyperlink" Target="https://www.google.com/maps/dir/?api=1&amp;origin=Gymnasium+Kirchheim,+Heimstettner+Str.+3,+85551+Kirchheim+bei+M&#252;nchen&amp;destination=47.979018351332485,11.962688898444616&amp;travelmode=car" TargetMode="External"/><Relationship Id="rId158" Type="http://schemas.openxmlformats.org/officeDocument/2006/relationships/hyperlink" Target="https://www.google.com/maps/dir/?api=1&amp;origin=Gymnasium+Kirchheim,+Heimstettner+Str.+3,+85551+Kirchheim+bei+M&#252;nchen&amp;destination=48.27449416664191,12.031951048971356&amp;travelmode=car" TargetMode="External"/><Relationship Id="rId2186" Type="http://schemas.openxmlformats.org/officeDocument/2006/relationships/hyperlink" Target="https://www.google.com/maps/dir/?api=1&amp;origin=Gymnasium+Kirchheim,+Heimstettner+Str.+3,+85551+Kirchheim+bei+M&#252;nchen&amp;destination=48.09963688855865,12.078125096991752&amp;travelmode=car" TargetMode="External"/><Relationship Id="rId2393" Type="http://schemas.openxmlformats.org/officeDocument/2006/relationships/hyperlink" Target="https://www.google.com/maps/dir/?api=1&amp;origin=Gymnasium+Kirchheim,+Heimstettner+Str.+3,+85551+Kirchheim+bei+M&#252;nchen&amp;destination=48.07983615921414,11.420102966318577&amp;travelmode=car" TargetMode="External"/><Relationship Id="rId2698" Type="http://schemas.openxmlformats.org/officeDocument/2006/relationships/hyperlink" Target="https://www.google.com/maps/dir/?api=1&amp;origin=Gymnasium+Kirchheim,+Heimstettner+Str.+3,+85551+Kirchheim+bei+M&#252;nchen&amp;destination=48.055318996990344,11.893425553951282&amp;travelmode=car" TargetMode="External"/><Relationship Id="rId3237" Type="http://schemas.openxmlformats.org/officeDocument/2006/relationships/hyperlink" Target="https://www.google.com/maps/dir/?api=1&amp;origin=Gymnasium+Kirchheim,+Heimstettner+Str.+3,+85551+Kirchheim+bei+M&#252;nchen&amp;destination=48.00898956640506,12.02040744491661&amp;travelmode=car" TargetMode="External"/><Relationship Id="rId3444" Type="http://schemas.openxmlformats.org/officeDocument/2006/relationships/hyperlink" Target="https://www.google.com/maps/dir/?api=1&amp;origin=Gymnasium+Kirchheim,+Heimstettner+Str.+3,+85551+Kirchheim+bei+M&#252;nchen&amp;destination=47.98885955962464,11.362378987427904&amp;travelmode=car" TargetMode="External"/><Relationship Id="rId365" Type="http://schemas.openxmlformats.org/officeDocument/2006/relationships/hyperlink" Target="https://www.google.com/maps/dir/?api=1&amp;origin=Gymnasium+Kirchheim,+Heimstettner+Str.+3,+85551+Kirchheim+bei+M&#252;nchen&amp;destination=48.25443001582353,11.373923797311125&amp;travelmode=car" TargetMode="External"/><Relationship Id="rId572" Type="http://schemas.openxmlformats.org/officeDocument/2006/relationships/hyperlink" Target="https://www.google.com/maps/dir/?api=1&amp;origin=Gymnasium+Kirchheim,+Heimstettner+Str.+3,+85551+Kirchheim+bei+M&#252;nchen&amp;destination=48.23825084208686,11.731807073753979&amp;travelmode=car" TargetMode="External"/><Relationship Id="rId2046" Type="http://schemas.openxmlformats.org/officeDocument/2006/relationships/hyperlink" Target="https://www.google.com/maps/dir/?api=1&amp;origin=Gymnasium+Kirchheim,+Heimstettner+Str.+3,+85551+Kirchheim+bei+M&#252;nchen&amp;destination=48.11007888476115,11.477826729716085&amp;travelmode=car" TargetMode="External"/><Relationship Id="rId2253" Type="http://schemas.openxmlformats.org/officeDocument/2006/relationships/hyperlink" Target="https://www.google.com/maps/dir/?api=1&amp;origin=Gymnasium+Kirchheim,+Heimstettner+Str.+3,+85551+Kirchheim+bei+M&#252;nchen&amp;destination=48.093577352794895,11.835705269507187&amp;travelmode=car" TargetMode="External"/><Relationship Id="rId2460" Type="http://schemas.openxmlformats.org/officeDocument/2006/relationships/hyperlink" Target="https://www.google.com/maps/dir/?api=1&amp;origin=Gymnasium+Kirchheim,+Heimstettner+Str.+3,+85551+Kirchheim+bei+M&#252;nchen&amp;destination=48.07596556032676,12.193557456977898&amp;travelmode=car" TargetMode="External"/><Relationship Id="rId3304" Type="http://schemas.openxmlformats.org/officeDocument/2006/relationships/hyperlink" Target="https://www.google.com/maps/dir/?api=1&amp;origin=Gymnasium+Kirchheim,+Heimstettner+Str.+3,+85551+Kirchheim+bei+M&#252;nchen&amp;destination=48.00280872633714,11.777984299500497&amp;travelmode=car" TargetMode="External"/><Relationship Id="rId3511" Type="http://schemas.openxmlformats.org/officeDocument/2006/relationships/hyperlink" Target="https://www.google.com/maps/dir/?api=1&amp;origin=Gymnasium+Kirchheim,+Heimstettner+Str.+3,+85551+Kirchheim+bei+M&#252;nchen&amp;destination=47.98537599695268,12.135841789424584&amp;travelmode=car" TargetMode="External"/><Relationship Id="rId225" Type="http://schemas.openxmlformats.org/officeDocument/2006/relationships/hyperlink" Target="https://www.google.com/maps/dir/?api=1&amp;origin=Gymnasium+Kirchheim,+Heimstettner+Str.+3,+85551+Kirchheim+bei+M&#252;nchen&amp;destination=48.26828097196575,11.801072765593279&amp;travelmode=car" TargetMode="External"/><Relationship Id="rId432" Type="http://schemas.openxmlformats.org/officeDocument/2006/relationships/hyperlink" Target="https://www.google.com/maps/dir/?api=1&amp;origin=Gymnasium+Kirchheim,+Heimstettner+Str.+3,+85551+Kirchheim+bei+M&#252;nchen&amp;destination=48.25086904528388,12.147385007013046&amp;travelmode=car" TargetMode="External"/><Relationship Id="rId877" Type="http://schemas.openxmlformats.org/officeDocument/2006/relationships/hyperlink" Target="https://www.google.com/maps/dir/?api=1&amp;origin=Gymnasium+Kirchheim,+Heimstettner+Str.+3,+85551+Kirchheim+bei+M&#252;nchen&amp;destination=48.21245473387122,12.205100461762754&amp;travelmode=car" TargetMode="External"/><Relationship Id="rId1062" Type="http://schemas.openxmlformats.org/officeDocument/2006/relationships/hyperlink" Target="https://www.google.com/maps/dir/?api=1&amp;origin=Gymnasium+Kirchheim,+Heimstettner+Str.+3,+85551+Kirchheim+bei+M&#252;nchen&amp;destination=48.19379782204417,11.293110020250275&amp;travelmode=car" TargetMode="External"/><Relationship Id="rId2113" Type="http://schemas.openxmlformats.org/officeDocument/2006/relationships/hyperlink" Target="https://www.google.com/maps/dir/?api=1&amp;origin=Gymnasium+Kirchheim,+Heimstettner+Str.+3,+85551+Kirchheim+bei+M&#252;nchen&amp;destination=48.10275767224559,11.235385797131558&amp;travelmode=car" TargetMode="External"/><Relationship Id="rId2320" Type="http://schemas.openxmlformats.org/officeDocument/2006/relationships/hyperlink" Target="https://www.google.com/maps/dir/?api=1&amp;origin=Gymnasium+Kirchheim,+Heimstettner+Str.+3,+85551+Kirchheim+bei+M&#252;nchen&amp;destination=48.08704413878857,11.581728752359444&amp;travelmode=car" TargetMode="External"/><Relationship Id="rId2558" Type="http://schemas.openxmlformats.org/officeDocument/2006/relationships/hyperlink" Target="https://www.google.com/maps/dir/?api=1&amp;origin=Gymnasium+Kirchheim,+Heimstettner+Str.+3,+85551+Kirchheim+bei+M&#252;nchen&amp;destination=48.06479972292269,11.293110020250275&amp;travelmode=car" TargetMode="External"/><Relationship Id="rId2765" Type="http://schemas.openxmlformats.org/officeDocument/2006/relationships/hyperlink" Target="https://www.google.com/maps/dir/?api=1&amp;origin=Gymnasium+Kirchheim,+Heimstettner+Str.+3,+85551+Kirchheim+bei+M&#252;nchen&amp;destination=48.04887127718978,11.650996073983201&amp;travelmode=car" TargetMode="External"/><Relationship Id="rId2972" Type="http://schemas.openxmlformats.org/officeDocument/2006/relationships/hyperlink" Target="https://www.google.com/maps/dir/?api=1&amp;origin=Gymnasium+Kirchheim,+Heimstettner+Str.+3,+85551+Kirchheim+bei+M&#252;nchen&amp;destination=48.031909914109704,11.997320130001427&amp;travelmode=car" TargetMode="External"/><Relationship Id="rId737" Type="http://schemas.openxmlformats.org/officeDocument/2006/relationships/hyperlink" Target="https://www.google.com/maps/dir/?api=1&amp;origin=Gymnasium+Kirchheim,+Heimstettner+Str.+3,+85551+Kirchheim+bei+M&#252;nchen&amp;destination=48.223557568282665,11.604817928870196&amp;travelmode=car" TargetMode="External"/><Relationship Id="rId944" Type="http://schemas.openxmlformats.org/officeDocument/2006/relationships/hyperlink" Target="https://www.google.com/maps/dir/?api=1&amp;origin=Gymnasium+Kirchheim,+Heimstettner+Str.+3,+85551+Kirchheim+bei+M&#252;nchen&amp;destination=48.20666205566448,11.962688898444616&amp;travelmode=car" TargetMode="External"/><Relationship Id="rId1367" Type="http://schemas.openxmlformats.org/officeDocument/2006/relationships/hyperlink" Target="https://www.google.com/maps/dir/?api=1&amp;origin=Gymnasium+Kirchheim,+Heimstettner+Str.+3,+85551+Kirchheim+bei+M&#252;nchen&amp;destination=48.16980174786975,11.766440028975659&amp;travelmode=car" TargetMode="External"/><Relationship Id="rId1574" Type="http://schemas.openxmlformats.org/officeDocument/2006/relationships/hyperlink" Target="https://www.google.com/maps/dir/?api=1&amp;origin=Gymnasium+Kirchheim,+Heimstettner+Str.+3,+85551+Kirchheim+bei+M&#252;nchen&amp;destination=48.15240483169534,12.12429853084091&amp;travelmode=car" TargetMode="External"/><Relationship Id="rId1781" Type="http://schemas.openxmlformats.org/officeDocument/2006/relationships/hyperlink" Target="https://www.google.com/maps/dir/?api=1&amp;origin=Gymnasium+Kirchheim,+Heimstettner+Str.+3,+85551+Kirchheim+bei+M&#252;nchen&amp;destination=48.13286751975436,11.466281997410366&amp;travelmode=car" TargetMode="External"/><Relationship Id="rId2418" Type="http://schemas.openxmlformats.org/officeDocument/2006/relationships/hyperlink" Target="https://www.google.com/maps/dir/?api=1&amp;origin=Gymnasium+Kirchheim,+Heimstettner+Str.+3,+85551+Kirchheim+bei+M&#252;nchen&amp;destination=48.078998460830206,11.708718322455919&amp;travelmode=car" TargetMode="External"/><Relationship Id="rId2625" Type="http://schemas.openxmlformats.org/officeDocument/2006/relationships/hyperlink" Target="https://www.google.com/maps/dir/?api=1&amp;origin=Gymnasium+Kirchheim,+Heimstettner+Str.+3,+85551+Kirchheim+bei+M&#252;nchen&amp;destination=48.06178061350376,12.066581641260367&amp;travelmode=car" TargetMode="External"/><Relationship Id="rId2832" Type="http://schemas.openxmlformats.org/officeDocument/2006/relationships/hyperlink" Target="https://www.google.com/maps/dir/?api=1&amp;origin=Gymnasium+Kirchheim,+Heimstettner+Str.+3,+85551+Kirchheim+bei+M&#252;nchen&amp;destination=48.04191402915823,11.408558185690326&amp;travelmode=car" TargetMode="External"/><Relationship Id="rId73" Type="http://schemas.openxmlformats.org/officeDocument/2006/relationships/hyperlink" Target="https://www.google.com/maps/dir/?api=1&amp;origin=Gymnasium+Kirchheim,+Heimstettner+Str.+3,+85551+Kirchheim+bei+M&#252;nchen&amp;destination=48.28183619435803,12.066581641260367&amp;travelmode=car" TargetMode="External"/><Relationship Id="rId804" Type="http://schemas.openxmlformats.org/officeDocument/2006/relationships/hyperlink" Target="https://www.google.com/maps/dir/?api=1&amp;origin=Gymnasium+Kirchheim,+Heimstettner+Str.+3,+85551+Kirchheim+bei+M&#252;nchen&amp;destination=48.216503263956646,11.362378987427904&amp;travelmode=car" TargetMode="External"/><Relationship Id="rId1227" Type="http://schemas.openxmlformats.org/officeDocument/2006/relationships/hyperlink" Target="https://www.google.com/maps/dir/?api=1&amp;origin=Gymnasium+Kirchheim,+Heimstettner+Str.+3,+85551+Kirchheim+bei+M&#252;nchen&amp;destination=48.18229518295298,12.182014408588692&amp;travelmode=car" TargetMode="External"/><Relationship Id="rId1434" Type="http://schemas.openxmlformats.org/officeDocument/2006/relationships/hyperlink" Target="https://www.google.com/maps/dir/?api=1&amp;origin=Gymnasium+Kirchheim,+Heimstettner+Str.+3,+85551+Kirchheim+bei+M&#252;nchen&amp;destination=48.163087136491555,11.524005541398747&amp;travelmode=car" TargetMode="External"/><Relationship Id="rId1641" Type="http://schemas.openxmlformats.org/officeDocument/2006/relationships/hyperlink" Target="https://www.google.com/maps/dir/?api=1&amp;origin=Gymnasium+Kirchheim,+Heimstettner+Str.+3,+85551+Kirchheim+bei+M&#252;nchen&amp;destination=48.14644233702575,11.881881555040426&amp;travelmode=car" TargetMode="External"/><Relationship Id="rId1879" Type="http://schemas.openxmlformats.org/officeDocument/2006/relationships/hyperlink" Target="https://www.google.com/maps/dir/?api=1&amp;origin=Gymnasium+Kirchheim,+Heimstettner+Str.+3,+85551+Kirchheim+bei+M&#252;nchen&amp;destination=48.12498475617724,11.581728752359444&amp;travelmode=car" TargetMode="External"/><Relationship Id="rId3094" Type="http://schemas.openxmlformats.org/officeDocument/2006/relationships/hyperlink" Target="https://www.google.com/maps/dir/?api=1&amp;origin=Gymnasium+Kirchheim,+Heimstettner+Str.+3,+85551+Kirchheim+bei+M&#252;nchen&amp;destination=48.01918316703723,11.385468600664204&amp;travelmode=car" TargetMode="External"/><Relationship Id="rId1501" Type="http://schemas.openxmlformats.org/officeDocument/2006/relationships/hyperlink" Target="https://www.google.com/maps/dir/?api=1&amp;origin=Gymnasium+Kirchheim,+Heimstettner+Str.+3,+85551+Kirchheim+bei+M&#252;nchen&amp;destination=48.1558572046555,11.293110020250275&amp;travelmode=car" TargetMode="External"/><Relationship Id="rId1739" Type="http://schemas.openxmlformats.org/officeDocument/2006/relationships/hyperlink" Target="https://www.google.com/maps/dir/?api=1&amp;origin=Gymnasium+Kirchheim,+Heimstettner+Str.+3,+85551+Kirchheim+bei+M&#252;nchen&amp;destination=48.13814364279798,11.997320130001427&amp;travelmode=car" TargetMode="External"/><Relationship Id="rId1946" Type="http://schemas.openxmlformats.org/officeDocument/2006/relationships/hyperlink" Target="https://www.google.com/maps/dir/?api=1&amp;origin=Gymnasium+Kirchheim,+Heimstettner+Str.+3,+85551+Kirchheim+bei+M&#252;nchen&amp;destination=48.117881923420704,11.339289350160644&amp;travelmode=car" TargetMode="External"/><Relationship Id="rId3399" Type="http://schemas.openxmlformats.org/officeDocument/2006/relationships/hyperlink" Target="https://www.google.com/maps/dir/?api=1&amp;origin=Gymnasium+Kirchheim,+Heimstettner+Str.+3,+85551+Kirchheim+bei+M&#252;nchen&amp;destination=47.99480811815808,11.858793469207484&amp;travelmode=car" TargetMode="External"/><Relationship Id="rId1806" Type="http://schemas.openxmlformats.org/officeDocument/2006/relationships/hyperlink" Target="https://www.google.com/maps/dir/?api=1&amp;origin=Gymnasium+Kirchheim,+Heimstettner+Str.+3,+85551+Kirchheim+bei+M&#252;nchen&amp;destination=48.13191428014826,11.754895734161472&amp;travelmode=car" TargetMode="External"/><Relationship Id="rId3161" Type="http://schemas.openxmlformats.org/officeDocument/2006/relationships/hyperlink" Target="https://www.google.com/maps/dir/?api=1&amp;origin=Gymnasium+Kirchheim,+Heimstettner+Str.+3,+85551+Kirchheim+bei+M&#252;nchen&amp;destination=48.01554478893554,12.158928183084447&amp;travelmode=car" TargetMode="External"/><Relationship Id="rId3259" Type="http://schemas.openxmlformats.org/officeDocument/2006/relationships/hyperlink" Target="https://www.google.com/maps/dir/?api=1&amp;origin=Gymnasium+Kirchheim,+Heimstettner+Str.+3,+85551+Kirchheim+bei+M&#252;nchen&amp;destination=48.00410513426046,11.27002033596574&amp;travelmode=car" TargetMode="External"/><Relationship Id="rId3466" Type="http://schemas.openxmlformats.org/officeDocument/2006/relationships/hyperlink" Target="https://www.google.com/maps/dir/?api=1&amp;origin=Gymnasium+Kirchheim,+Heimstettner+Str.+3,+85551+Kirchheim+bei+M&#252;nchen&amp;destination=47.988287610803575,11.616362491920484&amp;travelmode=car" TargetMode="External"/><Relationship Id="rId387" Type="http://schemas.openxmlformats.org/officeDocument/2006/relationships/hyperlink" Target="https://www.google.com/maps/dir/?api=1&amp;origin=Gymnasium+Kirchheim,+Heimstettner+Str.+3,+85551+Kirchheim+bei+M&#252;nchen&amp;destination=48.253832647448036,11.627907037470955&amp;travelmode=car" TargetMode="External"/><Relationship Id="rId594" Type="http://schemas.openxmlformats.org/officeDocument/2006/relationships/hyperlink" Target="https://www.google.com/maps/dir/?api=1&amp;origin=Gymnasium+Kirchheim,+Heimstettner+Str.+3,+85551+Kirchheim+bei+M&#252;nchen&amp;destination=48.23686550378273,11.985776420185003&amp;travelmode=car" TargetMode="External"/><Relationship Id="rId2068" Type="http://schemas.openxmlformats.org/officeDocument/2006/relationships/hyperlink" Target="https://www.google.com/maps/dir/?api=1&amp;origin=Gymnasium+Kirchheim,+Heimstettner+Str.+3,+85551+Kirchheim+bei+M&#252;nchen&amp;destination=48.1092527429654,11.731807073753979&amp;travelmode=car" TargetMode="External"/><Relationship Id="rId2275" Type="http://schemas.openxmlformats.org/officeDocument/2006/relationships/hyperlink" Target="https://www.google.com/maps/dir/?api=1&amp;origin=Gymnasium+Kirchheim,+Heimstettner+Str.+3,+85551+Kirchheim+bei+M&#252;nchen&amp;destination=48.09196326755254,12.089668514337413&amp;travelmode=car" TargetMode="External"/><Relationship Id="rId3021" Type="http://schemas.openxmlformats.org/officeDocument/2006/relationships/hyperlink" Target="https://www.google.com/maps/dir/?api=1&amp;origin=Gymnasium+Kirchheim,+Heimstettner+Str.+3,+85551+Kirchheim+bei+M&#252;nchen&amp;destination=48.0263738143962,11.570184139943638&amp;travelmode=car" TargetMode="External"/><Relationship Id="rId3119" Type="http://schemas.openxmlformats.org/officeDocument/2006/relationships/hyperlink" Target="https://www.google.com/maps/dir/?api=1&amp;origin=Gymnasium+Kirchheim,+Heimstettner+Str.+3,+85551+Kirchheim+bei+M&#252;nchen&amp;destination=48.01843212533371,11.67408503422851&amp;travelmode=car" TargetMode="External"/><Relationship Id="rId3326" Type="http://schemas.openxmlformats.org/officeDocument/2006/relationships/hyperlink" Target="https://www.google.com/maps/dir/?api=1&amp;origin=Gymnasium+Kirchheim,+Heimstettner+Str.+3,+85551+Kirchheim+bei+M&#252;nchen&amp;destination=48.00132172144349,12.031951048971356&amp;travelmode=car" TargetMode="External"/><Relationship Id="rId247" Type="http://schemas.openxmlformats.org/officeDocument/2006/relationships/hyperlink" Target="https://www.google.com/maps/dir/?api=1&amp;origin=Gymnasium+Kirchheim,+Heimstettner+Str.+3,+85551+Kirchheim+bei+M&#252;nchen&amp;destination=48.26682516645732,12.043494616728212&amp;travelmode=car" TargetMode="External"/><Relationship Id="rId899" Type="http://schemas.openxmlformats.org/officeDocument/2006/relationships/hyperlink" Target="https://www.google.com/maps/dir/?api=1&amp;origin=Gymnasium+Kirchheim,+Heimstettner+Str.+3,+85551+Kirchheim+bei+M&#252;nchen&amp;destination=48.208771863650036,11.454737254395377&amp;travelmode=car" TargetMode="External"/><Relationship Id="rId1084" Type="http://schemas.openxmlformats.org/officeDocument/2006/relationships/hyperlink" Target="https://www.google.com/maps/dir/?api=1&amp;origin=Gymnasium+Kirchheim,+Heimstettner+Str.+3,+85551+Kirchheim+bei+M&#252;nchen&amp;destination=48.1933783915044,11.547094869402834&amp;travelmode=car" TargetMode="External"/><Relationship Id="rId2482" Type="http://schemas.openxmlformats.org/officeDocument/2006/relationships/hyperlink" Target="https://www.google.com/maps/dir/?api=1&amp;origin=Gymnasium+Kirchheim,+Heimstettner+Str.+3,+85551+Kirchheim+bei+M&#252;nchen&amp;destination=48.072228392954614,11.431647738327094&amp;travelmode=car" TargetMode="External"/><Relationship Id="rId2787" Type="http://schemas.openxmlformats.org/officeDocument/2006/relationships/hyperlink" Target="https://www.google.com/maps/dir/?api=1&amp;origin=Gymnasium+Kirchheim,+Heimstettner+Str.+3,+85551+Kirchheim+bei+M&#252;nchen&amp;destination=48.047663859911445,11.90496952282889&amp;travelmode=car" TargetMode="External"/><Relationship Id="rId3533" Type="http://schemas.openxmlformats.org/officeDocument/2006/relationships/hyperlink" Target="https://www.google.com/maps/dir/?api=1&amp;origin=Gymnasium+Kirchheim,+Heimstettner+Str.+3,+85551+Kirchheim+bei+M&#252;nchen&amp;destination=47.981257570625125,11.373923797311125&amp;travelmode=car" TargetMode="External"/><Relationship Id="rId107" Type="http://schemas.openxmlformats.org/officeDocument/2006/relationships/hyperlink" Target="https://www.google.com/maps/dir/?api=1&amp;origin=Gymnasium+Kirchheim,+Heimstettner+Str.+3,+85551+Kirchheim+bei+M&#252;nchen&amp;destination=48.27708692862432,11.44319250119349&amp;travelmode=car" TargetMode="External"/><Relationship Id="rId454" Type="http://schemas.openxmlformats.org/officeDocument/2006/relationships/hyperlink" Target="https://www.google.com/maps/dir/?api=1&amp;origin=Gymnasium+Kirchheim,+Heimstettner+Str.+3,+85551+Kirchheim+bei+M&#252;nchen&amp;destination=48.24682687136923,11.385468600664204&amp;travelmode=car" TargetMode="External"/><Relationship Id="rId661" Type="http://schemas.openxmlformats.org/officeDocument/2006/relationships/hyperlink" Target="https://www.google.com/maps/dir/?api=1&amp;origin=Gymnasium+Kirchheim,+Heimstettner+Str.+3,+85551+Kirchheim+bei+M&#252;nchen&amp;destination=48.23061187966613,11.743351415580166&amp;travelmode=car" TargetMode="External"/><Relationship Id="rId759" Type="http://schemas.openxmlformats.org/officeDocument/2006/relationships/hyperlink" Target="https://www.google.com/maps/dir/?api=1&amp;origin=Gymnasium+Kirchheim,+Heimstettner+Str.+3,+85551+Kirchheim+bei+M&#252;nchen&amp;destination=48.222388274801474,11.870337526618448&amp;travelmode=car" TargetMode="External"/><Relationship Id="rId966" Type="http://schemas.openxmlformats.org/officeDocument/2006/relationships/hyperlink" Target="https://www.google.com/maps/dir/?api=1&amp;origin=Gymnasium+Kirchheim,+Heimstettner+Str.+3,+85551+Kirchheim+bei+M&#252;nchen&amp;destination=48.20476840623027,12.21664342242148&amp;travelmode=car" TargetMode="External"/><Relationship Id="rId1291" Type="http://schemas.openxmlformats.org/officeDocument/2006/relationships/hyperlink" Target="https://www.google.com/maps/dir/?api=1&amp;origin=Gymnasium+Kirchheim,+Heimstettner+Str.+3,+85551+Kirchheim+bei+M&#252;nchen&amp;destination=48.17666195903292,11.90496952282889&amp;travelmode=car" TargetMode="External"/><Relationship Id="rId1389" Type="http://schemas.openxmlformats.org/officeDocument/2006/relationships/hyperlink" Target="https://www.google.com/maps/dir/?api=1&amp;origin=Gymnasium+Kirchheim,+Heimstettner+Str.+3,+85551+Kirchheim+bei+M&#252;nchen&amp;destination=48.16834015943746,12.02040744491661&amp;travelmode=car" TargetMode="External"/><Relationship Id="rId1596" Type="http://schemas.openxmlformats.org/officeDocument/2006/relationships/hyperlink" Target="https://www.google.com/maps/dir/?api=1&amp;origin=Gymnasium+Kirchheim,+Heimstettner+Str.+3,+85551+Kirchheim+bei+M&#252;nchen&amp;destination=48.14821015265704,11.362378987427904&amp;travelmode=car" TargetMode="External"/><Relationship Id="rId2135" Type="http://schemas.openxmlformats.org/officeDocument/2006/relationships/hyperlink" Target="https://www.google.com/maps/dir/?api=1&amp;origin=Gymnasium+Kirchheim,+Heimstettner+Str.+3,+85551+Kirchheim+bei+M&#252;nchen&amp;destination=48.10246534128381,11.489371450790154&amp;travelmode=car" TargetMode="External"/><Relationship Id="rId2342" Type="http://schemas.openxmlformats.org/officeDocument/2006/relationships/hyperlink" Target="https://www.google.com/maps/dir/?api=1&amp;origin=Gymnasium+Kirchheim,+Heimstettner+Str.+3,+85551+Kirchheim+bei+M&#252;nchen&amp;destination=48.08592799226431,11.847249383329679&amp;travelmode=car" TargetMode="External"/><Relationship Id="rId2647" Type="http://schemas.openxmlformats.org/officeDocument/2006/relationships/hyperlink" Target="https://www.google.com/maps/dir/?api=1&amp;origin=Gymnasium+Kirchheim,+Heimstettner+Str.+3,+85551+Kirchheim+bei+M&#252;nchen&amp;destination=48.057196578441314,11.316199693041677&amp;travelmode=car" TargetMode="External"/><Relationship Id="rId2994" Type="http://schemas.openxmlformats.org/officeDocument/2006/relationships/hyperlink" Target="https://www.google.com/maps/dir/?api=1&amp;origin=Gymnasium+Kirchheim,+Heimstettner+Str.+3,+85551+Kirchheim+bei+M&#252;nchen&amp;destination=48.02687528200575,11.246930644367383&amp;travelmode=car" TargetMode="External"/><Relationship Id="rId3600" Type="http://schemas.openxmlformats.org/officeDocument/2006/relationships/hyperlink" Target="https://www.google.com/maps/dir/?api=1&amp;origin=Gymnasium+Kirchheim,+Heimstettner+Str.+3,+85551+Kirchheim+bei+M&#252;nchen&amp;destination=47.97769660008548,12.147385007013046&amp;travelmode=car" TargetMode="External"/><Relationship Id="rId314" Type="http://schemas.openxmlformats.org/officeDocument/2006/relationships/hyperlink" Target="https://www.google.com/maps/dir/?api=1&amp;origin=Gymnasium+Kirchheim,+Heimstettner+Str.+3,+85551+Kirchheim+bei+M&#252;nchen&amp;destination=48.26069284848802,11.801072765593279&amp;travelmode=car" TargetMode="External"/><Relationship Id="rId521" Type="http://schemas.openxmlformats.org/officeDocument/2006/relationships/hyperlink" Target="https://www.google.com/maps/dir/?api=1&amp;origin=Gymnasium+Kirchheim,+Heimstettner+Str.+3,+85551+Kirchheim+bei+M&#252;nchen&amp;destination=48.24318849326755,12.158928183084447&amp;travelmode=car" TargetMode="External"/><Relationship Id="rId619" Type="http://schemas.openxmlformats.org/officeDocument/2006/relationships/hyperlink" Target="https://www.google.com/maps/dir/?api=1&amp;origin=Gymnasium+Kirchheim,+Heimstettner+Str.+3,+85551+Kirchheim+bei+M&#252;nchen&amp;destination=48.23174883859248,11.27002033596574&amp;travelmode=car" TargetMode="External"/><Relationship Id="rId1151" Type="http://schemas.openxmlformats.org/officeDocument/2006/relationships/hyperlink" Target="https://www.google.com/maps/dir/?api=1&amp;origin=Gymnasium+Kirchheim,+Heimstettner+Str.+3,+85551+Kirchheim+bei+M&#252;nchen&amp;destination=48.18620276579482,11.304654858343824&amp;travelmode=car" TargetMode="External"/><Relationship Id="rId1249" Type="http://schemas.openxmlformats.org/officeDocument/2006/relationships/hyperlink" Target="https://www.google.com/maps/dir/?api=1&amp;origin=Gymnasium+Kirchheim,+Heimstettner+Str.+3,+85551+Kirchheim+bei+M&#252;nchen&amp;destination=48.178481764424674,11.420102966318577&amp;travelmode=car" TargetMode="External"/><Relationship Id="rId2202" Type="http://schemas.openxmlformats.org/officeDocument/2006/relationships/hyperlink" Target="https://www.google.com/maps/dir/?api=1&amp;origin=Gymnasium+Kirchheim,+Heimstettner+Str.+3,+85551+Kirchheim+bei+M&#252;nchen&amp;destination=48.09516839330534,11.246930644367383&amp;travelmode=car" TargetMode="External"/><Relationship Id="rId2854" Type="http://schemas.openxmlformats.org/officeDocument/2006/relationships/hyperlink" Target="https://www.google.com/maps/dir/?api=1&amp;origin=Gymnasium+Kirchheim,+Heimstettner+Str.+3,+85551+Kirchheim+bei+M&#252;nchen&amp;destination=48.041240402435875,11.66254056390037&amp;travelmode=car" TargetMode="External"/><Relationship Id="rId95" Type="http://schemas.openxmlformats.org/officeDocument/2006/relationships/hyperlink" Target="https://www.google.com/maps/dir/?api=1&amp;origin=Gymnasium+Kirchheim,+Heimstettner+Str.+3,+85551+Kirchheim+bei+M&#252;nchen&amp;destination=48.27726024752763,11.304654858343824&amp;travelmode=car" TargetMode="External"/><Relationship Id="rId826" Type="http://schemas.openxmlformats.org/officeDocument/2006/relationships/hyperlink" Target="https://www.google.com/maps/dir/?api=1&amp;origin=Gymnasium+Kirchheim,+Heimstettner+Str.+3,+85551+Kirchheim+bei+M&#252;nchen&amp;destination=48.21596944480493,11.604817928870196&amp;travelmode=car" TargetMode="External"/><Relationship Id="rId1011" Type="http://schemas.openxmlformats.org/officeDocument/2006/relationships/hyperlink" Target="https://www.google.com/maps/dir/?api=1&amp;origin=Gymnasium+Kirchheim,+Heimstettner+Str.+3,+85551+Kirchheim+bei+M&#252;nchen&amp;destination=48.20035990827255,11.720262709205143&amp;travelmode=car" TargetMode="External"/><Relationship Id="rId1109" Type="http://schemas.openxmlformats.org/officeDocument/2006/relationships/hyperlink" Target="https://www.google.com/maps/dir/?api=1&amp;origin=Gymnasium+Kirchheim,+Heimstettner+Str.+3,+85551+Kirchheim+bei+M&#252;nchen&amp;destination=48.19222295800543,11.835705269507187&amp;travelmode=car" TargetMode="External"/><Relationship Id="rId1456" Type="http://schemas.openxmlformats.org/officeDocument/2006/relationships/hyperlink" Target="https://www.google.com/maps/dir/?api=1&amp;origin=Gymnasium+Kirchheim,+Heimstettner+Str.+3,+85551+Kirchheim+bei+M&#252;nchen&amp;destination=48.16215931936954,11.777984299500497&amp;travelmode=car" TargetMode="External"/><Relationship Id="rId1663" Type="http://schemas.openxmlformats.org/officeDocument/2006/relationships/hyperlink" Target="https://www.google.com/maps/dir/?api=1&amp;origin=Gymnasium+Kirchheim,+Heimstettner+Str.+3,+85551+Kirchheim+bei+M&#252;nchen&amp;destination=48.14472658998509,12.135841789424584&amp;travelmode=car" TargetMode="External"/><Relationship Id="rId1870" Type="http://schemas.openxmlformats.org/officeDocument/2006/relationships/hyperlink" Target="https://www.google.com/maps/dir/?api=1&amp;origin=Gymnasium+Kirchheim,+Heimstettner+Str.+3,+85551+Kirchheim+bei+M&#252;nchen&amp;destination=48.12525513171662,11.477826729716085&amp;travelmode=car" TargetMode="External"/><Relationship Id="rId1968" Type="http://schemas.openxmlformats.org/officeDocument/2006/relationships/hyperlink" Target="https://www.google.com/maps/dir/?api=1&amp;origin=Gymnasium+Kirchheim,+Heimstettner+Str.+3,+85551+Kirchheim+bei+M&#252;nchen&amp;destination=48.117360813853615,11.593273348842407&amp;travelmode=car" TargetMode="External"/><Relationship Id="rId2507" Type="http://schemas.openxmlformats.org/officeDocument/2006/relationships/hyperlink" Target="https://www.google.com/maps/dir/?api=1&amp;origin=Gymnasium+Kirchheim,+Heimstettner+Str.+3,+85551+Kirchheim+bei+M&#252;nchen&amp;destination=48.07136180915108,11.720262709205143&amp;travelmode=car" TargetMode="External"/><Relationship Id="rId2714" Type="http://schemas.openxmlformats.org/officeDocument/2006/relationships/hyperlink" Target="https://www.google.com/maps/dir/?api=1&amp;origin=Gymnasium+Kirchheim,+Heimstettner+Str.+3,+85551+Kirchheim+bei+M&#252;nchen&amp;destination=48.054108147692254,12.078125096991752&amp;travelmode=car" TargetMode="External"/><Relationship Id="rId2921" Type="http://schemas.openxmlformats.org/officeDocument/2006/relationships/hyperlink" Target="https://www.google.com/maps/dir/?api=1&amp;origin=Gymnasium+Kirchheim,+Heimstettner+Str.+3,+85551+Kirchheim+bei+M&#252;nchen&amp;destination=48.034307418347744,11.420102966318577&amp;travelmode=car" TargetMode="External"/><Relationship Id="rId1316" Type="http://schemas.openxmlformats.org/officeDocument/2006/relationships/hyperlink" Target="https://www.google.com/maps/dir/?api=1&amp;origin=Gymnasium+Kirchheim,+Heimstettner+Str.+3,+85551+Kirchheim+bei+M&#252;nchen&amp;destination=48.1746111655373,12.193557456977898&amp;travelmode=car" TargetMode="External"/><Relationship Id="rId1523" Type="http://schemas.openxmlformats.org/officeDocument/2006/relationships/hyperlink" Target="https://www.google.com/maps/dir/?api=1&amp;origin=Gymnasium+Kirchheim,+Heimstettner+Str.+3,+85551+Kirchheim+bei+M&#252;nchen&amp;destination=48.155468971278644,11.535550212322528&amp;travelmode=car" TargetMode="External"/><Relationship Id="rId1730" Type="http://schemas.openxmlformats.org/officeDocument/2006/relationships/hyperlink" Target="https://www.google.com/maps/dir/?api=1&amp;origin=Gymnasium+Kirchheim,+Heimstettner+Str.+3,+85551+Kirchheim+bei+M&#252;nchen&amp;destination=48.13878835524542,11.893425553951282&amp;travelmode=car" TargetMode="External"/><Relationship Id="rId3183" Type="http://schemas.openxmlformats.org/officeDocument/2006/relationships/hyperlink" Target="https://www.google.com/maps/dir/?api=1&amp;origin=Gymnasium+Kirchheim,+Heimstettner+Str.+3,+85551+Kirchheim+bei+M&#252;nchen&amp;destination=48.01157886712944,11.397013396964736&amp;travelmode=car" TargetMode="External"/><Relationship Id="rId3390" Type="http://schemas.openxmlformats.org/officeDocument/2006/relationships/hyperlink" Target="https://www.google.com/maps/dir/?api=1&amp;origin=Gymnasium+Kirchheim,+Heimstettner+Str.+3,+85551+Kirchheim+bei+M&#252;nchen&amp;destination=47.99532805754905,11.754895734161472&amp;travelmode=car" TargetMode="External"/><Relationship Id="rId22" Type="http://schemas.openxmlformats.org/officeDocument/2006/relationships/hyperlink" Target="https://www.google.com/maps/dir/?api=1&amp;origin=Gymnasium+Kirchheim,+Heimstettner+Str.+3,+85551+Kirchheim+bei+M&#252;nchen&amp;destination=48.284605724749035,11.477826729716085&amp;travelmode=car" TargetMode="External"/><Relationship Id="rId1828" Type="http://schemas.openxmlformats.org/officeDocument/2006/relationships/hyperlink" Target="https://www.google.com/maps/dir/?api=1&amp;origin=Gymnasium+Kirchheim,+Heimstettner+Str.+3,+85551+Kirchheim+bei+M&#252;nchen&amp;destination=48.1304781083028,12.00886380508597&amp;travelmode=car" TargetMode="External"/><Relationship Id="rId3043" Type="http://schemas.openxmlformats.org/officeDocument/2006/relationships/hyperlink" Target="https://www.google.com/maps/dir/?api=1&amp;origin=Gymnasium+Kirchheim,+Heimstettner+Str.+3,+85551+Kirchheim+bei+M&#252;nchen&amp;destination=48.02540324961831,11.81261696011681&amp;travelmode=car" TargetMode="External"/><Relationship Id="rId3250" Type="http://schemas.openxmlformats.org/officeDocument/2006/relationships/hyperlink" Target="https://www.google.com/maps/dir/?api=1&amp;origin=Gymnasium+Kirchheim,+Heimstettner+Str.+3,+85551+Kirchheim+bei+M&#252;nchen&amp;destination=48.00786308177803,12.170471317116936&amp;travelmode=car" TargetMode="External"/><Relationship Id="rId3488" Type="http://schemas.openxmlformats.org/officeDocument/2006/relationships/hyperlink" Target="https://www.google.com/maps/dir/?api=1&amp;origin=Gymnasium+Kirchheim,+Heimstettner+Str.+3,+85551+Kirchheim+bei+M&#252;nchen&amp;destination=47.98715644699173,11.870337526618448&amp;travelmode=car" TargetMode="External"/><Relationship Id="rId171" Type="http://schemas.openxmlformats.org/officeDocument/2006/relationships/hyperlink" Target="https://www.google.com/maps/dir/?api=1&amp;origin=Gymnasium+Kirchheim,+Heimstettner+Str.+3,+85551+Kirchheim+bei+M&#252;nchen&amp;destination=48.27335266468578,12.182014408588692&amp;travelmode=car" TargetMode="External"/><Relationship Id="rId2297" Type="http://schemas.openxmlformats.org/officeDocument/2006/relationships/hyperlink" Target="https://www.google.com/maps/dir/?api=1&amp;origin=Gymnasium+Kirchheim,+Heimstettner+Str.+3,+85551+Kirchheim+bei+M&#252;nchen&amp;destination=48.087539828660475,11.327744523821421&amp;travelmode=car" TargetMode="External"/><Relationship Id="rId3348" Type="http://schemas.openxmlformats.org/officeDocument/2006/relationships/hyperlink" Target="https://www.google.com/maps/dir/?api=1&amp;origin=Gymnasium+Kirchheim,+Heimstettner+Str.+3,+85551+Kirchheim+bei+M&#252;nchen&amp;destination=47.99652047716989,11.258475490819581&amp;travelmode=car" TargetMode="External"/><Relationship Id="rId3555" Type="http://schemas.openxmlformats.org/officeDocument/2006/relationships/hyperlink" Target="https://www.google.com/maps/dir/?api=1&amp;origin=Gymnasium+Kirchheim,+Heimstettner+Str.+3,+85551+Kirchheim+bei+M&#252;nchen&amp;destination=47.980660202249624,11.627907037470955&amp;travelmode=car" TargetMode="External"/><Relationship Id="rId269" Type="http://schemas.openxmlformats.org/officeDocument/2006/relationships/hyperlink" Target="https://www.google.com/maps/dir/?api=1&amp;origin=Gymnasium+Kirchheim,+Heimstettner+Str.+3,+85551+Kirchheim+bei+M&#252;nchen&amp;destination=48.262096710654355,11.281565179283442&amp;travelmode=car" TargetMode="External"/><Relationship Id="rId476" Type="http://schemas.openxmlformats.org/officeDocument/2006/relationships/hyperlink" Target="https://www.google.com/maps/dir/?api=1&amp;origin=Gymnasium+Kirchheim,+Heimstettner+Str.+3,+85551+Kirchheim+bei+M&#252;nchen&amp;destination=48.246204083490596,11.639451564999296&amp;travelmode=car" TargetMode="External"/><Relationship Id="rId683" Type="http://schemas.openxmlformats.org/officeDocument/2006/relationships/hyperlink" Target="https://www.google.com/maps/dir/?api=1&amp;origin=Gymnasium+Kirchheim,+Heimstettner+Str.+3,+85551+Kirchheim+bei+M&#252;nchen&amp;destination=48.22920112453078,11.997320130001427&amp;travelmode=car" TargetMode="External"/><Relationship Id="rId890" Type="http://schemas.openxmlformats.org/officeDocument/2006/relationships/hyperlink" Target="https://www.google.com/maps/dir/?api=1&amp;origin=Gymnasium+Kirchheim,+Heimstettner+Str.+3,+85551+Kirchheim+bei+M&#252;nchen&amp;destination=48.208939405153494,11.339289350160644&amp;travelmode=car" TargetMode="External"/><Relationship Id="rId2157" Type="http://schemas.openxmlformats.org/officeDocument/2006/relationships/hyperlink" Target="https://www.google.com/maps/dir/?api=1&amp;origin=Gymnasium+Kirchheim,+Heimstettner+Str.+3,+85551+Kirchheim+bei+M&#252;nchen&amp;destination=48.10161378054465,11.743351415580166&amp;travelmode=car" TargetMode="External"/><Relationship Id="rId2364" Type="http://schemas.openxmlformats.org/officeDocument/2006/relationships/hyperlink" Target="https://www.google.com/maps/dir/?api=1&amp;origin=Gymnasium+Kirchheim,+Heimstettner+Str.+3,+85551+Kirchheim+bei+M&#252;nchen&amp;destination=48.084288491359125,12.101211892775435&amp;travelmode=car" TargetMode="External"/><Relationship Id="rId2571" Type="http://schemas.openxmlformats.org/officeDocument/2006/relationships/hyperlink" Target="https://www.google.com/maps/dir/?api=1&amp;origin=Gymnasium+Kirchheim,+Heimstettner+Str.+3,+85551+Kirchheim+bei+M&#252;nchen&amp;destination=48.06461947124777,11.44319250119349&amp;travelmode=car" TargetMode="External"/><Relationship Id="rId3110" Type="http://schemas.openxmlformats.org/officeDocument/2006/relationships/hyperlink" Target="https://www.google.com/maps/dir/?api=1&amp;origin=Gymnasium+Kirchheim,+Heimstettner+Str.+3,+85551+Kirchheim+bei+M&#252;nchen&amp;destination=48.018819198928625,11.55863951211732&amp;travelmode=car" TargetMode="External"/><Relationship Id="rId3208" Type="http://schemas.openxmlformats.org/officeDocument/2006/relationships/hyperlink" Target="https://www.google.com/maps/dir/?api=1&amp;origin=Gymnasium+Kirchheim,+Heimstettner+Str.+3,+85551+Kirchheim+bei+M&#252;nchen&amp;destination=48.010798939798,11.685629484445332&amp;travelmode=car" TargetMode="External"/><Relationship Id="rId3415" Type="http://schemas.openxmlformats.org/officeDocument/2006/relationships/hyperlink" Target="https://www.google.com/maps/dir/?api=1&amp;origin=Gymnasium+Kirchheim,+Heimstettner+Str.+3,+85551+Kirchheim+bei+M&#252;nchen&amp;destination=47.99365272125891,12.043494616728212&amp;travelmode=car" TargetMode="External"/><Relationship Id="rId129" Type="http://schemas.openxmlformats.org/officeDocument/2006/relationships/hyperlink" Target="https://www.google.com/maps/dir/?api=1&amp;origin=Gymnasium+Kirchheim,+Heimstettner+Str.+3,+85551+Kirchheim+bei+M&#252;nchen&amp;destination=48.27633704407558,11.69717391402856&amp;travelmode=car" TargetMode="External"/><Relationship Id="rId336" Type="http://schemas.openxmlformats.org/officeDocument/2006/relationships/hyperlink" Target="https://www.google.com/maps/dir/?api=1&amp;origin=Gymnasium+Kirchheim,+Heimstettner+Str.+3,+85551+Kirchheim+bei+M&#252;nchen&amp;destination=48.259155011056706,12.055038147665204&amp;travelmode=car" TargetMode="External"/><Relationship Id="rId543" Type="http://schemas.openxmlformats.org/officeDocument/2006/relationships/hyperlink" Target="https://www.google.com/maps/dir/?api=1&amp;origin=Gymnasium+Kirchheim,+Heimstettner+Str.+3,+85551+Kirchheim+bei+M&#252;nchen&amp;destination=48.23922257146145,11.397013396964736&amp;travelmode=car" TargetMode="External"/><Relationship Id="rId988" Type="http://schemas.openxmlformats.org/officeDocument/2006/relationships/hyperlink" Target="https://www.google.com/maps/dir/?api=1&amp;origin=Gymnasium+Kirchheim,+Heimstettner+Str.+3,+85551+Kirchheim+bei+M&#252;nchen&amp;destination=48.20118374017231,11.454737254395377&amp;travelmode=car" TargetMode="External"/><Relationship Id="rId1173" Type="http://schemas.openxmlformats.org/officeDocument/2006/relationships/hyperlink" Target="https://www.google.com/maps/dir/?api=1&amp;origin=Gymnasium+Kirchheim,+Heimstettner+Str.+3,+85551+Kirchheim+bei+M&#252;nchen&amp;destination=48.18575791543877,11.55863951211732&amp;travelmode=car" TargetMode="External"/><Relationship Id="rId1380" Type="http://schemas.openxmlformats.org/officeDocument/2006/relationships/hyperlink" Target="https://www.google.com/maps/dir/?api=1&amp;origin=Gymnasium+Kirchheim,+Heimstettner+Str.+3,+85551+Kirchheim+bei+M&#252;nchen&amp;destination=48.169005666661214,11.916513461151142&amp;travelmode=car" TargetMode="External"/><Relationship Id="rId2017" Type="http://schemas.openxmlformats.org/officeDocument/2006/relationships/hyperlink" Target="https://www.google.com/maps/dir/?api=1&amp;origin=Gymnasium+Kirchheim,+Heimstettner+Str.+3,+85551+Kirchheim+bei+M&#252;nchen&amp;destination=48.11419039414607,12.158928183084447&amp;travelmode=car" TargetMode="External"/><Relationship Id="rId2224" Type="http://schemas.openxmlformats.org/officeDocument/2006/relationships/hyperlink" Target="https://www.google.com/maps/dir/?api=1&amp;origin=Gymnasium+Kirchheim,+Heimstettner+Str.+3,+85551+Kirchheim+bei+M&#252;nchen&amp;destination=48.09485064236904,11.500916160110199&amp;travelmode=car" TargetMode="External"/><Relationship Id="rId2669" Type="http://schemas.openxmlformats.org/officeDocument/2006/relationships/hyperlink" Target="https://www.google.com/maps/dir/?api=1&amp;origin=Gymnasium+Kirchheim,+Heimstettner+Str.+3,+85551+Kirchheim+bei+M&#252;nchen&amp;destination=48.05675981631728,11.55863951211732&amp;travelmode=car" TargetMode="External"/><Relationship Id="rId2876" Type="http://schemas.openxmlformats.org/officeDocument/2006/relationships/hyperlink" Target="https://www.google.com/maps/dir/?api=1&amp;origin=Gymnasium+Kirchheim,+Heimstettner+Str.+3,+85551+Kirchheim+bei+M&#252;nchen&amp;destination=48.040007567539746,11.916513461151142&amp;travelmode=car" TargetMode="External"/><Relationship Id="rId403" Type="http://schemas.openxmlformats.org/officeDocument/2006/relationships/hyperlink" Target="https://www.google.com/maps/dir/?api=1&amp;origin=Gymnasium+Kirchheim,+Heimstettner+Str.+3,+85551+Kirchheim+bei+M&#252;nchen&amp;destination=48.253046953950324,11.81261696011681&amp;travelmode=car" TargetMode="External"/><Relationship Id="rId750" Type="http://schemas.openxmlformats.org/officeDocument/2006/relationships/hyperlink" Target="https://www.google.com/maps/dir/?api=1&amp;origin=Gymnasium+Kirchheim,+Heimstettner+Str.+3,+85551+Kirchheim+bei+M&#252;nchen&amp;destination=48.222971761881055,11.754895734161472&amp;travelmode=car" TargetMode="External"/><Relationship Id="rId848" Type="http://schemas.openxmlformats.org/officeDocument/2006/relationships/hyperlink" Target="https://www.google.com/maps/dir/?api=1&amp;origin=Gymnasium+Kirchheim,+Heimstettner+Str.+3,+85551+Kirchheim+bei+M&#252;nchen&amp;destination=48.21486369901237,11.858793469207484&amp;travelmode=car" TargetMode="External"/><Relationship Id="rId1033" Type="http://schemas.openxmlformats.org/officeDocument/2006/relationships/hyperlink" Target="https://www.google.com/maps/dir/?api=1&amp;origin=Gymnasium+Kirchheim,+Heimstettner+Str.+3,+85551+Kirchheim+bei+M&#252;nchen&amp;destination=48.19899998691852,11.97423267615872&amp;travelmode=car" TargetMode="External"/><Relationship Id="rId1478" Type="http://schemas.openxmlformats.org/officeDocument/2006/relationships/hyperlink" Target="https://www.google.com/maps/dir/?api=1&amp;origin=Gymnasium+Kirchheim,+Heimstettner+Str.+3,+85551+Kirchheim+bei+M&#252;nchen&amp;destination=48.16075203595973,12.02040744491661&amp;travelmode=car" TargetMode="External"/><Relationship Id="rId1685" Type="http://schemas.openxmlformats.org/officeDocument/2006/relationships/hyperlink" Target="https://www.google.com/maps/dir/?api=1&amp;origin=Gymnasium+Kirchheim,+Heimstettner+Str.+3,+85551+Kirchheim+bei+M&#252;nchen&amp;destination=48.140608163657525,11.373923797311125&amp;travelmode=car" TargetMode="External"/><Relationship Id="rId1892" Type="http://schemas.openxmlformats.org/officeDocument/2006/relationships/hyperlink" Target="https://www.google.com/maps/dir/?api=1&amp;origin=Gymnasium+Kirchheim,+Heimstettner+Str.+3,+85551+Kirchheim+bei+M&#252;nchen&amp;destination=48.12447867349522,11.720262709205143&amp;travelmode=car" TargetMode="External"/><Relationship Id="rId2431" Type="http://schemas.openxmlformats.org/officeDocument/2006/relationships/hyperlink" Target="https://www.google.com/maps/dir/?api=1&amp;origin=Gymnasium+Kirchheim,+Heimstettner+Str.+3,+85551+Kirchheim+bei+M&#252;nchen&amp;destination=48.07827747641317,11.858793469207484&amp;travelmode=car" TargetMode="External"/><Relationship Id="rId2529" Type="http://schemas.openxmlformats.org/officeDocument/2006/relationships/hyperlink" Target="https://www.google.com/maps/dir/?api=1&amp;origin=Gymnasium+Kirchheim,+Heimstettner+Str.+3,+85551+Kirchheim+bei+M&#252;nchen&amp;destination=48.07000188779703,11.97423267615872&amp;travelmode=car" TargetMode="External"/><Relationship Id="rId2736" Type="http://schemas.openxmlformats.org/officeDocument/2006/relationships/hyperlink" Target="https://www.google.com/maps/dir/?api=1&amp;origin=Gymnasium+Kirchheim,+Heimstettner+Str.+3,+85551+Kirchheim+bei+M&#252;nchen&amp;destination=48.04960845496359,11.316199693041677&amp;travelmode=car" TargetMode="External"/><Relationship Id="rId610" Type="http://schemas.openxmlformats.org/officeDocument/2006/relationships/hyperlink" Target="https://www.google.com/maps/dir/?api=1&amp;origin=Gymnasium+Kirchheim,+Heimstettner+Str.+3,+85551+Kirchheim+bei+M&#252;nchen&amp;destination=48.235506786110044,12.170471317116936&amp;travelmode=car" TargetMode="External"/><Relationship Id="rId708" Type="http://schemas.openxmlformats.org/officeDocument/2006/relationships/hyperlink" Target="https://www.google.com/maps/dir/?api=1&amp;origin=Gymnasium+Kirchheim,+Heimstettner+Str.+3,+85551+Kirchheim+bei+M&#252;nchen&amp;destination=48.224160715114735,11.27002033596574&amp;travelmode=car" TargetMode="External"/><Relationship Id="rId915" Type="http://schemas.openxmlformats.org/officeDocument/2006/relationships/hyperlink" Target="https://www.google.com/maps/dir/?api=1&amp;origin=Gymnasium+Kirchheim,+Heimstettner+Str.+3,+85551+Kirchheim+bei+M&#252;nchen&amp;destination=48.20830390658163,11.627907037470955&amp;travelmode=car" TargetMode="External"/><Relationship Id="rId1240" Type="http://schemas.openxmlformats.org/officeDocument/2006/relationships/hyperlink" Target="https://www.google.com/maps/dir/?api=1&amp;origin=Gymnasium+Kirchheim,+Heimstettner+Str.+3,+85551+Kirchheim+bei+M&#252;nchen&amp;destination=48.17860655408504,11.316199693041677&amp;travelmode=car" TargetMode="External"/><Relationship Id="rId1338" Type="http://schemas.openxmlformats.org/officeDocument/2006/relationships/hyperlink" Target="https://www.google.com/maps/dir/?api=1&amp;origin=Gymnasium+Kirchheim,+Heimstettner+Str.+3,+85551+Kirchheim+bei+M&#252;nchen&amp;destination=48.17087399816516,11.431647738327094&amp;travelmode=car" TargetMode="External"/><Relationship Id="rId1545" Type="http://schemas.openxmlformats.org/officeDocument/2006/relationships/hyperlink" Target="https://www.google.com/maps/dir/?api=1&amp;origin=Gymnasium+Kirchheim,+Heimstettner+Str.+3,+85551+Kirchheim+bei+M&#252;nchen&amp;destination=48.1545157355187,11.789528545213775&amp;travelmode=car" TargetMode="External"/><Relationship Id="rId2943" Type="http://schemas.openxmlformats.org/officeDocument/2006/relationships/hyperlink" Target="https://www.google.com/maps/dir/?api=1&amp;origin=Gymnasium+Kirchheim,+Heimstettner+Str.+3,+85551+Kirchheim+bei+M&#252;nchen&amp;destination=48.03360837228917,11.67408503422851&amp;travelmode=car" TargetMode="External"/><Relationship Id="rId1100" Type="http://schemas.openxmlformats.org/officeDocument/2006/relationships/hyperlink" Target="https://www.google.com/maps/dir/?api=1&amp;origin=Gymnasium+Kirchheim,+Heimstettner+Str.+3,+85551+Kirchheim+bei+M&#252;nchen&amp;destination=48.19272210122047,11.731807073753979&amp;travelmode=car" TargetMode="External"/><Relationship Id="rId1405" Type="http://schemas.openxmlformats.org/officeDocument/2006/relationships/hyperlink" Target="https://www.google.com/maps/dir/?api=1&amp;origin=Gymnasium+Kirchheim,+Heimstettner+Str.+3,+85551+Kirchheim+bei+M&#252;nchen&amp;destination=48.166925993004824,12.205100461762754&amp;travelmode=car" TargetMode="External"/><Relationship Id="rId1752" Type="http://schemas.openxmlformats.org/officeDocument/2006/relationships/hyperlink" Target="https://www.google.com/maps/dir/?api=1&amp;origin=Gymnasium+Kirchheim,+Heimstettner+Str.+3,+85551+Kirchheim+bei+M&#252;nchen&amp;destination=48.13704719311788,12.147385007013046&amp;travelmode=car" TargetMode="External"/><Relationship Id="rId2803" Type="http://schemas.openxmlformats.org/officeDocument/2006/relationships/hyperlink" Target="https://www.google.com/maps/dir/?api=1&amp;origin=Gymnasium+Kirchheim,+Heimstettner+Str.+3,+85551+Kirchheim+bei+M&#252;nchen&amp;destination=48.04634787397046,12.101211892775435&amp;travelmode=car" TargetMode="External"/><Relationship Id="rId44" Type="http://schemas.openxmlformats.org/officeDocument/2006/relationships/hyperlink" Target="https://www.google.com/maps/dir/?api=1&amp;origin=Gymnasium+Kirchheim,+Heimstettner+Str.+3,+85551+Kirchheim+bei+M&#252;nchen&amp;destination=48.28377958295327,11.731807073753979&amp;travelmode=car" TargetMode="External"/><Relationship Id="rId1612" Type="http://schemas.openxmlformats.org/officeDocument/2006/relationships/hyperlink" Target="https://www.google.com/maps/dir/?api=1&amp;origin=Gymnasium+Kirchheim,+Heimstettner+Str.+3,+85551+Kirchheim+bei+M&#252;nchen&amp;destination=48.147849650638015,11.547094869402834&amp;travelmode=car" TargetMode="External"/><Relationship Id="rId1917" Type="http://schemas.openxmlformats.org/officeDocument/2006/relationships/hyperlink" Target="https://www.google.com/maps/dir/?api=1&amp;origin=Gymnasium+Kirchheim,+Heimstettner+Str.+3,+85551+Kirchheim+bei+M&#252;nchen&amp;destination=48.12281141857106,12.02040744491661&amp;travelmode=car" TargetMode="External"/><Relationship Id="rId3065" Type="http://schemas.openxmlformats.org/officeDocument/2006/relationships/hyperlink" Target="https://www.google.com/maps/dir/?api=1&amp;origin=Gymnasium+Kirchheim,+Heimstettner+Str.+3,+85551+Kirchheim+bei+M&#252;nchen&amp;destination=48.02383999611509,12.066581641260367&amp;travelmode=car" TargetMode="External"/><Relationship Id="rId3272" Type="http://schemas.openxmlformats.org/officeDocument/2006/relationships/hyperlink" Target="https://www.google.com/maps/dir/?api=1&amp;origin=Gymnasium+Kirchheim,+Heimstettner+Str.+3,+85551+Kirchheim+bei+M&#252;nchen&amp;destination=48.00397341176954,11.408558185690326&amp;travelmode=car" TargetMode="External"/><Relationship Id="rId193" Type="http://schemas.openxmlformats.org/officeDocument/2006/relationships/hyperlink" Target="https://www.google.com/maps/dir/?api=1&amp;origin=Gymnasium+Kirchheim,+Heimstettner+Str.+3,+85551+Kirchheim+bei+M&#252;nchen&amp;destination=48.26953924615748,11.420102966318577&amp;travelmode=car" TargetMode="External"/><Relationship Id="rId498" Type="http://schemas.openxmlformats.org/officeDocument/2006/relationships/hyperlink" Target="https://www.google.com/maps/dir/?api=1&amp;origin=Gymnasium+Kirchheim,+Heimstettner+Str.+3,+85551+Kirchheim+bei+M&#252;nchen&amp;destination=48.2450220839337,11.893425553951282&amp;travelmode=car" TargetMode="External"/><Relationship Id="rId2081" Type="http://schemas.openxmlformats.org/officeDocument/2006/relationships/hyperlink" Target="https://www.google.com/maps/dir/?api=1&amp;origin=Gymnasium+Kirchheim,+Heimstettner+Str.+3,+85551+Kirchheim+bei+M&#252;nchen&amp;destination=48.108501719637076,11.881881555040426&amp;travelmode=car" TargetMode="External"/><Relationship Id="rId2179" Type="http://schemas.openxmlformats.org/officeDocument/2006/relationships/hyperlink" Target="https://www.google.com/maps/dir/?api=1&amp;origin=Gymnasium+Kirchheim,+Heimstettner+Str.+3,+85551+Kirchheim+bei+M&#252;nchen&amp;destination=48.10012561439187,12.00886380508597&amp;travelmode=car" TargetMode="External"/><Relationship Id="rId3132" Type="http://schemas.openxmlformats.org/officeDocument/2006/relationships/hyperlink" Target="https://www.google.com/maps/dir/?api=1&amp;origin=Gymnasium+Kirchheim,+Heimstettner+Str.+3,+85551+Kirchheim+bei+M&#252;nchen&amp;destination=48.017756199744554,11.824161128262173&amp;travelmode=car" TargetMode="External"/><Relationship Id="rId3577" Type="http://schemas.openxmlformats.org/officeDocument/2006/relationships/hyperlink" Target="https://www.google.com/maps/dir/?api=1&amp;origin=Gymnasium+Kirchheim,+Heimstettner+Str.+3,+85551+Kirchheim+bei+M&#252;nchen&amp;destination=47.97950362051562,11.881881555040426&amp;travelmode=car" TargetMode="External"/><Relationship Id="rId260" Type="http://schemas.openxmlformats.org/officeDocument/2006/relationships/hyperlink" Target="https://www.google.com/maps/dir/?api=1&amp;origin=Gymnasium+Kirchheim,+Heimstettner+Str.+3,+85551+Kirchheim+bei+M&#252;nchen&amp;destination=48.265668647270104,12.193557456977898&amp;travelmode=car" TargetMode="External"/><Relationship Id="rId2386" Type="http://schemas.openxmlformats.org/officeDocument/2006/relationships/hyperlink" Target="https://www.google.com/maps/dir/?api=1&amp;origin=Gymnasium+Kirchheim,+Heimstettner+Str.+3,+85551+Kirchheim+bei+M&#252;nchen&amp;destination=48.07995170518274,11.327744523821421&amp;travelmode=car" TargetMode="External"/><Relationship Id="rId2593" Type="http://schemas.openxmlformats.org/officeDocument/2006/relationships/hyperlink" Target="https://www.google.com/maps/dir/?api=1&amp;origin=Gymnasium+Kirchheim,+Heimstettner+Str.+3,+85551+Kirchheim+bei+M&#252;nchen&amp;destination=48.063869586699035,11.69717391402856&amp;travelmode=car" TargetMode="External"/><Relationship Id="rId3437" Type="http://schemas.openxmlformats.org/officeDocument/2006/relationships/hyperlink" Target="https://www.google.com/maps/dir/?api=1&amp;origin=Gymnasium+Kirchheim,+Heimstettner+Str.+3,+85551+Kirchheim+bei+M&#252;nchen&amp;destination=47.98892426545594,11.281565179283442&amp;travelmode=car" TargetMode="External"/><Relationship Id="rId120" Type="http://schemas.openxmlformats.org/officeDocument/2006/relationships/hyperlink" Target="https://www.google.com/maps/dir/?api=1&amp;origin=Gymnasium+Kirchheim,+Heimstettner+Str.+3,+85551+Kirchheim+bei+M&#252;nchen&amp;destination=48.276711406886015,11.593273348842407&amp;travelmode=car" TargetMode="External"/><Relationship Id="rId358" Type="http://schemas.openxmlformats.org/officeDocument/2006/relationships/hyperlink" Target="https://www.google.com/maps/dir/?api=1&amp;origin=Gymnasium+Kirchheim,+Heimstettner+Str.+3,+85551+Kirchheim+bei+M&#252;nchen&amp;destination=48.25450280986604,11.293110020250275&amp;travelmode=car" TargetMode="External"/><Relationship Id="rId565" Type="http://schemas.openxmlformats.org/officeDocument/2006/relationships/hyperlink" Target="https://www.google.com/maps/dir/?api=1&amp;origin=Gymnasium+Kirchheim,+Heimstettner+Str.+3,+85551+Kirchheim+bei+M&#252;nchen&amp;destination=48.238574364133115,11.650996073983201&amp;travelmode=car" TargetMode="External"/><Relationship Id="rId772" Type="http://schemas.openxmlformats.org/officeDocument/2006/relationships/hyperlink" Target="https://www.google.com/maps/dir/?api=1&amp;origin=Gymnasium+Kirchheim,+Heimstettner+Str.+3,+85551+Kirchheim+bei+M&#252;nchen&amp;destination=48.22153559003561,12.00886380508597&amp;travelmode=car" TargetMode="External"/><Relationship Id="rId1195" Type="http://schemas.openxmlformats.org/officeDocument/2006/relationships/hyperlink" Target="https://www.google.com/maps/dir/?api=1&amp;origin=Gymnasium+Kirchheim,+Heimstettner+Str.+3,+85551+Kirchheim+bei+M&#252;nchen&amp;destination=48.18475384265072,11.81261696011681&amp;travelmode=car" TargetMode="External"/><Relationship Id="rId2039" Type="http://schemas.openxmlformats.org/officeDocument/2006/relationships/hyperlink" Target="https://www.google.com/maps/dir/?api=1&amp;origin=Gymnasium+Kirchheim,+Heimstettner+Str.+3,+85551+Kirchheim+bei+M&#252;nchen&amp;destination=48.110207140457824,11.408558185690326&amp;travelmode=car" TargetMode="External"/><Relationship Id="rId2246" Type="http://schemas.openxmlformats.org/officeDocument/2006/relationships/hyperlink" Target="https://www.google.com/maps/dir/?api=1&amp;origin=Gymnasium+Kirchheim,+Heimstettner+Str.+3,+85551+Kirchheim+bei+M&#252;nchen&amp;destination=48.09397366275959,11.754895734161472&amp;travelmode=car" TargetMode="External"/><Relationship Id="rId2453" Type="http://schemas.openxmlformats.org/officeDocument/2006/relationships/hyperlink" Target="https://www.google.com/maps/dir/?api=1&amp;origin=Gymnasium+Kirchheim,+Heimstettner+Str.+3,+85551+Kirchheim+bei+M&#252;nchen&amp;destination=48.07661255998587,12.112755231783899&amp;travelmode=car" TargetMode="External"/><Relationship Id="rId2660" Type="http://schemas.openxmlformats.org/officeDocument/2006/relationships/hyperlink" Target="https://www.google.com/maps/dir/?api=1&amp;origin=Gymnasium+Kirchheim,+Heimstettner+Str.+3,+85551+Kirchheim+bei+M&#252;nchen&amp;destination=48.05700939409535,11.454737254395377&amp;travelmode=car" TargetMode="External"/><Relationship Id="rId2898" Type="http://schemas.openxmlformats.org/officeDocument/2006/relationships/hyperlink" Target="https://www.google.com/maps/dir/?api=1&amp;origin=Gymnasium+Kirchheim,+Heimstettner+Str.+3,+85551+Kirchheim+bei+M&#252;nchen&amp;destination=48.03830915936873,12.158928183084447&amp;travelmode=car" TargetMode="External"/><Relationship Id="rId3504" Type="http://schemas.openxmlformats.org/officeDocument/2006/relationships/hyperlink" Target="https://www.google.com/maps/dir/?api=1&amp;origin=Gymnasium+Kirchheim,+Heimstettner+Str.+3,+85551+Kirchheim+bei+M&#252;nchen&amp;destination=47.98598256585829,12.055038147665204&amp;travelmode=car" TargetMode="External"/><Relationship Id="rId218" Type="http://schemas.openxmlformats.org/officeDocument/2006/relationships/hyperlink" Target="https://www.google.com/maps/dir/?api=1&amp;origin=Gymnasium+Kirchheim,+Heimstettner+Str.+3,+85551+Kirchheim+bei+M&#252;nchen&amp;destination=48.268701547773546,11.708718322455919&amp;travelmode=car" TargetMode="External"/><Relationship Id="rId425" Type="http://schemas.openxmlformats.org/officeDocument/2006/relationships/hyperlink" Target="https://www.google.com/maps/dir/?api=1&amp;origin=Gymnasium+Kirchheim,+Heimstettner+Str.+3,+85551+Kirchheim+bei+M&#252;nchen&amp;destination=48.25148370044711,12.066581641260367&amp;travelmode=car" TargetMode="External"/><Relationship Id="rId632" Type="http://schemas.openxmlformats.org/officeDocument/2006/relationships/hyperlink" Target="https://www.google.com/maps/dir/?api=1&amp;origin=Gymnasium+Kirchheim,+Heimstettner+Str.+3,+85551+Kirchheim+bei+M&#252;nchen&amp;destination=48.23161711610157,11.408558185690326&amp;travelmode=car" TargetMode="External"/><Relationship Id="rId1055" Type="http://schemas.openxmlformats.org/officeDocument/2006/relationships/hyperlink" Target="https://www.google.com/maps/dir/?api=1&amp;origin=Gymnasium+Kirchheim,+Heimstettner+Str.+3,+85551+Kirchheim+bei+M&#252;nchen&amp;destination=48.19708092348932,12.228186338432307&amp;travelmode=car" TargetMode="External"/><Relationship Id="rId1262" Type="http://schemas.openxmlformats.org/officeDocument/2006/relationships/hyperlink" Target="https://www.google.com/maps/dir/?api=1&amp;origin=Gymnasium+Kirchheim,+Heimstettner+Str.+3,+85551+Kirchheim+bei+M&#252;nchen&amp;destination=48.178136283950884,11.570184139943638&amp;travelmode=car" TargetMode="External"/><Relationship Id="rId2106" Type="http://schemas.openxmlformats.org/officeDocument/2006/relationships/hyperlink" Target="https://www.google.com/maps/dir/?api=1&amp;origin=Gymnasium+Kirchheim,+Heimstettner+Str.+3,+85551+Kirchheim+bei+M&#252;nchen&amp;destination=48.10650868698857,12.170471317116936&amp;travelmode=car" TargetMode="External"/><Relationship Id="rId2313" Type="http://schemas.openxmlformats.org/officeDocument/2006/relationships/hyperlink" Target="https://www.google.com/maps/dir/?api=1&amp;origin=Gymnasium+Kirchheim,+Heimstettner+Str.+3,+85551+Kirchheim+bei+M&#252;nchen&amp;destination=48.087234788019146,11.512460857153851&amp;travelmode=car" TargetMode="External"/><Relationship Id="rId2520" Type="http://schemas.openxmlformats.org/officeDocument/2006/relationships/hyperlink" Target="https://www.google.com/maps/dir/?api=1&amp;origin=Gymnasium+Kirchheim,+Heimstettner+Str.+3,+85551+Kirchheim+bei+M&#252;nchen&amp;destination=48.07062580524679,11.870337526618448&amp;travelmode=car" TargetMode="External"/><Relationship Id="rId2758" Type="http://schemas.openxmlformats.org/officeDocument/2006/relationships/hyperlink" Target="https://www.google.com/maps/dir/?api=1&amp;origin=Gymnasium+Kirchheim,+Heimstettner+Str.+3,+85551+Kirchheim+bei+M&#252;nchen&amp;destination=48.04913818482942,11.570184139943638&amp;travelmode=car" TargetMode="External"/><Relationship Id="rId2965" Type="http://schemas.openxmlformats.org/officeDocument/2006/relationships/hyperlink" Target="https://www.google.com/maps/dir/?api=1&amp;origin=Gymnasium+Kirchheim,+Heimstettner+Str.+3,+85551+Kirchheim+bei+M&#252;nchen&amp;destination=48.0323501198811,11.928057368395926&amp;travelmode=car" TargetMode="External"/><Relationship Id="rId937" Type="http://schemas.openxmlformats.org/officeDocument/2006/relationships/hyperlink" Target="https://www.google.com/maps/dir/?api=1&amp;origin=Gymnasium+Kirchheim,+Heimstettner+Str.+3,+85551+Kirchheim+bei+M&#252;nchen&amp;destination=48.20714732484761,11.881881555040426&amp;travelmode=car" TargetMode="External"/><Relationship Id="rId1122" Type="http://schemas.openxmlformats.org/officeDocument/2006/relationships/hyperlink" Target="https://www.google.com/maps/dir/?api=1&amp;origin=Gymnasium+Kirchheim,+Heimstettner+Str.+3,+85551+Kirchheim+bei+M&#252;nchen&amp;destination=48.19133676291633,11.985776420185003&amp;travelmode=car" TargetMode="External"/><Relationship Id="rId1567" Type="http://schemas.openxmlformats.org/officeDocument/2006/relationships/hyperlink" Target="https://www.google.com/maps/dir/?api=1&amp;origin=Gymnasium+Kirchheim,+Heimstettner+Str.+3,+85551+Kirchheim+bei+M&#252;nchen&amp;destination=48.153003314291304,12.043494616728212&amp;travelmode=car" TargetMode="External"/><Relationship Id="rId1774" Type="http://schemas.openxmlformats.org/officeDocument/2006/relationships/hyperlink" Target="https://www.google.com/maps/dir/?api=1&amp;origin=Gymnasium+Kirchheim,+Heimstettner+Str.+3,+85551+Kirchheim+bei+M&#252;nchen&amp;destination=48.133005019203225,11.385468600664204&amp;travelmode=car" TargetMode="External"/><Relationship Id="rId1981" Type="http://schemas.openxmlformats.org/officeDocument/2006/relationships/hyperlink" Target="https://www.google.com/maps/dir/?api=1&amp;origin=Gymnasium+Kirchheim,+Heimstettner+Str.+3,+85551+Kirchheim+bei+M&#252;nchen&amp;destination=48.11679002750012,11.743351415580166&amp;travelmode=car" TargetMode="External"/><Relationship Id="rId2618" Type="http://schemas.openxmlformats.org/officeDocument/2006/relationships/hyperlink" Target="https://www.google.com/maps/dir/?api=1&amp;origin=Gymnasium+Kirchheim,+Heimstettner+Str.+3,+85551+Kirchheim+bei+M&#252;nchen&amp;destination=48.062338663794854,11.985776420185003&amp;travelmode=car" TargetMode="External"/><Relationship Id="rId2825" Type="http://schemas.openxmlformats.org/officeDocument/2006/relationships/hyperlink" Target="https://www.google.com/maps/dir/?api=1&amp;origin=Gymnasium+Kirchheim,+Heimstettner+Str.+3,+85551+Kirchheim+bei+M&#252;nchen&amp;destination=48.04201108779407,11.327744523821421&amp;travelmode=car" TargetMode="External"/><Relationship Id="rId66" Type="http://schemas.openxmlformats.org/officeDocument/2006/relationships/hyperlink" Target="https://www.google.com/maps/dir/?api=1&amp;origin=Gymnasium+Kirchheim,+Heimstettner+Str.+3,+85551+Kirchheim+bei+M&#252;nchen&amp;destination=48.28239424464913,11.985776420185003&amp;travelmode=car" TargetMode="External"/><Relationship Id="rId1427" Type="http://schemas.openxmlformats.org/officeDocument/2006/relationships/hyperlink" Target="https://www.google.com/maps/dir/?api=1&amp;origin=Gymnasium+Kirchheim,+Heimstettner+Str.+3,+85551+Kirchheim+bei+M&#252;nchen&amp;destination=48.1632650764583,11.44319250119349&amp;travelmode=car" TargetMode="External"/><Relationship Id="rId1634" Type="http://schemas.openxmlformats.org/officeDocument/2006/relationships/hyperlink" Target="https://www.google.com/maps/dir/?api=1&amp;origin=Gymnasium+Kirchheim,+Heimstettner+Str.+3,+85551+Kirchheim+bei+M&#252;nchen&amp;destination=48.146870996322015,11.801072765593279&amp;travelmode=car" TargetMode="External"/><Relationship Id="rId1841" Type="http://schemas.openxmlformats.org/officeDocument/2006/relationships/hyperlink" Target="https://www.google.com/maps/dir/?api=1&amp;origin=Gymnasium+Kirchheim,+Heimstettner+Str.+3,+85551+Kirchheim+bei+M&#252;nchen&amp;destination=48.12936664110154,12.158928183084447&amp;travelmode=car" TargetMode="External"/><Relationship Id="rId3087" Type="http://schemas.openxmlformats.org/officeDocument/2006/relationships/hyperlink" Target="https://www.google.com/maps/dir/?api=1&amp;origin=Gymnasium+Kirchheim,+Heimstettner+Str.+3,+85551+Kirchheim+bei+M&#252;nchen&amp;destination=48.01925596105266,11.316199693041677&amp;travelmode=car" TargetMode="External"/><Relationship Id="rId3294" Type="http://schemas.openxmlformats.org/officeDocument/2006/relationships/hyperlink" Target="https://www.google.com/maps/dir/?api=1&amp;origin=Gymnasium+Kirchheim,+Heimstettner+Str.+3,+85551+Kirchheim+bei+M&#252;nchen&amp;destination=48.00334253632337,11.650996073983201&amp;travelmode=car" TargetMode="External"/><Relationship Id="rId1939" Type="http://schemas.openxmlformats.org/officeDocument/2006/relationships/hyperlink" Target="https://www.google.com/maps/dir/?api=1&amp;origin=Gymnasium+Kirchheim,+Heimstettner+Str.+3,+85551+Kirchheim+bei+M&#252;nchen&amp;destination=48.117930452813624,11.258475490819581&amp;travelmode=car" TargetMode="External"/><Relationship Id="rId3599" Type="http://schemas.openxmlformats.org/officeDocument/2006/relationships/hyperlink" Target="https://www.google.com/maps/dir/?api=1&amp;origin=Gymnasium+Kirchheim,+Heimstettner+Str.+3,+85551+Kirchheim+bei+M&#252;nchen&amp;destination=47.97778787347495,12.135841789424584&amp;travelmode=car" TargetMode="External"/><Relationship Id="rId1701" Type="http://schemas.openxmlformats.org/officeDocument/2006/relationships/hyperlink" Target="https://www.google.com/maps/dir/?api=1&amp;origin=Gymnasium+Kirchheim,+Heimstettner+Str.+3,+85551+Kirchheim+bei+M&#252;nchen&amp;destination=48.140229174572355,11.55863951211732&amp;travelmode=car" TargetMode="External"/><Relationship Id="rId3154" Type="http://schemas.openxmlformats.org/officeDocument/2006/relationships/hyperlink" Target="https://www.google.com/maps/dir/?api=1&amp;origin=Gymnasium+Kirchheim,+Heimstettner+Str.+3,+85551+Kirchheim+bei+M&#252;nchen&amp;destination=48.01616753030359,12.078125096991752&amp;travelmode=car" TargetMode="External"/><Relationship Id="rId3361" Type="http://schemas.openxmlformats.org/officeDocument/2006/relationships/hyperlink" Target="https://www.google.com/maps/dir/?api=1&amp;origin=Gymnasium+Kirchheim,+Heimstettner+Str.+3,+85551+Kirchheim+bei+M&#252;nchen&amp;destination=47.996366800959066,11.420102966318577&amp;travelmode=car" TargetMode="External"/><Relationship Id="rId3459" Type="http://schemas.openxmlformats.org/officeDocument/2006/relationships/hyperlink" Target="https://www.google.com/maps/dir/?api=1&amp;origin=Gymnasium+Kirchheim,+Heimstettner+Str.+3,+85551+Kirchheim+bei+M&#252;nchen&amp;destination=47.988530254768506,11.535550212322528&amp;travelmode=car" TargetMode="External"/><Relationship Id="rId282" Type="http://schemas.openxmlformats.org/officeDocument/2006/relationships/hyperlink" Target="https://www.google.com/maps/dir/?api=1&amp;origin=Gymnasium+Kirchheim,+Heimstettner+Str.+3,+85551+Kirchheim+bei+M&#252;nchen&amp;destination=48.26193147989797,11.431647738327094&amp;travelmode=car" TargetMode="External"/><Relationship Id="rId587" Type="http://schemas.openxmlformats.org/officeDocument/2006/relationships/hyperlink" Target="https://www.google.com/maps/dir/?api=1&amp;origin=Gymnasium+Kirchheim,+Heimstettner+Str.+3,+85551+Kirchheim+bei+M&#252;nchen&amp;destination=48.237366946854785,11.90496952282889&amp;travelmode=car" TargetMode="External"/><Relationship Id="rId2170" Type="http://schemas.openxmlformats.org/officeDocument/2006/relationships/hyperlink" Target="https://www.google.com/maps/dir/?api=1&amp;origin=Gymnasium+Kirchheim,+Heimstettner+Str.+3,+85551+Kirchheim+bei+M&#252;nchen&amp;destination=48.10084773785675,11.893425553951282&amp;travelmode=car" TargetMode="External"/><Relationship Id="rId2268" Type="http://schemas.openxmlformats.org/officeDocument/2006/relationships/hyperlink" Target="https://www.google.com/maps/dir/?api=1&amp;origin=Gymnasium+Kirchheim,+Heimstettner+Str.+3,+85551+Kirchheim+bei+M&#252;nchen&amp;destination=48.09253749091413,12.00886380508597&amp;travelmode=car" TargetMode="External"/><Relationship Id="rId3014" Type="http://schemas.openxmlformats.org/officeDocument/2006/relationships/hyperlink" Target="https://www.google.com/maps/dir/?api=1&amp;origin=Gymnasium+Kirchheim,+Heimstettner+Str.+3,+85551+Kirchheim+bei+M&#252;nchen&amp;destination=48.026609526506086,11.477826729716085&amp;travelmode=car" TargetMode="External"/><Relationship Id="rId3221" Type="http://schemas.openxmlformats.org/officeDocument/2006/relationships/hyperlink" Target="https://www.google.com/maps/dir/?api=1&amp;origin=Gymnasium+Kirchheim,+Heimstettner+Str.+3,+85551+Kirchheim+bei+M&#252;nchen&amp;destination=48.010107994539815,11.835705269507187&amp;travelmode=car" TargetMode="External"/><Relationship Id="rId3319" Type="http://schemas.openxmlformats.org/officeDocument/2006/relationships/hyperlink" Target="https://www.google.com/maps/dir/?api=1&amp;origin=Gymnasium+Kirchheim,+Heimstettner+Str.+3,+85551+Kirchheim+bei+M&#252;nchen&amp;destination=48.00185551177136,11.95114508756474&amp;travelmode=car" TargetMode="External"/><Relationship Id="rId8" Type="http://schemas.openxmlformats.org/officeDocument/2006/relationships/hyperlink" Target="https://www.google.com/maps/dir/?api=1&amp;origin=Gymnasium+Kirchheim,+Heimstettner+Str.+3,+85551+Kirchheim+bei+M&#252;nchen&amp;destination=48.28484028277332,11.316199693041677&amp;travelmode=car" TargetMode="External"/><Relationship Id="rId142" Type="http://schemas.openxmlformats.org/officeDocument/2006/relationships/hyperlink" Target="https://www.google.com/maps/dir/?api=1&amp;origin=Gymnasium+Kirchheim,+Heimstettner+Str.+3,+85551+Kirchheim+bei+M&#252;nchen&amp;destination=48.27563107920766,11.847249383329679&amp;travelmode=car" TargetMode="External"/><Relationship Id="rId447" Type="http://schemas.openxmlformats.org/officeDocument/2006/relationships/hyperlink" Target="https://www.google.com/maps/dir/?api=1&amp;origin=Gymnasium+Kirchheim,+Heimstettner+Str.+3,+85551+Kirchheim+bei+M&#252;nchen&amp;destination=48.246907753616696,11.304654858343824&amp;travelmode=car" TargetMode="External"/><Relationship Id="rId794" Type="http://schemas.openxmlformats.org/officeDocument/2006/relationships/hyperlink" Target="https://www.google.com/maps/dir/?api=1&amp;origin=Gymnasium+Kirchheim,+Heimstettner+Str.+3,+85551+Kirchheim+bei+M&#252;nchen&amp;destination=48.21657952441159,11.235385797131558&amp;travelmode=car" TargetMode="External"/><Relationship Id="rId1077" Type="http://schemas.openxmlformats.org/officeDocument/2006/relationships/hyperlink" Target="https://www.google.com/maps/dir/?api=1&amp;origin=Gymnasium+Kirchheim,+Heimstettner+Str.+3,+85551+Kirchheim+bei+M&#252;nchen&amp;destination=48.193572507576235,11.466281997410366&amp;travelmode=car" TargetMode="External"/><Relationship Id="rId2030" Type="http://schemas.openxmlformats.org/officeDocument/2006/relationships/hyperlink" Target="https://www.google.com/maps/dir/?api=1&amp;origin=Gymnasium+Kirchheim,+Heimstettner+Str.+3,+85551+Kirchheim+bei+M&#252;nchen&amp;destination=48.11032846378908,11.293110020250275&amp;travelmode=car" TargetMode="External"/><Relationship Id="rId2128" Type="http://schemas.openxmlformats.org/officeDocument/2006/relationships/hyperlink" Target="https://www.google.com/maps/dir/?api=1&amp;origin=Gymnasium+Kirchheim,+Heimstettner+Str.+3,+85551+Kirchheim+bei+M&#252;nchen&amp;destination=48.1026190169801,11.408558185690326&amp;travelmode=car" TargetMode="External"/><Relationship Id="rId2475" Type="http://schemas.openxmlformats.org/officeDocument/2006/relationships/hyperlink" Target="https://www.google.com/maps/dir/?api=1&amp;origin=Gymnasium+Kirchheim,+Heimstettner+Str.+3,+85551+Kirchheim+bei+M&#252;nchen&amp;destination=48.07234162794553,11.350834171536942&amp;travelmode=car" TargetMode="External"/><Relationship Id="rId2682" Type="http://schemas.openxmlformats.org/officeDocument/2006/relationships/hyperlink" Target="https://www.google.com/maps/dir/?api=1&amp;origin=Gymnasium+Kirchheim,+Heimstettner+Str.+3,+85551+Kirchheim+bei+M&#252;nchen&amp;destination=48.05623409039699,11.708718322455919&amp;travelmode=car" TargetMode="External"/><Relationship Id="rId2987" Type="http://schemas.openxmlformats.org/officeDocument/2006/relationships/hyperlink" Target="https://www.google.com/maps/dir/?api=1&amp;origin=Gymnasium+Kirchheim,+Heimstettner+Str.+3,+85551+Kirchheim+bei+M&#252;nchen&amp;destination=48.03043681946036,12.193557456977898&amp;travelmode=car" TargetMode="External"/><Relationship Id="rId3526" Type="http://schemas.openxmlformats.org/officeDocument/2006/relationships/hyperlink" Target="https://www.google.com/maps/dir/?api=1&amp;origin=Gymnasium+Kirchheim,+Heimstettner+Str.+3,+85551+Kirchheim+bei+M&#252;nchen&amp;destination=47.98133036466763,11.293110020250275&amp;travelmode=car" TargetMode="External"/><Relationship Id="rId654" Type="http://schemas.openxmlformats.org/officeDocument/2006/relationships/hyperlink" Target="https://www.google.com/maps/dir/?api=1&amp;origin=Gymnasium+Kirchheim,+Heimstettner+Str.+3,+85551+Kirchheim+bei+M&#252;nchen&amp;destination=48.230943489379214,11.66254056390037&amp;travelmode=car" TargetMode="External"/><Relationship Id="rId861" Type="http://schemas.openxmlformats.org/officeDocument/2006/relationships/hyperlink" Target="https://www.google.com/maps/dir/?api=1&amp;origin=Gymnasium+Kirchheim,+Heimstettner+Str.+3,+85551+Kirchheim+bei+M&#252;nchen&amp;destination=48.21386890030386,12.02040744491661&amp;travelmode=car" TargetMode="External"/><Relationship Id="rId959" Type="http://schemas.openxmlformats.org/officeDocument/2006/relationships/hyperlink" Target="https://www.google.com/maps/dir/?api=1&amp;origin=Gymnasium+Kirchheim,+Heimstettner+Str.+3,+85551+Kirchheim+bei+M&#252;nchen&amp;destination=48.205340304417476,12.147385007013046&amp;travelmode=car" TargetMode="External"/><Relationship Id="rId1284" Type="http://schemas.openxmlformats.org/officeDocument/2006/relationships/hyperlink" Target="https://www.google.com/maps/dir/?api=1&amp;origin=Gymnasium+Kirchheim,+Heimstettner+Str.+3,+85551+Kirchheim+bei+M&#252;nchen&amp;destination=48.17710679277697,11.824161128262173&amp;travelmode=car" TargetMode="External"/><Relationship Id="rId1491" Type="http://schemas.openxmlformats.org/officeDocument/2006/relationships/hyperlink" Target="https://www.google.com/maps/dir/?api=1&amp;origin=Gymnasium+Kirchheim,+Heimstettner+Str.+3,+85551+Kirchheim+bei+M&#252;nchen&amp;destination=48.15953081251977,12.182014408588692&amp;travelmode=car" TargetMode="External"/><Relationship Id="rId1589" Type="http://schemas.openxmlformats.org/officeDocument/2006/relationships/hyperlink" Target="https://www.google.com/maps/dir/?api=1&amp;origin=Gymnasium+Kirchheim,+Heimstettner+Str.+3,+85551+Kirchheim+bei+M&#252;nchen&amp;destination=48.14827485848835,11.281565179283442&amp;travelmode=car" TargetMode="External"/><Relationship Id="rId2335" Type="http://schemas.openxmlformats.org/officeDocument/2006/relationships/hyperlink" Target="https://www.google.com/maps/dir/?api=1&amp;origin=Gymnasium+Kirchheim,+Heimstettner+Str.+3,+85551+Kirchheim+bei+M&#252;nchen&amp;destination=48.08633238961468,11.766440028975659&amp;travelmode=car" TargetMode="External"/><Relationship Id="rId2542" Type="http://schemas.openxmlformats.org/officeDocument/2006/relationships/hyperlink" Target="https://www.google.com/maps/dir/?api=1&amp;origin=Gymnasium+Kirchheim,+Heimstettner+Str.+3,+85551+Kirchheim+bei+M&#252;nchen&amp;destination=48.06893547344028,12.12429853084091&amp;travelmode=car" TargetMode="External"/><Relationship Id="rId307" Type="http://schemas.openxmlformats.org/officeDocument/2006/relationships/hyperlink" Target="https://www.google.com/maps/dir/?api=1&amp;origin=Gymnasium+Kirchheim,+Heimstettner+Str.+3,+85551+Kirchheim+bei+M&#252;nchen&amp;destination=48.26106489609443,11.720262709205143&amp;travelmode=car" TargetMode="External"/><Relationship Id="rId514" Type="http://schemas.openxmlformats.org/officeDocument/2006/relationships/hyperlink" Target="https://www.google.com/maps/dir/?api=1&amp;origin=Gymnasium+Kirchheim,+Heimstettner+Str.+3,+85551+Kirchheim+bei+M&#252;nchen&amp;destination=48.243811234635594,12.078125096991752&amp;travelmode=car" TargetMode="External"/><Relationship Id="rId721" Type="http://schemas.openxmlformats.org/officeDocument/2006/relationships/hyperlink" Target="https://www.google.com/maps/dir/?api=1&amp;origin=Gymnasium+Kirchheim,+Heimstettner+Str.+3,+85551+Kirchheim+bei+M&#252;nchen&amp;destination=48.224010505291076,11.420102966318577&amp;travelmode=car" TargetMode="External"/><Relationship Id="rId1144" Type="http://schemas.openxmlformats.org/officeDocument/2006/relationships/hyperlink" Target="https://www.google.com/maps/dir/?api=1&amp;origin=Gymnasium+Kirchheim,+Heimstettner+Str.+3,+85551+Kirchheim+bei+M&#252;nchen&amp;destination=48.18939228565681,12.239729209273484&amp;travelmode=car" TargetMode="External"/><Relationship Id="rId1351" Type="http://schemas.openxmlformats.org/officeDocument/2006/relationships/hyperlink" Target="https://www.google.com/maps/dir/?api=1&amp;origin=Gymnasium+Kirchheim,+Heimstettner+Str.+3,+85551+Kirchheim+bei+M&#252;nchen&amp;destination=48.17051349704364,11.581728752359444&amp;travelmode=car" TargetMode="External"/><Relationship Id="rId1449" Type="http://schemas.openxmlformats.org/officeDocument/2006/relationships/hyperlink" Target="https://www.google.com/maps/dir/?api=1&amp;origin=Gymnasium+Kirchheim,+Heimstettner+Str.+3,+85551+Kirchheim+bei+M&#252;nchen&amp;destination=48.16246781908528,11.708718322455919&amp;travelmode=car" TargetMode="External"/><Relationship Id="rId1796" Type="http://schemas.openxmlformats.org/officeDocument/2006/relationships/hyperlink" Target="https://www.google.com/maps/dir/?api=1&amp;origin=Gymnasium+Kirchheim,+Heimstettner+Str.+3,+85551+Kirchheim+bei+M&#252;nchen&amp;destination=48.13238223132458,11.639451564999296&amp;travelmode=car" TargetMode="External"/><Relationship Id="rId2402" Type="http://schemas.openxmlformats.org/officeDocument/2006/relationships/hyperlink" Target="https://www.google.com/maps/dir/?api=1&amp;origin=Gymnasium+Kirchheim,+Heimstettner+Str.+3,+85551+Kirchheim+bei+M&#252;nchen&amp;destination=48.079617778236475,11.524005541398747&amp;travelmode=car" TargetMode="External"/><Relationship Id="rId2847" Type="http://schemas.openxmlformats.org/officeDocument/2006/relationships/hyperlink" Target="https://www.google.com/maps/dir/?api=1&amp;origin=Gymnasium+Kirchheim,+Heimstettner+Str.+3,+85551+Kirchheim+bei+M&#252;nchen&amp;destination=48.041479579076274,11.593273348842407&amp;travelmode=car" TargetMode="External"/><Relationship Id="rId88" Type="http://schemas.openxmlformats.org/officeDocument/2006/relationships/hyperlink" Target="https://www.google.com/maps/dir/?api=1&amp;origin=Gymnasium+Kirchheim,+Heimstettner+Str.+3,+85551+Kirchheim+bei+M&#252;nchen&amp;destination=48.28044976738961,12.239729209273484&amp;travelmode=car" TargetMode="External"/><Relationship Id="rId819" Type="http://schemas.openxmlformats.org/officeDocument/2006/relationships/hyperlink" Target="https://www.google.com/maps/dir/?api=1&amp;origin=Gymnasium+Kirchheim,+Heimstettner+Str.+3,+85551+Kirchheim+bei+M&#252;nchen&amp;destination=48.21617395910051,11.535550212322528&amp;travelmode=car" TargetMode="External"/><Relationship Id="rId1004" Type="http://schemas.openxmlformats.org/officeDocument/2006/relationships/hyperlink" Target="https://www.google.com/maps/dir/?api=1&amp;origin=Gymnasium+Kirchheim,+Heimstettner+Str.+3,+85551+Kirchheim+bei+M&#252;nchen&amp;destination=48.2006753426242,11.639451564999296&amp;travelmode=car" TargetMode="External"/><Relationship Id="rId1211" Type="http://schemas.openxmlformats.org/officeDocument/2006/relationships/hyperlink" Target="https://www.google.com/maps/dir/?api=1&amp;origin=Gymnasium+Kirchheim,+Heimstettner+Str.+3,+85551+Kirchheim+bei+M&#252;nchen&amp;destination=48.18367238366438,11.997320130001427&amp;travelmode=car" TargetMode="External"/><Relationship Id="rId1656" Type="http://schemas.openxmlformats.org/officeDocument/2006/relationships/hyperlink" Target="https://www.google.com/maps/dir/?api=1&amp;origin=Gymnasium+Kirchheim,+Heimstettner+Str.+3,+85551+Kirchheim+bei+M&#252;nchen&amp;destination=48.1453331588907,12.055038147665204&amp;travelmode=car" TargetMode="External"/><Relationship Id="rId1863" Type="http://schemas.openxmlformats.org/officeDocument/2006/relationships/hyperlink" Target="https://www.google.com/maps/dir/?api=1&amp;origin=Gymnasium+Kirchheim,+Heimstettner+Str.+3,+85551+Kirchheim+bei+M&#252;nchen&amp;destination=48.12540071929545,11.397013396964736&amp;travelmode=car" TargetMode="External"/><Relationship Id="rId2707" Type="http://schemas.openxmlformats.org/officeDocument/2006/relationships/hyperlink" Target="https://www.google.com/maps/dir/?api=1&amp;origin=Gymnasium+Kirchheim,+Heimstettner+Str.+3,+85551+Kirchheim+bei+M&#252;nchen&amp;destination=48.05459687352547,12.00886380508597&amp;travelmode=car" TargetMode="External"/><Relationship Id="rId2914" Type="http://schemas.openxmlformats.org/officeDocument/2006/relationships/hyperlink" Target="https://www.google.com/maps/dir/?api=1&amp;origin=Gymnasium+Kirchheim,+Heimstettner+Str.+3,+85551+Kirchheim+bei+M&#252;nchen&amp;destination=48.03441256516564,11.339289350160644&amp;travelmode=car" TargetMode="External"/><Relationship Id="rId1309" Type="http://schemas.openxmlformats.org/officeDocument/2006/relationships/hyperlink" Target="https://www.google.com/maps/dir/?api=1&amp;origin=Gymnasium+Kirchheim,+Heimstettner+Str.+3,+85551+Kirchheim+bei+M&#252;nchen&amp;destination=48.17516920212855,12.12429853084091&amp;travelmode=car" TargetMode="External"/><Relationship Id="rId1516" Type="http://schemas.openxmlformats.org/officeDocument/2006/relationships/hyperlink" Target="https://www.google.com/maps/dir/?api=1&amp;origin=Gymnasium+Kirchheim,+Heimstettner+Str.+3,+85551+Kirchheim+bei+M&#252;nchen&amp;destination=48.155654999305895,11.454737254395377&amp;travelmode=car" TargetMode="External"/><Relationship Id="rId1723" Type="http://schemas.openxmlformats.org/officeDocument/2006/relationships/hyperlink" Target="https://www.google.com/maps/dir/?api=1&amp;origin=Gymnasium+Kirchheim,+Heimstettner+Str.+3,+85551+Kirchheim+bei+M&#252;nchen&amp;destination=48.1391661753883,11.824161128262173&amp;travelmode=car" TargetMode="External"/><Relationship Id="rId1930" Type="http://schemas.openxmlformats.org/officeDocument/2006/relationships/hyperlink" Target="https://www.google.com/maps/dir/?api=1&amp;origin=Gymnasium+Kirchheim,+Heimstettner+Str.+3,+85551+Kirchheim+bei+M&#252;nchen&amp;destination=48.121684933944046,12.170471317116936&amp;travelmode=car" TargetMode="External"/><Relationship Id="rId3176" Type="http://schemas.openxmlformats.org/officeDocument/2006/relationships/hyperlink" Target="https://www.google.com/maps/dir/?api=1&amp;origin=Gymnasium+Kirchheim,+Heimstettner+Str.+3,+85551+Kirchheim+bei+M&#252;nchen&amp;destination=48.011667837574905,11.316199693041677&amp;travelmode=car" TargetMode="External"/><Relationship Id="rId3383" Type="http://schemas.openxmlformats.org/officeDocument/2006/relationships/hyperlink" Target="https://www.google.com/maps/dir/?api=1&amp;origin=Gymnasium+Kirchheim,+Heimstettner+Str.+3,+85551+Kirchheim+bei+M&#252;nchen&amp;destination=47.995667754900495,11.67408503422851&amp;travelmode=car" TargetMode="External"/><Relationship Id="rId3590" Type="http://schemas.openxmlformats.org/officeDocument/2006/relationships/hyperlink" Target="https://www.google.com/maps/dir/?api=1&amp;origin=Gymnasium+Kirchheim,+Heimstettner+Str.+3,+85551+Kirchheim+bei+M&#252;nchen&amp;destination=47.97855735101029,12.031951048971356&amp;travelmode=car" TargetMode="External"/><Relationship Id="rId15" Type="http://schemas.openxmlformats.org/officeDocument/2006/relationships/hyperlink" Target="https://www.google.com/maps/dir/?api=1&amp;origin=Gymnasium+Kirchheim,+Heimstettner+Str.+3,+85551+Kirchheim+bei+M&#252;nchen&amp;destination=48.284751312327856,11.397013396964736&amp;travelmode=car" TargetMode="External"/><Relationship Id="rId2192" Type="http://schemas.openxmlformats.org/officeDocument/2006/relationships/hyperlink" Target="https://www.google.com/maps/dir/?api=1&amp;origin=Gymnasium+Kirchheim,+Heimstettner+Str.+3,+85551+Kirchheim+bei+M&#252;nchen&amp;destination=48.0991065757292,12.147385007013046&amp;travelmode=car" TargetMode="External"/><Relationship Id="rId3036" Type="http://schemas.openxmlformats.org/officeDocument/2006/relationships/hyperlink" Target="https://www.google.com/maps/dir/?api=1&amp;origin=Gymnasium+Kirchheim,+Heimstettner+Str.+3,+85551+Kirchheim+bei+M&#252;nchen&amp;destination=48.02578338471034,11.731807073753979&amp;travelmode=car" TargetMode="External"/><Relationship Id="rId3243" Type="http://schemas.openxmlformats.org/officeDocument/2006/relationships/hyperlink" Target="https://www.google.com/maps/dir/?api=1&amp;origin=Gymnasium+Kirchheim,+Heimstettner+Str.+3,+85551+Kirchheim+bei+M&#252;nchen&amp;destination=48.008493909297464,12.089668514337413&amp;travelmode=car" TargetMode="External"/><Relationship Id="rId164" Type="http://schemas.openxmlformats.org/officeDocument/2006/relationships/hyperlink" Target="https://www.google.com/maps/dir/?api=1&amp;origin=Gymnasium+Kirchheim,+Heimstettner+Str.+3,+85551+Kirchheim+bei+M&#252;nchen&amp;destination=48.27399157830248,12.101211892775435&amp;travelmode=car" TargetMode="External"/><Relationship Id="rId371" Type="http://schemas.openxmlformats.org/officeDocument/2006/relationships/hyperlink" Target="https://www.google.com/maps/dir/?api=1&amp;origin=Gymnasium+Kirchheim,+Heimstettner+Str.+3,+85551+Kirchheim+bei+M&#252;nchen&amp;destination=48.25432255819112,11.44319250119349&amp;travelmode=car" TargetMode="External"/><Relationship Id="rId2052" Type="http://schemas.openxmlformats.org/officeDocument/2006/relationships/hyperlink" Target="https://www.google.com/maps/dir/?api=1&amp;origin=Gymnasium+Kirchheim,+Heimstettner+Str.+3,+85551+Kirchheim+bei+M&#252;nchen&amp;destination=48.10990903324934,11.547094869402834&amp;travelmode=car" TargetMode="External"/><Relationship Id="rId2497" Type="http://schemas.openxmlformats.org/officeDocument/2006/relationships/hyperlink" Target="https://www.google.com/maps/dir/?api=1&amp;origin=Gymnasium+Kirchheim,+Heimstettner+Str.+3,+85551+Kirchheim+bei+M&#252;nchen&amp;destination=48.071795098727996,11.604817928870196&amp;travelmode=car" TargetMode="External"/><Relationship Id="rId3450" Type="http://schemas.openxmlformats.org/officeDocument/2006/relationships/hyperlink" Target="https://www.google.com/maps/dir/?api=1&amp;origin=Gymnasium+Kirchheim,+Heimstettner+Str.+3,+85551+Kirchheim+bei+M&#252;nchen&amp;destination=47.988759034699555,11.431647738327094&amp;travelmode=car" TargetMode="External"/><Relationship Id="rId3548" Type="http://schemas.openxmlformats.org/officeDocument/2006/relationships/hyperlink" Target="https://www.google.com/maps/dir/?api=1&amp;origin=Gymnasium+Kirchheim,+Heimstettner+Str.+3,+85551+Kirchheim+bei+M&#252;nchen&amp;destination=47.98091093412786,11.547094869402834&amp;travelmode=car" TargetMode="External"/><Relationship Id="rId469" Type="http://schemas.openxmlformats.org/officeDocument/2006/relationships/hyperlink" Target="https://www.google.com/maps/dir/?api=1&amp;origin=Gymnasium+Kirchheim,+Heimstettner+Str.+3,+85551+Kirchheim+bei+M&#252;nchen&amp;destination=48.24646290326064,11.55863951211732&amp;travelmode=car" TargetMode="External"/><Relationship Id="rId676" Type="http://schemas.openxmlformats.org/officeDocument/2006/relationships/hyperlink" Target="https://www.google.com/maps/dir/?api=1&amp;origin=Gymnasium+Kirchheim,+Heimstettner+Str.+3,+85551+Kirchheim+bei+M&#252;nchen&amp;destination=48.22971065448308,11.916513461151142&amp;travelmode=car" TargetMode="External"/><Relationship Id="rId883" Type="http://schemas.openxmlformats.org/officeDocument/2006/relationships/hyperlink" Target="https://www.google.com/maps/dir/?api=1&amp;origin=Gymnasium+Kirchheim,+Heimstettner+Str.+3,+85551+Kirchheim+bei+M&#252;nchen&amp;destination=48.20898793454642,11.258475490819581&amp;travelmode=car" TargetMode="External"/><Relationship Id="rId1099" Type="http://schemas.openxmlformats.org/officeDocument/2006/relationships/hyperlink" Target="https://www.google.com/maps/dir/?api=1&amp;origin=Gymnasium+Kirchheim,+Heimstettner+Str.+3,+85551+Kirchheim+bei+M&#252;nchen&amp;destination=48.19277178479483,11.720262709205143&amp;travelmode=car" TargetMode="External"/><Relationship Id="rId2357" Type="http://schemas.openxmlformats.org/officeDocument/2006/relationships/hyperlink" Target="https://www.google.com/maps/dir/?api=1&amp;origin=Gymnasium+Kirchheim,+Heimstettner+Str.+3,+85551+Kirchheim+bei+M&#252;nchen&amp;destination=48.0848708011824,12.02040744491661&amp;travelmode=car" TargetMode="External"/><Relationship Id="rId2564" Type="http://schemas.openxmlformats.org/officeDocument/2006/relationships/hyperlink" Target="https://www.google.com/maps/dir/?api=1&amp;origin=Gymnasium+Kirchheim,+Heimstettner+Str.+3,+85551+Kirchheim+bei+M&#252;nchen&amp;destination=48.06474079440197,11.362378987427904&amp;travelmode=car" TargetMode="External"/><Relationship Id="rId3103" Type="http://schemas.openxmlformats.org/officeDocument/2006/relationships/hyperlink" Target="https://www.google.com/maps/dir/?api=1&amp;origin=Gymnasium+Kirchheim,+Heimstettner+Str.+3,+85551+Kirchheim+bei+M&#252;nchen&amp;destination=48.01899598302873,11.489371450790154&amp;travelmode=car" TargetMode="External"/><Relationship Id="rId3310" Type="http://schemas.openxmlformats.org/officeDocument/2006/relationships/hyperlink" Target="https://www.google.com/maps/dir/?api=1&amp;origin=Gymnasium+Kirchheim,+Heimstettner+Str.+3,+85551+Kirchheim+bei+M&#252;nchen&amp;destination=48.002519871062084,11.835705269507187&amp;travelmode=car" TargetMode="External"/><Relationship Id="rId3408" Type="http://schemas.openxmlformats.org/officeDocument/2006/relationships/hyperlink" Target="https://www.google.com/maps/dir/?api=1&amp;origin=Gymnasium+Kirchheim,+Heimstettner+Str.+3,+85551+Kirchheim+bei+M&#252;nchen&amp;destination=47.99419459828794,11.962688898444616&amp;travelmode=car" TargetMode="External"/><Relationship Id="rId231" Type="http://schemas.openxmlformats.org/officeDocument/2006/relationships/hyperlink" Target="https://www.google.com/maps/dir/?api=1&amp;origin=Gymnasium+Kirchheim,+Heimstettner+Str.+3,+85551+Kirchheim+bei+M&#252;nchen&amp;destination=48.26798056335652,11.858793469207484&amp;travelmode=car" TargetMode="External"/><Relationship Id="rId329" Type="http://schemas.openxmlformats.org/officeDocument/2006/relationships/hyperlink" Target="https://www.google.com/maps/dir/?api=1&amp;origin=Gymnasium+Kirchheim,+Heimstettner+Str.+3,+85551+Kirchheim+bei+M&#252;nchen&amp;destination=48.25970497474038,11.97423267615872&amp;travelmode=car" TargetMode="External"/><Relationship Id="rId536" Type="http://schemas.openxmlformats.org/officeDocument/2006/relationships/hyperlink" Target="https://www.google.com/maps/dir/?api=1&amp;origin=Gymnasium+Kirchheim,+Heimstettner+Str.+3,+85551+Kirchheim+bei+M&#252;nchen&amp;destination=48.23931154190693,11.316199693041677&amp;travelmode=car" TargetMode="External"/><Relationship Id="rId1166" Type="http://schemas.openxmlformats.org/officeDocument/2006/relationships/hyperlink" Target="https://www.google.com/maps/dir/?api=1&amp;origin=Gymnasium+Kirchheim,+Heimstettner+Str.+3,+85551+Kirchheim+bei+M&#252;nchen&amp;destination=48.18596011953849,11.477826729716085&amp;travelmode=car" TargetMode="External"/><Relationship Id="rId1373" Type="http://schemas.openxmlformats.org/officeDocument/2006/relationships/hyperlink" Target="https://www.google.com/maps/dir/?api=1&amp;origin=Gymnasium+Kirchheim,+Heimstettner+Str.+3,+85551+Kirchheim+bei+M&#252;nchen&amp;destination=48.16945858757222,11.835705269507187&amp;travelmode=car" TargetMode="External"/><Relationship Id="rId2217" Type="http://schemas.openxmlformats.org/officeDocument/2006/relationships/hyperlink" Target="https://www.google.com/maps/dir/?api=1&amp;origin=Gymnasium+Kirchheim,+Heimstettner+Str.+3,+85551+Kirchheim+bei+M&#252;nchen&amp;destination=48.095012406169616,11.420102966318577&amp;travelmode=car" TargetMode="External"/><Relationship Id="rId2771" Type="http://schemas.openxmlformats.org/officeDocument/2006/relationships/hyperlink" Target="https://www.google.com/maps/dir/?api=1&amp;origin=Gymnasium+Kirchheim,+Heimstettner+Str.+3,+85551+Kirchheim+bei+M&#252;nchen&amp;destination=48.0485974387179,11.720262709205143&amp;travelmode=car" TargetMode="External"/><Relationship Id="rId2869" Type="http://schemas.openxmlformats.org/officeDocument/2006/relationships/hyperlink" Target="https://www.google.com/maps/dir/?api=1&amp;origin=Gymnasium+Kirchheim,+Heimstettner+Str.+3,+85551+Kirchheim+bei+M&#252;nchen&amp;destination=48.040460488450755,11.835705269507187&amp;travelmode=car" TargetMode="External"/><Relationship Id="rId743" Type="http://schemas.openxmlformats.org/officeDocument/2006/relationships/hyperlink" Target="https://www.google.com/maps/dir/?api=1&amp;origin=Gymnasium+Kirchheim,+Heimstettner+Str.+3,+85551+Kirchheim+bei+M&#252;nchen&amp;destination=48.22331145923252,11.67408503422851&amp;travelmode=car" TargetMode="External"/><Relationship Id="rId950" Type="http://schemas.openxmlformats.org/officeDocument/2006/relationships/hyperlink" Target="https://www.google.com/maps/dir/?api=1&amp;origin=Gymnasium+Kirchheim,+Heimstettner+Str.+3,+85551+Kirchheim+bei+M&#252;nchen&amp;destination=48.2062010553423,12.031951048971356&amp;travelmode=car" TargetMode="External"/><Relationship Id="rId1026" Type="http://schemas.openxmlformats.org/officeDocument/2006/relationships/hyperlink" Target="https://www.google.com/maps/dir/?api=1&amp;origin=Gymnasium+Kirchheim,+Heimstettner+Str.+3,+85551+Kirchheim+bei+M&#252;nchen&amp;destination=48.19949334306729,11.893425553951282&amp;travelmode=car" TargetMode="External"/><Relationship Id="rId1580" Type="http://schemas.openxmlformats.org/officeDocument/2006/relationships/hyperlink" Target="https://www.google.com/maps/dir/?api=1&amp;origin=Gymnasium+Kirchheim,+Heimstettner+Str.+3,+85551+Kirchheim+bei+M&#252;nchen&amp;destination=48.15184679510409,12.193557456977898&amp;travelmode=car" TargetMode="External"/><Relationship Id="rId1678" Type="http://schemas.openxmlformats.org/officeDocument/2006/relationships/hyperlink" Target="https://www.google.com/maps/dir/?api=1&amp;origin=Gymnasium+Kirchheim,+Heimstettner+Str.+3,+85551+Kirchheim+bei+M&#252;nchen&amp;destination=48.14068673501061,11.281565179283442&amp;travelmode=car" TargetMode="External"/><Relationship Id="rId1885" Type="http://schemas.openxmlformats.org/officeDocument/2006/relationships/hyperlink" Target="https://www.google.com/maps/dir/?api=1&amp;origin=Gymnasium+Kirchheim,+Heimstettner+Str.+3,+85551+Kirchheim+bei+M&#252;nchen&amp;destination=48.12475251196712,11.650996073983201&amp;travelmode=car" TargetMode="External"/><Relationship Id="rId2424" Type="http://schemas.openxmlformats.org/officeDocument/2006/relationships/hyperlink" Target="https://www.google.com/maps/dir/?api=1&amp;origin=Gymnasium+Kirchheim,+Heimstettner+Str.+3,+85551+Kirchheim+bei+M&#252;nchen&amp;destination=48.078689961114485,11.777984299500497&amp;travelmode=car" TargetMode="External"/><Relationship Id="rId2631" Type="http://schemas.openxmlformats.org/officeDocument/2006/relationships/hyperlink" Target="https://www.google.com/maps/dir/?api=1&amp;origin=Gymnasium+Kirchheim,+Heimstettner+Str.+3,+85551+Kirchheim+bei+M&#252;nchen&amp;destination=48.06116595834054,12.147385007013046&amp;travelmode=car" TargetMode="External"/><Relationship Id="rId2729" Type="http://schemas.openxmlformats.org/officeDocument/2006/relationships/hyperlink" Target="https://www.google.com/maps/dir/?api=1&amp;origin=Gymnasium+Kirchheim,+Heimstettner+Str.+3,+85551+Kirchheim+bei+M&#252;nchen&amp;destination=48.04964080790146,11.235385797131558&amp;travelmode=car" TargetMode="External"/><Relationship Id="rId2936" Type="http://schemas.openxmlformats.org/officeDocument/2006/relationships/hyperlink" Target="https://www.google.com/maps/dir/?api=1&amp;origin=Gymnasium+Kirchheim,+Heimstettner+Str.+3,+85551+Kirchheim+bei+M&#252;nchen&amp;destination=48.03389145559854,11.593273348842407&amp;travelmode=car" TargetMode="External"/><Relationship Id="rId603" Type="http://schemas.openxmlformats.org/officeDocument/2006/relationships/hyperlink" Target="https://www.google.com/maps/dir/?api=1&amp;origin=Gymnasium+Kirchheim,+Heimstettner+Str.+3,+85551+Kirchheim+bei+M&#252;nchen&amp;destination=48.236137613629474,12.089668514337413&amp;travelmode=car" TargetMode="External"/><Relationship Id="rId810" Type="http://schemas.openxmlformats.org/officeDocument/2006/relationships/hyperlink" Target="https://www.google.com/maps/dir/?api=1&amp;origin=Gymnasium+Kirchheim,+Heimstettner+Str.+3,+85551+Kirchheim+bei+M&#252;nchen&amp;destination=48.21640273903156,11.431647738327094&amp;travelmode=car" TargetMode="External"/><Relationship Id="rId908" Type="http://schemas.openxmlformats.org/officeDocument/2006/relationships/hyperlink" Target="https://www.google.com/maps/dir/?api=1&amp;origin=Gymnasium+Kirchheim,+Heimstettner+Str.+3,+85551+Kirchheim+bei+M&#252;nchen&amp;destination=48.20855463845987,11.547094869402834&amp;travelmode=car" TargetMode="External"/><Relationship Id="rId1233" Type="http://schemas.openxmlformats.org/officeDocument/2006/relationships/hyperlink" Target="https://www.google.com/maps/dir/?api=1&amp;origin=Gymnasium+Kirchheim,+Heimstettner+Str.+3,+85551+Kirchheim+bei+M&#252;nchen&amp;destination=48.178638907022936,11.235385797131558&amp;travelmode=car" TargetMode="External"/><Relationship Id="rId1440" Type="http://schemas.openxmlformats.org/officeDocument/2006/relationships/hyperlink" Target="https://www.google.com/maps/dir/?api=1&amp;origin=Gymnasium+Kirchheim,+Heimstettner+Str.+3,+85551+Kirchheim+bei+M&#252;nchen&amp;destination=48.16288955472001,11.593273348842407&amp;travelmode=car" TargetMode="External"/><Relationship Id="rId1538" Type="http://schemas.openxmlformats.org/officeDocument/2006/relationships/hyperlink" Target="https://www.google.com/maps/dir/?api=1&amp;origin=Gymnasium+Kirchheim,+Heimstettner+Str.+3,+85551+Kirchheim+bei+M&#252;nchen&amp;destination=48.15487969560754,11.708718322455919&amp;travelmode=car" TargetMode="External"/><Relationship Id="rId1300" Type="http://schemas.openxmlformats.org/officeDocument/2006/relationships/hyperlink" Target="https://www.google.com/maps/dir/?api=1&amp;origin=Gymnasium+Kirchheim,+Heimstettner+Str.+3,+85551+Kirchheim+bei+M&#252;nchen&amp;destination=48.17600684916921,12.00886380508597&amp;travelmode=car" TargetMode="External"/><Relationship Id="rId1745" Type="http://schemas.openxmlformats.org/officeDocument/2006/relationships/hyperlink" Target="https://www.google.com/maps/dir/?api=1&amp;origin=Gymnasium+Kirchheim,+Heimstettner+Str.+3,+85551+Kirchheim+bei+M&#252;nchen&amp;destination=48.13766184828109,12.066581641260367&amp;travelmode=car" TargetMode="External"/><Relationship Id="rId1952" Type="http://schemas.openxmlformats.org/officeDocument/2006/relationships/hyperlink" Target="https://www.google.com/maps/dir/?api=1&amp;origin=Gymnasium+Kirchheim,+Heimstettner+Str.+3,+85551+Kirchheim+bei+M&#252;nchen&amp;destination=48.11781259581771,11.397013396964736&amp;travelmode=car" TargetMode="External"/><Relationship Id="rId3198" Type="http://schemas.openxmlformats.org/officeDocument/2006/relationships/hyperlink" Target="https://www.google.com/maps/dir/?api=1&amp;origin=Gymnasium+Kirchheim,+Heimstettner+Str.+3,+85551+Kirchheim+bei+M&#252;nchen&amp;destination=48.01119756744074,11.570184139943638&amp;travelmode=car" TargetMode="External"/><Relationship Id="rId37" Type="http://schemas.openxmlformats.org/officeDocument/2006/relationships/hyperlink" Target="https://www.google.com/maps/dir/?api=1&amp;origin=Gymnasium+Kirchheim,+Heimstettner+Str.+3,+85551+Kirchheim+bei+M&#252;nchen&amp;destination=48.28406035372335,11.66254056390037&amp;travelmode=car" TargetMode="External"/><Relationship Id="rId1605" Type="http://schemas.openxmlformats.org/officeDocument/2006/relationships/hyperlink" Target="https://www.google.com/maps/dir/?api=1&amp;origin=Gymnasium+Kirchheim,+Heimstettner+Str.+3,+85551+Kirchheim+bei+M&#252;nchen&amp;destination=48.14804376670984,11.466281997410366&amp;travelmode=car" TargetMode="External"/><Relationship Id="rId1812" Type="http://schemas.openxmlformats.org/officeDocument/2006/relationships/hyperlink" Target="https://www.google.com/maps/dir/?api=1&amp;origin=Gymnasium+Kirchheim,+Heimstettner+Str.+3,+85551+Kirchheim+bei+M&#252;nchen&amp;destination=48.13163697830658,11.81261696011681&amp;travelmode=car" TargetMode="External"/><Relationship Id="rId3058" Type="http://schemas.openxmlformats.org/officeDocument/2006/relationships/hyperlink" Target="https://www.google.com/maps/dir/?api=1&amp;origin=Gymnasium+Kirchheim,+Heimstettner+Str.+3,+85551+Kirchheim+bei+M&#252;nchen&amp;destination=48.02447314693063,11.97423267615872&amp;travelmode=car" TargetMode="External"/><Relationship Id="rId3265" Type="http://schemas.openxmlformats.org/officeDocument/2006/relationships/hyperlink" Target="https://www.google.com/maps/dir/?api=1&amp;origin=Gymnasium+Kirchheim,+Heimstettner+Str.+3,+85551+Kirchheim+bei+M&#252;nchen&amp;destination=48.004070470405395,11.327744523821421&amp;travelmode=car" TargetMode="External"/><Relationship Id="rId3472" Type="http://schemas.openxmlformats.org/officeDocument/2006/relationships/hyperlink" Target="https://www.google.com/maps/dir/?api=1&amp;origin=Gymnasium+Kirchheim,+Heimstettner+Str.+3,+85551+Kirchheim+bei+M&#252;nchen&amp;destination=47.9880345693648,11.685629484445332&amp;travelmode=car" TargetMode="External"/><Relationship Id="rId186" Type="http://schemas.openxmlformats.org/officeDocument/2006/relationships/hyperlink" Target="https://www.google.com/maps/dir/?api=1&amp;origin=Gymnasium+Kirchheim,+Heimstettner+Str.+3,+85551+Kirchheim+bei+M&#252;nchen&amp;destination=48.26964439297538,11.339289350160644&amp;travelmode=car" TargetMode="External"/><Relationship Id="rId393" Type="http://schemas.openxmlformats.org/officeDocument/2006/relationships/hyperlink" Target="https://www.google.com/maps/dir/?api=1&amp;origin=Gymnasium+Kirchheim,+Heimstettner+Str.+3,+85551+Kirchheim+bei+M&#252;nchen&amp;destination=48.253572673642374,11.69717391402856&amp;travelmode=car" TargetMode="External"/><Relationship Id="rId2074" Type="http://schemas.openxmlformats.org/officeDocument/2006/relationships/hyperlink" Target="https://www.google.com/maps/dir/?api=1&amp;origin=Gymnasium+Kirchheim,+Heimstettner+Str.+3,+85551+Kirchheim+bei+M&#252;nchen&amp;destination=48.108930378933344,11.801072765593279&amp;travelmode=car" TargetMode="External"/><Relationship Id="rId2281" Type="http://schemas.openxmlformats.org/officeDocument/2006/relationships/hyperlink" Target="https://www.google.com/maps/dir/?api=1&amp;origin=Gymnasium+Kirchheim,+Heimstettner+Str.+3,+85551+Kirchheim+bei+M&#252;nchen&amp;destination=48.09142602371288,12.158928183084447&amp;travelmode=car" TargetMode="External"/><Relationship Id="rId3125" Type="http://schemas.openxmlformats.org/officeDocument/2006/relationships/hyperlink" Target="https://www.google.com/maps/dir/?api=1&amp;origin=Gymnasium+Kirchheim,+Heimstettner+Str.+3,+85551+Kirchheim+bei+M&#252;nchen&amp;destination=48.01814442228959,11.743351415580166&amp;travelmode=car" TargetMode="External"/><Relationship Id="rId3332" Type="http://schemas.openxmlformats.org/officeDocument/2006/relationships/hyperlink" Target="https://www.google.com/maps/dir/?api=1&amp;origin=Gymnasium+Kirchheim,+Heimstettner+Str.+3,+85551+Kirchheim+bei+M&#252;nchen&amp;destination=48.00081913310405,12.101211892775435&amp;travelmode=car" TargetMode="External"/><Relationship Id="rId253" Type="http://schemas.openxmlformats.org/officeDocument/2006/relationships/hyperlink" Target="https://www.google.com/maps/dir/?api=1&amp;origin=Gymnasium+Kirchheim,+Heimstettner+Str.+3,+85551+Kirchheim+bei+M&#252;nchen&amp;destination=48.266226683861355,12.12429853084091&amp;travelmode=car" TargetMode="External"/><Relationship Id="rId460" Type="http://schemas.openxmlformats.org/officeDocument/2006/relationships/hyperlink" Target="https://www.google.com/maps/dir/?api=1&amp;origin=Gymnasium+Kirchheim,+Heimstettner+Str.+3,+85551+Kirchheim+bei+M&#252;nchen&amp;destination=48.2467124810387,11.454737254395377&amp;travelmode=car" TargetMode="External"/><Relationship Id="rId698" Type="http://schemas.openxmlformats.org/officeDocument/2006/relationships/hyperlink" Target="https://www.google.com/maps/dir/?api=1&amp;origin=Gymnasium+Kirchheim,+Heimstettner+Str.+3,+85551+Kirchheim+bei+M&#252;nchen&amp;destination=48.227918662632305,12.170471317116936&amp;travelmode=car" TargetMode="External"/><Relationship Id="rId1090" Type="http://schemas.openxmlformats.org/officeDocument/2006/relationships/hyperlink" Target="https://www.google.com/maps/dir/?api=1&amp;origin=Gymnasium+Kirchheim,+Heimstettner+Str.+3,+85551+Kirchheim+bei+M&#252;nchen&amp;destination=48.19316694470239,11.616362491920484&amp;travelmode=car" TargetMode="External"/><Relationship Id="rId2141" Type="http://schemas.openxmlformats.org/officeDocument/2006/relationships/hyperlink" Target="https://www.google.com/maps/dir/?api=1&amp;origin=Gymnasium+Kirchheim,+Heimstettner+Str.+3,+85551+Kirchheim+bei+M&#252;nchen&amp;destination=48.1022885571837,11.55863951211732&amp;travelmode=car" TargetMode="External"/><Relationship Id="rId2379" Type="http://schemas.openxmlformats.org/officeDocument/2006/relationships/hyperlink" Target="https://www.google.com/maps/dir/?api=1&amp;origin=Gymnasium+Kirchheim,+Heimstettner+Str.+3,+85551+Kirchheim+bei+M&#252;nchen&amp;destination=48.079989835424946,11.258475490819581&amp;travelmode=car" TargetMode="External"/><Relationship Id="rId2586" Type="http://schemas.openxmlformats.org/officeDocument/2006/relationships/hyperlink" Target="https://www.google.com/maps/dir/?api=1&amp;origin=Gymnasium+Kirchheim,+Heimstettner+Str.+3,+85551+Kirchheim+bei+M&#252;nchen&amp;destination=48.0641688455809,11.616362491920484&amp;travelmode=car" TargetMode="External"/><Relationship Id="rId2793" Type="http://schemas.openxmlformats.org/officeDocument/2006/relationships/hyperlink" Target="https://www.google.com/maps/dir/?api=1&amp;origin=Gymnasium+Kirchheim,+Heimstettner+Str.+3,+85551+Kirchheim+bei+M&#252;nchen&amp;destination=48.04723751736385,11.97423267615872&amp;travelmode=car" TargetMode="External"/><Relationship Id="rId113" Type="http://schemas.openxmlformats.org/officeDocument/2006/relationships/hyperlink" Target="https://www.google.com/maps/dir/?api=1&amp;origin=Gymnasium+Kirchheim,+Heimstettner+Str.+3,+85551+Kirchheim+bei+M&#252;nchen&amp;destination=48.27690898865756,11.524005541398747&amp;travelmode=car" TargetMode="External"/><Relationship Id="rId320" Type="http://schemas.openxmlformats.org/officeDocument/2006/relationships/hyperlink" Target="https://www.google.com/maps/dir/?api=1&amp;origin=Gymnasium+Kirchheim,+Heimstettner+Str.+3,+85551+Kirchheim+bei+M&#252;nchen&amp;destination=48.26032889219015,11.870337526618448&amp;travelmode=car" TargetMode="External"/><Relationship Id="rId558" Type="http://schemas.openxmlformats.org/officeDocument/2006/relationships/hyperlink" Target="https://www.google.com/maps/dir/?api=1&amp;origin=Gymnasium+Kirchheim,+Heimstettner+Str.+3,+85551+Kirchheim+bei+M&#252;nchen&amp;destination=48.23884127177274,11.570184139943638&amp;travelmode=car" TargetMode="External"/><Relationship Id="rId765" Type="http://schemas.openxmlformats.org/officeDocument/2006/relationships/hyperlink" Target="https://www.google.com/maps/dir/?api=1&amp;origin=Gymnasium+Kirchheim,+Heimstettner+Str.+3,+85551+Kirchheim+bei+M&#252;nchen&amp;destination=48.22198272736252,11.939601244041153&amp;travelmode=car" TargetMode="External"/><Relationship Id="rId972" Type="http://schemas.openxmlformats.org/officeDocument/2006/relationships/hyperlink" Target="https://www.google.com/maps/dir/?api=1&amp;origin=Gymnasium+Kirchheim,+Heimstettner+Str.+3,+85551+Kirchheim+bei+M&#252;nchen&amp;destination=48.20139634468154,11.27002033596574&amp;travelmode=car" TargetMode="External"/><Relationship Id="rId1188" Type="http://schemas.openxmlformats.org/officeDocument/2006/relationships/hyperlink" Target="https://www.google.com/maps/dir/?api=1&amp;origin=Gymnasium+Kirchheim,+Heimstettner+Str.+3,+85551+Kirchheim+bei+M&#252;nchen&amp;destination=48.18513397774274,11.731807073753979&amp;travelmode=car" TargetMode="External"/><Relationship Id="rId1395" Type="http://schemas.openxmlformats.org/officeDocument/2006/relationships/hyperlink" Target="https://www.google.com/maps/dir/?api=1&amp;origin=Gymnasium+Kirchheim,+Heimstettner+Str.+3,+85551+Kirchheim+bei+M&#252;nchen&amp;destination=48.16775784961419,12.101211892775435&amp;travelmode=car" TargetMode="External"/><Relationship Id="rId2001" Type="http://schemas.openxmlformats.org/officeDocument/2006/relationships/hyperlink" Target="https://www.google.com/maps/dir/?api=1&amp;origin=Gymnasium+Kirchheim,+Heimstettner+Str.+3,+85551+Kirchheim+bei+M&#252;nchen&amp;destination=48.11545552813899,11.985776420185003&amp;travelmode=car" TargetMode="External"/><Relationship Id="rId2239" Type="http://schemas.openxmlformats.org/officeDocument/2006/relationships/hyperlink" Target="https://www.google.com/maps/dir/?api=1&amp;origin=Gymnasium+Kirchheim,+Heimstettner+Str.+3,+85551+Kirchheim+bei+M&#252;nchen&amp;destination=48.094313360111045,11.67408503422851&amp;travelmode=car" TargetMode="External"/><Relationship Id="rId2446" Type="http://schemas.openxmlformats.org/officeDocument/2006/relationships/hyperlink" Target="https://www.google.com/maps/dir/?api=1&amp;origin=Gymnasium+Kirchheim,+Heimstettner+Str.+3,+85551+Kirchheim+bei+M&#252;nchen&amp;destination=48.077202956220816,12.031951048971356&amp;travelmode=car" TargetMode="External"/><Relationship Id="rId2653" Type="http://schemas.openxmlformats.org/officeDocument/2006/relationships/hyperlink" Target="https://www.google.com/maps/dir/?api=1&amp;origin=Gymnasium+Kirchheim,+Heimstettner+Str.+3,+85551+Kirchheim+bei+M&#252;nchen&amp;destination=48.05713880540245,11.373923797311125&amp;travelmode=car" TargetMode="External"/><Relationship Id="rId2860" Type="http://schemas.openxmlformats.org/officeDocument/2006/relationships/hyperlink" Target="https://www.google.com/maps/dir/?api=1&amp;origin=Gymnasium+Kirchheim,+Heimstettner+Str.+3,+85551+Kirchheim+bei+M&#252;nchen&amp;destination=48.0409596316658,11.731807073753979&amp;travelmode=car" TargetMode="External"/><Relationship Id="rId418" Type="http://schemas.openxmlformats.org/officeDocument/2006/relationships/hyperlink" Target="https://www.google.com/maps/dir/?api=1&amp;origin=Gymnasium+Kirchheim,+Heimstettner+Str.+3,+85551+Kirchheim+bei+M&#252;nchen&amp;destination=48.25211685126265,11.97423267615872&amp;travelmode=car" TargetMode="External"/><Relationship Id="rId625" Type="http://schemas.openxmlformats.org/officeDocument/2006/relationships/hyperlink" Target="https://www.google.com/maps/dir/?api=1&amp;origin=Gymnasium+Kirchheim,+Heimstettner+Str.+3,+85551+Kirchheim+bei+M&#252;nchen&amp;destination=48.231714174737405,11.327744523821421&amp;travelmode=car" TargetMode="External"/><Relationship Id="rId832" Type="http://schemas.openxmlformats.org/officeDocument/2006/relationships/hyperlink" Target="https://www.google.com/maps/dir/?api=1&amp;origin=Gymnasium+Kirchheim,+Heimstettner+Str.+3,+85551+Kirchheim+bei+M&#252;nchen&amp;destination=48.21567827369681,11.685629484445332&amp;travelmode=car" TargetMode="External"/><Relationship Id="rId1048" Type="http://schemas.openxmlformats.org/officeDocument/2006/relationships/hyperlink" Target="https://www.google.com/maps/dir/?api=1&amp;origin=Gymnasium+Kirchheim,+Heimstettner+Str.+3,+85551+Kirchheim+bei+M&#252;nchen&amp;destination=48.197752180939744,12.147385007013046&amp;travelmode=car" TargetMode="External"/><Relationship Id="rId1255" Type="http://schemas.openxmlformats.org/officeDocument/2006/relationships/hyperlink" Target="https://www.google.com/maps/dir/?api=1&amp;origin=Gymnasium+Kirchheim,+Heimstettner+Str.+3,+85551+Kirchheim+bei+M&#252;nchen&amp;destination=48.178346576061145,11.489371450790154&amp;travelmode=car" TargetMode="External"/><Relationship Id="rId1462" Type="http://schemas.openxmlformats.org/officeDocument/2006/relationships/hyperlink" Target="https://www.google.com/maps/dir/?api=1&amp;origin=Gymnasium+Kirchheim,+Heimstettner+Str.+3,+85551+Kirchheim+bei+M&#252;nchen&amp;destination=48.16180922704165,11.847249383329679&amp;travelmode=car" TargetMode="External"/><Relationship Id="rId2306" Type="http://schemas.openxmlformats.org/officeDocument/2006/relationships/hyperlink" Target="https://www.google.com/maps/dir/?api=1&amp;origin=Gymnasium+Kirchheim,+Heimstettner+Str.+3,+85551+Kirchheim+bei+M&#252;nchen&amp;destination=48.0874046399101,11.431647738327094&amp;travelmode=car" TargetMode="External"/><Relationship Id="rId2513" Type="http://schemas.openxmlformats.org/officeDocument/2006/relationships/hyperlink" Target="https://www.google.com/maps/dir/?api=1&amp;origin=Gymnasium+Kirchheim,+Heimstettner+Str.+3,+85551+Kirchheim+bei+M&#252;nchen&amp;destination=48.071046377263634,11.789528545213775&amp;travelmode=car" TargetMode="External"/><Relationship Id="rId2958" Type="http://schemas.openxmlformats.org/officeDocument/2006/relationships/hyperlink" Target="https://www.google.com/maps/dir/?api=1&amp;origin=Gymnasium+Kirchheim,+Heimstettner+Str.+3,+85551+Kirchheim+bei+M&#252;nchen&amp;destination=48.032811127920176,11.847249383329679&amp;travelmode=car" TargetMode="External"/><Relationship Id="rId1115" Type="http://schemas.openxmlformats.org/officeDocument/2006/relationships/hyperlink" Target="https://www.google.com/maps/dir/?api=1&amp;origin=Gymnasium+Kirchheim,+Heimstettner+Str.+3,+85551+Kirchheim+bei+M&#252;nchen&amp;destination=48.19183820598838,11.90496952282889&amp;travelmode=car" TargetMode="External"/><Relationship Id="rId1322" Type="http://schemas.openxmlformats.org/officeDocument/2006/relationships/hyperlink" Target="https://www.google.com/maps/dir/?api=1&amp;origin=Gymnasium+Kirchheim,+Heimstettner+Str.+3,+85551+Kirchheim+bei+M&#252;nchen&amp;destination=48.171049628082685,11.246930644367383&amp;travelmode=car" TargetMode="External"/><Relationship Id="rId1767" Type="http://schemas.openxmlformats.org/officeDocument/2006/relationships/hyperlink" Target="https://www.google.com/maps/dir/?api=1&amp;origin=Gymnasium+Kirchheim,+Heimstettner+Str.+3,+85551+Kirchheim+bei+M&#252;nchen&amp;destination=48.133085901450684,11.304654858343824&amp;travelmode=car" TargetMode="External"/><Relationship Id="rId1974" Type="http://schemas.openxmlformats.org/officeDocument/2006/relationships/hyperlink" Target="https://www.google.com/maps/dir/?api=1&amp;origin=Gymnasium+Kirchheim,+Heimstettner+Str.+3,+85551+Kirchheim+bei+M&#252;nchen&amp;destination=48.11712163721321,11.66254056390037&amp;travelmode=car" TargetMode="External"/><Relationship Id="rId2720" Type="http://schemas.openxmlformats.org/officeDocument/2006/relationships/hyperlink" Target="https://www.google.com/maps/dir/?api=1&amp;origin=Gymnasium+Kirchheim,+Heimstettner+Str.+3,+85551+Kirchheim+bei+M&#252;nchen&amp;destination=48.0535778348628,12.147385007013046&amp;travelmode=car" TargetMode="External"/><Relationship Id="rId2818" Type="http://schemas.openxmlformats.org/officeDocument/2006/relationships/hyperlink" Target="https://www.google.com/maps/dir/?api=1&amp;origin=Gymnasium+Kirchheim,+Heimstettner+Str.+3,+85551+Kirchheim+bei+M&#252;nchen&amp;destination=48.0420515289612,11.246930644367383&amp;travelmode=car" TargetMode="External"/><Relationship Id="rId59" Type="http://schemas.openxmlformats.org/officeDocument/2006/relationships/hyperlink" Target="https://www.google.com/maps/dir/?api=1&amp;origin=Gymnasium+Kirchheim,+Heimstettner+Str.+3,+85551+Kirchheim+bei+M&#252;nchen&amp;destination=48.282895687721194,11.90496952282889&amp;travelmode=car" TargetMode="External"/><Relationship Id="rId1627" Type="http://schemas.openxmlformats.org/officeDocument/2006/relationships/hyperlink" Target="https://www.google.com/maps/dir/?api=1&amp;origin=Gymnasium+Kirchheim,+Heimstettner+Str.+3,+85551+Kirchheim+bei+M&#252;nchen&amp;destination=48.147243043928434,11.720262709205143&amp;travelmode=car" TargetMode="External"/><Relationship Id="rId1834" Type="http://schemas.openxmlformats.org/officeDocument/2006/relationships/hyperlink" Target="https://www.google.com/maps/dir/?api=1&amp;origin=Gymnasium+Kirchheim,+Heimstettner+Str.+3,+85551+Kirchheim+bei+M&#252;nchen&amp;destination=48.12998938246959,12.078125096991752&amp;travelmode=car" TargetMode="External"/><Relationship Id="rId3287" Type="http://schemas.openxmlformats.org/officeDocument/2006/relationships/hyperlink" Target="https://www.google.com/maps/dir/?api=1&amp;origin=Gymnasium+Kirchheim,+Heimstettner+Str.+3,+85551+Kirchheim+bei+M&#252;nchen&amp;destination=48.00353896168761,11.593273348842407&amp;travelmode=car" TargetMode="External"/><Relationship Id="rId2096" Type="http://schemas.openxmlformats.org/officeDocument/2006/relationships/hyperlink" Target="https://www.google.com/maps/dir/?api=1&amp;origin=Gymnasium+Kirchheim,+Heimstettner+Str.+3,+85551+Kirchheim+bei+M&#252;nchen&amp;destination=48.10739254150203,12.055038147665204&amp;travelmode=car" TargetMode="External"/><Relationship Id="rId3494" Type="http://schemas.openxmlformats.org/officeDocument/2006/relationships/hyperlink" Target="https://www.google.com/maps/dir/?api=1&amp;origin=Gymnasium+Kirchheim,+Heimstettner+Str.+3,+85551+Kirchheim+bei+M&#252;nchen&amp;destination=47.98675089955278,11.939601244041153&amp;travelmode=car" TargetMode="External"/><Relationship Id="rId1901" Type="http://schemas.openxmlformats.org/officeDocument/2006/relationships/hyperlink" Target="https://www.google.com/maps/dir/?api=1&amp;origin=Gymnasium+Kirchheim,+Heimstettner+Str.+3,+85551+Kirchheim+bei+M&#252;nchen&amp;destination=48.12392984670583,11.835705269507187&amp;travelmode=car" TargetMode="External"/><Relationship Id="rId3147" Type="http://schemas.openxmlformats.org/officeDocument/2006/relationships/hyperlink" Target="https://www.google.com/maps/dir/?api=1&amp;origin=Gymnasium+Kirchheim,+Heimstettner+Str.+3,+85551+Kirchheim+bei+M&#252;nchen&amp;destination=48.01673366715424,11.997320130001427&amp;travelmode=car" TargetMode="External"/><Relationship Id="rId3354" Type="http://schemas.openxmlformats.org/officeDocument/2006/relationships/hyperlink" Target="https://www.google.com/maps/dir/?api=1&amp;origin=Gymnasium+Kirchheim,+Heimstettner+Str.+3,+85551+Kirchheim+bei+M&#252;nchen&amp;destination=47.99647194777695,11.339289350160644&amp;travelmode=car" TargetMode="External"/><Relationship Id="rId3561" Type="http://schemas.openxmlformats.org/officeDocument/2006/relationships/hyperlink" Target="https://www.google.com/maps/dir/?api=1&amp;origin=Gymnasium+Kirchheim,+Heimstettner+Str.+3,+85551+Kirchheim+bei+M&#252;nchen&amp;destination=47.98040022844396,11.69717391402856&amp;travelmode=car" TargetMode="External"/><Relationship Id="rId275" Type="http://schemas.openxmlformats.org/officeDocument/2006/relationships/hyperlink" Target="https://www.google.com/maps/dir/?api=1&amp;origin=Gymnasium+Kirchheim,+Heimstettner+Str.+3,+85551+Kirchheim+bei+M&#252;nchen&amp;destination=48.26204471488888,11.350834171536942&amp;travelmode=car" TargetMode="External"/><Relationship Id="rId482" Type="http://schemas.openxmlformats.org/officeDocument/2006/relationships/hyperlink" Target="https://www.google.com/maps/dir/?api=1&amp;origin=Gymnasium+Kirchheim,+Heimstettner+Str.+3,+85551+Kirchheim+bei+M&#252;nchen&amp;destination=48.245937177340345,11.708718322455919&amp;travelmode=car" TargetMode="External"/><Relationship Id="rId2163" Type="http://schemas.openxmlformats.org/officeDocument/2006/relationships/hyperlink" Target="https://www.google.com/maps/dir/?api=1&amp;origin=Gymnasium+Kirchheim,+Heimstettner+Str.+3,+85551+Kirchheim+bei+M&#252;nchen&amp;destination=48.101225557999626,11.824161128262173&amp;travelmode=car" TargetMode="External"/><Relationship Id="rId2370" Type="http://schemas.openxmlformats.org/officeDocument/2006/relationships/hyperlink" Target="https://www.google.com/maps/dir/?api=1&amp;origin=Gymnasium+Kirchheim,+Heimstettner+Str.+3,+85551+Kirchheim+bei+M&#252;nchen&amp;destination=48.083744316555375,12.170471317116936&amp;travelmode=car" TargetMode="External"/><Relationship Id="rId3007" Type="http://schemas.openxmlformats.org/officeDocument/2006/relationships/hyperlink" Target="https://www.google.com/maps/dir/?api=1&amp;origin=Gymnasium+Kirchheim,+Heimstettner+Str.+3,+85551+Kirchheim+bei+M&#252;nchen&amp;destination=48.02675511408491,11.397013396964736&amp;travelmode=car" TargetMode="External"/><Relationship Id="rId3214" Type="http://schemas.openxmlformats.org/officeDocument/2006/relationships/hyperlink" Target="https://www.google.com/maps/dir/?api=1&amp;origin=Gymnasium+Kirchheim,+Heimstettner+Str.+3,+85551+Kirchheim+bei+M&#252;nchen&amp;destination=48.01050430450452,11.754895734161472&amp;travelmode=car" TargetMode="External"/><Relationship Id="rId3421" Type="http://schemas.openxmlformats.org/officeDocument/2006/relationships/hyperlink" Target="https://www.google.com/maps/dir/?api=1&amp;origin=Gymnasium+Kirchheim,+Heimstettner+Str.+3,+85551+Kirchheim+bei+M&#252;nchen&amp;destination=47.993054238662936,12.12429853084091&amp;travelmode=car" TargetMode="External"/><Relationship Id="rId135" Type="http://schemas.openxmlformats.org/officeDocument/2006/relationships/hyperlink" Target="https://www.google.com/maps/dir/?api=1&amp;origin=Gymnasium+Kirchheim,+Heimstettner+Str.+3,+85551+Kirchheim+bei+M&#252;nchen&amp;destination=48.276035476558015,11.766440028975659&amp;travelmode=car" TargetMode="External"/><Relationship Id="rId342" Type="http://schemas.openxmlformats.org/officeDocument/2006/relationships/hyperlink" Target="https://www.google.com/maps/dir/?api=1&amp;origin=Gymnasium+Kirchheim,+Heimstettner+Str.+3,+85551+Kirchheim+bei+M&#252;nchen&amp;destination=48.25863856038362,12.12429853084091&amp;travelmode=car" TargetMode="External"/><Relationship Id="rId787" Type="http://schemas.openxmlformats.org/officeDocument/2006/relationships/hyperlink" Target="https://www.google.com/maps/dir/?api=1&amp;origin=Gymnasium+Kirchheim,+Heimstettner+Str.+3,+85551+Kirchheim+bei+M&#252;nchen&amp;destination=48.22023580034164,12.182014408588692&amp;travelmode=car" TargetMode="External"/><Relationship Id="rId994" Type="http://schemas.openxmlformats.org/officeDocument/2006/relationships/hyperlink" Target="https://www.google.com/maps/dir/?api=1&amp;origin=Gymnasium+Kirchheim,+Heimstettner+Str.+3,+85551+Kirchheim+bei+M&#252;nchen&amp;destination=48.201027753880226,11.524005541398747&amp;travelmode=car" TargetMode="External"/><Relationship Id="rId2023" Type="http://schemas.openxmlformats.org/officeDocument/2006/relationships/hyperlink" Target="https://www.google.com/maps/dir/?api=1&amp;origin=Gymnasium+Kirchheim,+Heimstettner+Str.+3,+85551+Kirchheim+bei+M&#252;nchen&amp;destination=48.113611565234244,12.228186338432307&amp;travelmode=car" TargetMode="External"/><Relationship Id="rId2230" Type="http://schemas.openxmlformats.org/officeDocument/2006/relationships/hyperlink" Target="https://www.google.com/maps/dir/?api=1&amp;origin=Gymnasium+Kirchheim,+Heimstettner+Str.+3,+85551+Kirchheim+bei+M&#252;nchen&amp;destination=48.09466692569582,11.570184139943638&amp;travelmode=car" TargetMode="External"/><Relationship Id="rId2468" Type="http://schemas.openxmlformats.org/officeDocument/2006/relationships/hyperlink" Target="https://www.google.com/maps/dir/?api=1&amp;origin=Gymnasium+Kirchheim,+Heimstettner+Str.+3,+85551+Kirchheim+bei+M&#252;nchen&amp;destination=48.07239824556007,11.27002033596574&amp;travelmode=car" TargetMode="External"/><Relationship Id="rId2675" Type="http://schemas.openxmlformats.org/officeDocument/2006/relationships/hyperlink" Target="https://www.google.com/maps/dir/?api=1&amp;origin=Gymnasium+Kirchheim,+Heimstettner+Str.+3,+85551+Kirchheim+bei+M&#252;nchen&amp;destination=48.05654143702695,11.627907037470955&amp;travelmode=car" TargetMode="External"/><Relationship Id="rId2882" Type="http://schemas.openxmlformats.org/officeDocument/2006/relationships/hyperlink" Target="https://www.google.com/maps/dir/?api=1&amp;origin=Gymnasium+Kirchheim,+Heimstettner+Str.+3,+85551+Kirchheim+bei+M&#252;nchen&amp;destination=48.03957429336166,11.985776420185003&amp;travelmode=car" TargetMode="External"/><Relationship Id="rId3519" Type="http://schemas.openxmlformats.org/officeDocument/2006/relationships/hyperlink" Target="https://www.google.com/maps/dir/?api=1&amp;origin=Gymnasium+Kirchheim,+Heimstettner+Str.+3,+85551+Kirchheim+bei+M&#252;nchen&amp;destination=47.984512951758006,12.239729209273484&amp;travelmode=car" TargetMode="External"/><Relationship Id="rId202" Type="http://schemas.openxmlformats.org/officeDocument/2006/relationships/hyperlink" Target="https://www.google.com/maps/dir/?api=1&amp;origin=Gymnasium+Kirchheim,+Heimstettner+Str.+3,+85551+Kirchheim+bei+M&#252;nchen&amp;destination=48.26934975148476,11.512460857153851&amp;travelmode=car" TargetMode="External"/><Relationship Id="rId647" Type="http://schemas.openxmlformats.org/officeDocument/2006/relationships/hyperlink" Target="https://www.google.com/maps/dir/?api=1&amp;origin=Gymnasium+Kirchheim,+Heimstettner+Str.+3,+85551+Kirchheim+bei+M&#252;nchen&amp;destination=48.23118266601961,11.593273348842407&amp;travelmode=car" TargetMode="External"/><Relationship Id="rId854" Type="http://schemas.openxmlformats.org/officeDocument/2006/relationships/hyperlink" Target="https://www.google.com/maps/dir/?api=1&amp;origin=Gymnasium+Kirchheim,+Heimstettner+Str.+3,+85551+Kirchheim+bei+M&#252;nchen&amp;destination=48.21439460388478,11.939601244041153&amp;travelmode=car" TargetMode="External"/><Relationship Id="rId1277" Type="http://schemas.openxmlformats.org/officeDocument/2006/relationships/hyperlink" Target="https://www.google.com/maps/dir/?api=1&amp;origin=Gymnasium+Kirchheim,+Heimstettner+Str.+3,+85551+Kirchheim+bei+M&#252;nchen&amp;destination=48.177495015321995,11.743351415580166&amp;travelmode=car" TargetMode="External"/><Relationship Id="rId1484" Type="http://schemas.openxmlformats.org/officeDocument/2006/relationships/hyperlink" Target="https://www.google.com/maps/dir/?api=1&amp;origin=Gymnasium+Kirchheim,+Heimstettner+Str.+3,+85551+Kirchheim+bei+M&#252;nchen&amp;destination=48.16016972613646,12.101211892775435&amp;travelmode=car" TargetMode="External"/><Relationship Id="rId1691" Type="http://schemas.openxmlformats.org/officeDocument/2006/relationships/hyperlink" Target="https://www.google.com/maps/dir/?api=1&amp;origin=Gymnasium+Kirchheim,+Heimstettner+Str.+3,+85551+Kirchheim+bei+M&#252;nchen&amp;destination=48.140500706025115,11.44319250119349&amp;travelmode=car" TargetMode="External"/><Relationship Id="rId2328" Type="http://schemas.openxmlformats.org/officeDocument/2006/relationships/hyperlink" Target="https://www.google.com/maps/dir/?api=1&amp;origin=Gymnasium+Kirchheim,+Heimstettner+Str.+3,+85551+Kirchheim+bei+M&#252;nchen&amp;destination=48.08668017457534,11.685629484445332&amp;travelmode=car" TargetMode="External"/><Relationship Id="rId2535" Type="http://schemas.openxmlformats.org/officeDocument/2006/relationships/hyperlink" Target="https://www.google.com/maps/dir/?api=1&amp;origin=Gymnasium+Kirchheim,+Heimstettner+Str.+3,+85551+Kirchheim+bei+M&#252;nchen&amp;destination=48.06945192411336,12.055038147665204&amp;travelmode=car" TargetMode="External"/><Relationship Id="rId2742" Type="http://schemas.openxmlformats.org/officeDocument/2006/relationships/hyperlink" Target="https://www.google.com/maps/dir/?api=1&amp;origin=Gymnasium+Kirchheim,+Heimstettner+Str.+3,+85551+Kirchheim+bei+M&#252;nchen&amp;destination=48.04953566094816,11.385468600664204&amp;travelmode=car" TargetMode="External"/><Relationship Id="rId507" Type="http://schemas.openxmlformats.org/officeDocument/2006/relationships/hyperlink" Target="https://www.google.com/maps/dir/?api=1&amp;origin=Gymnasium+Kirchheim,+Heimstettner+Str.+3,+85551+Kirchheim+bei+M&#252;nchen&amp;destination=48.24437737148625,11.997320130001427&amp;travelmode=car" TargetMode="External"/><Relationship Id="rId714" Type="http://schemas.openxmlformats.org/officeDocument/2006/relationships/hyperlink" Target="https://www.google.com/maps/dir/?api=1&amp;origin=Gymnasium+Kirchheim,+Heimstettner+Str.+3,+85551+Kirchheim+bei+M&#252;nchen&amp;destination=48.22412605125968,11.327744523821421&amp;travelmode=car" TargetMode="External"/><Relationship Id="rId921" Type="http://schemas.openxmlformats.org/officeDocument/2006/relationships/hyperlink" Target="https://www.google.com/maps/dir/?api=1&amp;origin=Gymnasium+Kirchheim,+Heimstettner+Str.+3,+85551+Kirchheim+bei+M&#252;nchen&amp;destination=48.20804393277597,11.69717391402856&amp;travelmode=car" TargetMode="External"/><Relationship Id="rId1137" Type="http://schemas.openxmlformats.org/officeDocument/2006/relationships/hyperlink" Target="https://www.google.com/maps/dir/?api=1&amp;origin=Gymnasium+Kirchheim,+Heimstettner+Str.+3,+85551+Kirchheim+bei+M&#252;nchen&amp;destination=48.19007162892342,12.158928183084447&amp;travelmode=car" TargetMode="External"/><Relationship Id="rId1344" Type="http://schemas.openxmlformats.org/officeDocument/2006/relationships/hyperlink" Target="https://www.google.com/maps/dir/?api=1&amp;origin=Gymnasium+Kirchheim,+Heimstettner+Str.+3,+85551+Kirchheim+bei+M&#252;nchen&amp;destination=48.170731877146366,11.500916160110199&amp;travelmode=car" TargetMode="External"/><Relationship Id="rId1551" Type="http://schemas.openxmlformats.org/officeDocument/2006/relationships/hyperlink" Target="https://www.google.com/maps/dir/?api=1&amp;origin=Gymnasium+Kirchheim,+Heimstettner+Str.+3,+85551+Kirchheim+bei+M&#252;nchen&amp;destination=48.1541587111905,11.858793469207484&amp;travelmode=car" TargetMode="External"/><Relationship Id="rId1789" Type="http://schemas.openxmlformats.org/officeDocument/2006/relationships/hyperlink" Target="https://www.google.com/maps/dir/?api=1&amp;origin=Gymnasium+Kirchheim,+Heimstettner+Str.+3,+85551+Kirchheim+bei+M&#252;nchen&amp;destination=48.132641051094616,11.55863951211732&amp;travelmode=car" TargetMode="External"/><Relationship Id="rId1996" Type="http://schemas.openxmlformats.org/officeDocument/2006/relationships/hyperlink" Target="https://www.google.com/maps/dir/?api=1&amp;origin=Gymnasium+Kirchheim,+Heimstettner+Str.+3,+85551+Kirchheim+bei+M&#252;nchen&amp;destination=48.11588880231708,11.916513461151142&amp;travelmode=car" TargetMode="External"/><Relationship Id="rId2602" Type="http://schemas.openxmlformats.org/officeDocument/2006/relationships/hyperlink" Target="https://www.google.com/maps/dir/?api=1&amp;origin=Gymnasium+Kirchheim,+Heimstettner+Str.+3,+85551+Kirchheim+bei+M&#252;nchen&amp;destination=48.06340163806694,11.801072765593279&amp;travelmode=car" TargetMode="External"/><Relationship Id="rId50" Type="http://schemas.openxmlformats.org/officeDocument/2006/relationships/hyperlink" Target="https://www.google.com/maps/dir/?api=1&amp;origin=Gymnasium+Kirchheim,+Heimstettner+Str.+3,+85551+Kirchheim+bei+M&#252;nchen&amp;destination=48.28345721892122,11.801072765593279&amp;travelmode=car" TargetMode="External"/><Relationship Id="rId1204" Type="http://schemas.openxmlformats.org/officeDocument/2006/relationships/hyperlink" Target="https://www.google.com/maps/dir/?api=1&amp;origin=Gymnasium+Kirchheim,+Heimstettner+Str.+3,+85551+Kirchheim+bei+M&#252;nchen&amp;destination=48.1841819136167,11.916513461151142&amp;travelmode=car" TargetMode="External"/><Relationship Id="rId1411" Type="http://schemas.openxmlformats.org/officeDocument/2006/relationships/hyperlink" Target="https://www.google.com/maps/dir/?api=1&amp;origin=Gymnasium+Kirchheim,+Heimstettner+Str.+3,+85551+Kirchheim+bei+M&#252;nchen&amp;destination=48.163459193680026,11.258475490819581&amp;travelmode=car" TargetMode="External"/><Relationship Id="rId1649" Type="http://schemas.openxmlformats.org/officeDocument/2006/relationships/hyperlink" Target="https://www.google.com/maps/dir/?api=1&amp;origin=Gymnasium+Kirchheim,+Heimstettner+Str.+3,+85551+Kirchheim+bei+M&#252;nchen&amp;destination=48.14580802204993,11.985776420185003&amp;travelmode=car" TargetMode="External"/><Relationship Id="rId1856" Type="http://schemas.openxmlformats.org/officeDocument/2006/relationships/hyperlink" Target="https://www.google.com/maps/dir/?api=1&amp;origin=Gymnasium+Kirchheim,+Heimstettner+Str.+3,+85551+Kirchheim+bei+M&#252;nchen&amp;destination=48.125489689740924,11.316199693041677&amp;travelmode=car" TargetMode="External"/><Relationship Id="rId2907" Type="http://schemas.openxmlformats.org/officeDocument/2006/relationships/hyperlink" Target="https://www.google.com/maps/dir/?api=1&amp;origin=Gymnasium+Kirchheim,+Heimstettner+Str.+3,+85551+Kirchheim+bei+M&#252;nchen&amp;destination=48.03446109455855,11.258475490819581&amp;travelmode=car" TargetMode="External"/><Relationship Id="rId3071" Type="http://schemas.openxmlformats.org/officeDocument/2006/relationships/hyperlink" Target="https://www.google.com/maps/dir/?api=1&amp;origin=Gymnasium+Kirchheim,+Heimstettner+Str.+3,+85551+Kirchheim+bei+M&#252;nchen&amp;destination=48.02331661434135,12.135841789424584&amp;travelmode=car" TargetMode="External"/><Relationship Id="rId1509" Type="http://schemas.openxmlformats.org/officeDocument/2006/relationships/hyperlink" Target="https://www.google.com/maps/dir/?api=1&amp;origin=Gymnasium+Kirchheim,+Heimstettner+Str.+3,+85551+Kirchheim+bei+M&#252;nchen&amp;destination=48.15578441061299,11.373923797311125&amp;travelmode=car" TargetMode="External"/><Relationship Id="rId1716" Type="http://schemas.openxmlformats.org/officeDocument/2006/relationships/hyperlink" Target="https://www.google.com/maps/dir/?api=1&amp;origin=Gymnasium+Kirchheim,+Heimstettner+Str.+3,+85551+Kirchheim+bei+M&#252;nchen&amp;destination=48.139605236876335,11.731807073753979&amp;travelmode=car" TargetMode="External"/><Relationship Id="rId1923" Type="http://schemas.openxmlformats.org/officeDocument/2006/relationships/hyperlink" Target="https://www.google.com/maps/dir/?api=1&amp;origin=Gymnasium+Kirchheim,+Heimstettner+Str.+3,+85551+Kirchheim+bei+M&#252;nchen&amp;destination=48.12231576146348,12.089668514337413&amp;travelmode=car" TargetMode="External"/><Relationship Id="rId3169" Type="http://schemas.openxmlformats.org/officeDocument/2006/relationships/hyperlink" Target="https://www.google.com/maps/dir/?api=1&amp;origin=Gymnasium+Kirchheim,+Heimstettner+Str.+3,+85551+Kirchheim+bei+M&#252;nchen&amp;destination=48.01170019051279,11.235385797131558&amp;travelmode=car" TargetMode="External"/><Relationship Id="rId3376" Type="http://schemas.openxmlformats.org/officeDocument/2006/relationships/hyperlink" Target="https://www.google.com/maps/dir/?api=1&amp;origin=Gymnasium+Kirchheim,+Heimstettner+Str.+3,+85551+Kirchheim+bei+M&#252;nchen&amp;destination=47.99595083820987,11.593273348842407&amp;travelmode=car" TargetMode="External"/><Relationship Id="rId3583" Type="http://schemas.openxmlformats.org/officeDocument/2006/relationships/hyperlink" Target="https://www.google.com/maps/dir/?api=1&amp;origin=Gymnasium+Kirchheim,+Heimstettner+Str.+3,+85551+Kirchheim+bei+M&#252;nchen&amp;destination=47.979091141338166,11.95114508756474&amp;travelmode=car" TargetMode="External"/><Relationship Id="rId297" Type="http://schemas.openxmlformats.org/officeDocument/2006/relationships/hyperlink" Target="https://www.google.com/maps/dir/?api=1&amp;origin=Gymnasium+Kirchheim,+Heimstettner+Str.+3,+85551+Kirchheim+bei+M&#252;nchen&amp;destination=48.26149818567134,11.604817928870196&amp;travelmode=car" TargetMode="External"/><Relationship Id="rId2185" Type="http://schemas.openxmlformats.org/officeDocument/2006/relationships/hyperlink" Target="https://www.google.com/maps/dir/?api=1&amp;origin=Gymnasium+Kirchheim,+Heimstettner+Str.+3,+85551+Kirchheim+bei+M&#252;nchen&amp;destination=48.09972123089243,12.066581641260367&amp;travelmode=car" TargetMode="External"/><Relationship Id="rId2392" Type="http://schemas.openxmlformats.org/officeDocument/2006/relationships/hyperlink" Target="https://www.google.com/maps/dir/?api=1&amp;origin=Gymnasium+Kirchheim,+Heimstettner+Str.+3,+85551+Kirchheim+bei+M&#252;nchen&amp;destination=48.07985464654689,11.408558185690326&amp;travelmode=car" TargetMode="External"/><Relationship Id="rId3029" Type="http://schemas.openxmlformats.org/officeDocument/2006/relationships/hyperlink" Target="https://www.google.com/maps/dir/?api=1&amp;origin=Gymnasium+Kirchheim,+Heimstettner+Str.+3,+85551+Kirchheim+bei+M&#252;nchen&amp;destination=48.02610690675658,11.650996073983201&amp;travelmode=car" TargetMode="External"/><Relationship Id="rId3236" Type="http://schemas.openxmlformats.org/officeDocument/2006/relationships/hyperlink" Target="https://www.google.com/maps/dir/?api=1&amp;origin=Gymnasium+Kirchheim,+Heimstettner+Str.+3,+85551+Kirchheim+bei+M&#252;nchen&amp;destination=48.00906813265906,12.00886380508597&amp;travelmode=car" TargetMode="External"/><Relationship Id="rId157" Type="http://schemas.openxmlformats.org/officeDocument/2006/relationships/hyperlink" Target="https://www.google.com/maps/dir/?api=1&amp;origin=Gymnasium+Kirchheim,+Heimstettner+Str.+3,+85551+Kirchheim+bei+M&#252;nchen&amp;destination=48.27457388812573,12.02040744491661&amp;travelmode=car" TargetMode="External"/><Relationship Id="rId364" Type="http://schemas.openxmlformats.org/officeDocument/2006/relationships/hyperlink" Target="https://www.google.com/maps/dir/?api=1&amp;origin=Gymnasium+Kirchheim,+Heimstettner+Str.+3,+85551+Kirchheim+bei+M&#252;nchen&amp;destination=48.25445659141113,11.350834171536942&amp;travelmode=car" TargetMode="External"/><Relationship Id="rId2045" Type="http://schemas.openxmlformats.org/officeDocument/2006/relationships/hyperlink" Target="https://www.google.com/maps/dir/?api=1&amp;origin=Gymnasium+Kirchheim,+Heimstettner+Str.+3,+85551+Kirchheim+bei+M&#252;nchen&amp;destination=48.11010314932117,11.466281997410366&amp;travelmode=car" TargetMode="External"/><Relationship Id="rId2697" Type="http://schemas.openxmlformats.org/officeDocument/2006/relationships/hyperlink" Target="https://www.google.com/maps/dir/?api=1&amp;origin=Gymnasium+Kirchheim,+Heimstettner+Str.+3,+85551+Kirchheim+bei+M&#252;nchen&amp;destination=48.05538485529294,11.881881555040426&amp;travelmode=car" TargetMode="External"/><Relationship Id="rId3443" Type="http://schemas.openxmlformats.org/officeDocument/2006/relationships/hyperlink" Target="https://www.google.com/maps/dir/?api=1&amp;origin=Gymnasium+Kirchheim,+Heimstettner+Str.+3,+85551+Kirchheim+bei+M&#252;nchen&amp;destination=47.98887226969046,11.350834171536942&amp;travelmode=car" TargetMode="External"/><Relationship Id="rId571" Type="http://schemas.openxmlformats.org/officeDocument/2006/relationships/hyperlink" Target="https://www.google.com/maps/dir/?api=1&amp;origin=Gymnasium+Kirchheim,+Heimstettner+Str.+3,+85551+Kirchheim+bei+M&#252;nchen&amp;destination=48.238300525661224,11.720262709205143&amp;travelmode=car" TargetMode="External"/><Relationship Id="rId669" Type="http://schemas.openxmlformats.org/officeDocument/2006/relationships/hyperlink" Target="https://www.google.com/maps/dir/?api=1&amp;origin=Gymnasium+Kirchheim,+Heimstettner+Str.+3,+85551+Kirchheim+bei+M&#252;nchen&amp;destination=48.2301635753941,11.835705269507187&amp;travelmode=car" TargetMode="External"/><Relationship Id="rId876" Type="http://schemas.openxmlformats.org/officeDocument/2006/relationships/hyperlink" Target="https://www.google.com/maps/dir/?api=1&amp;origin=Gymnasium+Kirchheim,+Heimstettner+Str.+3,+85551+Kirchheim+bei+M&#252;nchen&amp;destination=48.2126476768639,12.182014408588692&amp;travelmode=car" TargetMode="External"/><Relationship Id="rId1299" Type="http://schemas.openxmlformats.org/officeDocument/2006/relationships/hyperlink" Target="https://www.google.com/maps/dir/?api=1&amp;origin=Gymnasium+Kirchheim,+Heimstettner+Str.+3,+85551+Kirchheim+bei+M&#252;nchen&amp;destination=48.17608426018664,11.997320130001427&amp;travelmode=car" TargetMode="External"/><Relationship Id="rId2252" Type="http://schemas.openxmlformats.org/officeDocument/2006/relationships/hyperlink" Target="https://www.google.com/maps/dir/?api=1&amp;origin=Gymnasium+Kirchheim,+Heimstettner+Str.+3,+85551+Kirchheim+bei+M&#252;nchen&amp;destination=48.09363743452189,11.824161128262173&amp;travelmode=car" TargetMode="External"/><Relationship Id="rId2557" Type="http://schemas.openxmlformats.org/officeDocument/2006/relationships/hyperlink" Target="https://www.google.com/maps/dir/?api=1&amp;origin=Gymnasium+Kirchheim,+Heimstettner+Str.+3,+85551+Kirchheim+bei+M&#252;nchen&amp;destination=48.06480550023328,11.281565179283442&amp;travelmode=car" TargetMode="External"/><Relationship Id="rId3303" Type="http://schemas.openxmlformats.org/officeDocument/2006/relationships/hyperlink" Target="https://www.google.com/maps/dir/?api=1&amp;origin=Gymnasium+Kirchheim,+Heimstettner+Str.+3,+85551+Kirchheim+bei+M&#252;nchen&amp;destination=48.002863031359595,11.766440028975659&amp;travelmode=car" TargetMode="External"/><Relationship Id="rId3510" Type="http://schemas.openxmlformats.org/officeDocument/2006/relationships/hyperlink" Target="https://www.google.com/maps/dir/?api=1&amp;origin=Gymnasium+Kirchheim,+Heimstettner+Str.+3,+85551+Kirchheim+bei+M&#252;nchen&amp;destination=47.985555078253064,12.112755231783899&amp;travelmode=car" TargetMode="External"/><Relationship Id="rId3608" Type="http://schemas.openxmlformats.org/officeDocument/2006/relationships/hyperlink" Target="https://www.google.com/maps/dir/?api=1&amp;origin=Gymnasium+Kirchheim,+Heimstettner+Str.+3,+85551+Kirchheim+bei+M&#252;nchen&amp;destination=47.97692482828028,12.239729209273484&amp;travelmode=car" TargetMode="External"/><Relationship Id="rId224" Type="http://schemas.openxmlformats.org/officeDocument/2006/relationships/hyperlink" Target="https://www.google.com/maps/dir/?api=1&amp;origin=Gymnasium+Kirchheim,+Heimstettner+Str.+3,+85551+Kirchheim+bei+M&#252;nchen&amp;destination=48.26844735308029,11.766440028975659&amp;travelmode=car" TargetMode="External"/><Relationship Id="rId431" Type="http://schemas.openxmlformats.org/officeDocument/2006/relationships/hyperlink" Target="https://www.google.com/maps/dir/?api=1&amp;origin=Gymnasium+Kirchheim,+Heimstettner+Str.+3,+85551+Kirchheim+bei+M&#252;nchen&amp;destination=48.250960318673364,12.135841789424584&amp;travelmode=car" TargetMode="External"/><Relationship Id="rId529" Type="http://schemas.openxmlformats.org/officeDocument/2006/relationships/hyperlink" Target="https://www.google.com/maps/dir/?api=1&amp;origin=Gymnasium+Kirchheim,+Heimstettner+Str.+3,+85551+Kirchheim+bei+M&#252;nchen&amp;destination=48.2393438948448,11.235385797131558&amp;travelmode=car" TargetMode="External"/><Relationship Id="rId736" Type="http://schemas.openxmlformats.org/officeDocument/2006/relationships/hyperlink" Target="https://www.google.com/maps/dir/?api=1&amp;origin=Gymnasium+Kirchheim,+Heimstettner+Str.+3,+85551+Kirchheim+bei+M&#252;nchen&amp;destination=48.22359454254188,11.593273348842407&amp;travelmode=car" TargetMode="External"/><Relationship Id="rId1061" Type="http://schemas.openxmlformats.org/officeDocument/2006/relationships/hyperlink" Target="https://www.google.com/maps/dir/?api=1&amp;origin=Gymnasium+Kirchheim,+Heimstettner+Str.+3,+85551+Kirchheim+bei+M&#252;nchen&amp;destination=48.19380359935475,11.281565179283442&amp;travelmode=car" TargetMode="External"/><Relationship Id="rId1159" Type="http://schemas.openxmlformats.org/officeDocument/2006/relationships/hyperlink" Target="https://www.google.com/maps/dir/?api=1&amp;origin=Gymnasium+Kirchheim,+Heimstettner+Str.+3,+85551+Kirchheim+bei+M&#252;nchen&amp;destination=48.186105707117314,11.397013396964736&amp;travelmode=car" TargetMode="External"/><Relationship Id="rId1366" Type="http://schemas.openxmlformats.org/officeDocument/2006/relationships/hyperlink" Target="https://www.google.com/maps/dir/?api=1&amp;origin=Gymnasium+Kirchheim,+Heimstettner+Str.+3,+85551+Kirchheim+bei+M&#252;nchen&amp;destination=48.16985489753692,11.754895734161472&amp;travelmode=car" TargetMode="External"/><Relationship Id="rId2112" Type="http://schemas.openxmlformats.org/officeDocument/2006/relationships/hyperlink" Target="https://www.google.com/maps/dir/?api=1&amp;origin=Gymnasium+Kirchheim,+Heimstettner+Str.+3,+85551+Kirchheim+bei+M&#252;nchen&amp;destination=48.10592292740175,12.239729209273484&amp;travelmode=car" TargetMode="External"/><Relationship Id="rId2417" Type="http://schemas.openxmlformats.org/officeDocument/2006/relationships/hyperlink" Target="https://www.google.com/maps/dir/?api=1&amp;origin=Gymnasium+Kirchheim,+Heimstettner+Str.+3,+85551+Kirchheim+bei+M&#252;nchen&amp;destination=48.079045833654504,11.69717391402856&amp;travelmode=car" TargetMode="External"/><Relationship Id="rId2764" Type="http://schemas.openxmlformats.org/officeDocument/2006/relationships/hyperlink" Target="https://www.google.com/maps/dir/?api=1&amp;origin=Gymnasium+Kirchheim,+Heimstettner+Str.+3,+85551+Kirchheim+bei+M&#252;nchen&amp;destination=48.04891287306953,11.639451564999296&amp;travelmode=car" TargetMode="External"/><Relationship Id="rId2971" Type="http://schemas.openxmlformats.org/officeDocument/2006/relationships/hyperlink" Target="https://www.google.com/maps/dir/?api=1&amp;origin=Gymnasium+Kirchheim,+Heimstettner+Str.+3,+85551+Kirchheim+bei+M&#252;nchen&amp;destination=48.031832503092275,12.00886380508597&amp;travelmode=car" TargetMode="External"/><Relationship Id="rId943" Type="http://schemas.openxmlformats.org/officeDocument/2006/relationships/hyperlink" Target="https://www.google.com/maps/dir/?api=1&amp;origin=Gymnasium+Kirchheim,+Heimstettner+Str.+3,+85551+Kirchheim+bei+M&#252;nchen&amp;destination=48.20673484567018,11.95114508756474&amp;travelmode=car" TargetMode="External"/><Relationship Id="rId1019" Type="http://schemas.openxmlformats.org/officeDocument/2006/relationships/hyperlink" Target="https://www.google.com/maps/dir/?api=1&amp;origin=Gymnasium+Kirchheim,+Heimstettner+Str.+3,+85551+Kirchheim+bei+M&#252;nchen&amp;destination=48.199930089606184,11.81261696011681&amp;travelmode=car" TargetMode="External"/><Relationship Id="rId1573" Type="http://schemas.openxmlformats.org/officeDocument/2006/relationships/hyperlink" Target="https://www.google.com/maps/dir/?api=1&amp;origin=Gymnasium+Kirchheim,+Heimstettner+Str.+3,+85551+Kirchheim+bei+M&#252;nchen&amp;destination=48.1524937947632,12.112755231783899&amp;travelmode=car" TargetMode="External"/><Relationship Id="rId1780" Type="http://schemas.openxmlformats.org/officeDocument/2006/relationships/hyperlink" Target="https://www.google.com/maps/dir/?api=1&amp;origin=Gymnasium+Kirchheim,+Heimstettner+Str.+3,+85551+Kirchheim+bei+M&#252;nchen&amp;destination=48.132890628872694,11.454737254395377&amp;travelmode=car" TargetMode="External"/><Relationship Id="rId1878" Type="http://schemas.openxmlformats.org/officeDocument/2006/relationships/hyperlink" Target="https://www.google.com/maps/dir/?api=1&amp;origin=Gymnasium+Kirchheim,+Heimstettner+Str.+3,+85551+Kirchheim+bei+M&#252;nchen&amp;destination=48.12501941960675,11.570184139943638&amp;travelmode=car" TargetMode="External"/><Relationship Id="rId2624" Type="http://schemas.openxmlformats.org/officeDocument/2006/relationships/hyperlink" Target="https://www.google.com/maps/dir/?api=1&amp;origin=Gymnasium+Kirchheim,+Heimstettner+Str.+3,+85551+Kirchheim+bei+M&#252;nchen&amp;destination=48.06186380063562,12.055038147665204&amp;travelmode=car" TargetMode="External"/><Relationship Id="rId2831" Type="http://schemas.openxmlformats.org/officeDocument/2006/relationships/hyperlink" Target="https://www.google.com/maps/dir/?api=1&amp;origin=Gymnasium+Kirchheim,+Heimstettner+Str.+3,+85551+Kirchheim+bei+M&#252;nchen&amp;destination=48.041931361040376,11.397013396964736&amp;travelmode=car" TargetMode="External"/><Relationship Id="rId2929" Type="http://schemas.openxmlformats.org/officeDocument/2006/relationships/hyperlink" Target="https://www.google.com/maps/dir/?api=1&amp;origin=Gymnasium+Kirchheim,+Heimstettner+Str.+3,+85551+Kirchheim+bei+M&#252;nchen&amp;destination=48.034117923675005,11.512460857153851&amp;travelmode=car" TargetMode="External"/><Relationship Id="rId72" Type="http://schemas.openxmlformats.org/officeDocument/2006/relationships/hyperlink" Target="https://www.google.com/maps/dir/?api=1&amp;origin=Gymnasium+Kirchheim,+Heimstettner+Str.+3,+85551+Kirchheim+bei+M&#252;nchen&amp;destination=48.2819193814899,12.055038147665204&amp;travelmode=car" TargetMode="External"/><Relationship Id="rId803" Type="http://schemas.openxmlformats.org/officeDocument/2006/relationships/hyperlink" Target="https://www.google.com/maps/dir/?api=1&amp;origin=Gymnasium+Kirchheim,+Heimstettner+Str.+3,+85551+Kirchheim+bei+M&#252;nchen&amp;destination=48.21651597402247,11.350834171536942&amp;travelmode=car" TargetMode="External"/><Relationship Id="rId1226" Type="http://schemas.openxmlformats.org/officeDocument/2006/relationships/hyperlink" Target="https://www.google.com/maps/dir/?api=1&amp;origin=Gymnasium+Kirchheim,+Heimstettner+Str.+3,+85551+Kirchheim+bei+M&#252;nchen&amp;destination=48.1823899217659,12.170471317116936&amp;travelmode=car" TargetMode="External"/><Relationship Id="rId1433" Type="http://schemas.openxmlformats.org/officeDocument/2006/relationships/hyperlink" Target="https://www.google.com/maps/dir/?api=1&amp;origin=Gymnasium+Kirchheim,+Heimstettner+Str.+3,+85551+Kirchheim+bei+M&#252;nchen&amp;destination=48.16311602279648,11.512460857153851&amp;travelmode=car" TargetMode="External"/><Relationship Id="rId1640" Type="http://schemas.openxmlformats.org/officeDocument/2006/relationships/hyperlink" Target="https://www.google.com/maps/dir/?api=1&amp;origin=Gymnasium+Kirchheim,+Heimstettner+Str.+3,+85551+Kirchheim+bei+M&#252;nchen&amp;destination=48.14650704002415,11.870337526618448&amp;travelmode=car" TargetMode="External"/><Relationship Id="rId1738" Type="http://schemas.openxmlformats.org/officeDocument/2006/relationships/hyperlink" Target="https://www.google.com/maps/dir/?api=1&amp;origin=Gymnasium+Kirchheim,+Heimstettner+Str.+3,+85551+Kirchheim+bei+M&#252;nchen&amp;destination=48.1382198985722,11.985776420185003&amp;travelmode=car" TargetMode="External"/><Relationship Id="rId3093" Type="http://schemas.openxmlformats.org/officeDocument/2006/relationships/hyperlink" Target="https://www.google.com/maps/dir/?api=1&amp;origin=Gymnasium+Kirchheim,+Heimstettner+Str.+3,+85551+Kirchheim+bei+M&#252;nchen&amp;destination=48.019198188013796,11.373923797311125&amp;travelmode=car" TargetMode="External"/><Relationship Id="rId1500" Type="http://schemas.openxmlformats.org/officeDocument/2006/relationships/hyperlink" Target="https://www.google.com/maps/dir/?api=1&amp;origin=Gymnasium+Kirchheim,+Heimstettner+Str.+3,+85551+Kirchheim+bei+M&#252;nchen&amp;destination=48.15586760381514,11.27002033596574&amp;travelmode=car" TargetMode="External"/><Relationship Id="rId1945" Type="http://schemas.openxmlformats.org/officeDocument/2006/relationships/hyperlink" Target="https://www.google.com/maps/dir/?api=1&amp;origin=Gymnasium+Kirchheim,+Heimstettner+Str.+3,+85551+Kirchheim+bei+M&#252;nchen&amp;destination=48.117892322571414,11.327744523821421&amp;travelmode=car" TargetMode="External"/><Relationship Id="rId3160" Type="http://schemas.openxmlformats.org/officeDocument/2006/relationships/hyperlink" Target="https://www.google.com/maps/dir/?api=1&amp;origin=Gymnasium+Kirchheim,+Heimstettner+Str.+3,+85551+Kirchheim+bei+M&#252;nchen&amp;destination=48.015728490863616,12.135841789424584&amp;travelmode=car" TargetMode="External"/><Relationship Id="rId3398" Type="http://schemas.openxmlformats.org/officeDocument/2006/relationships/hyperlink" Target="https://www.google.com/maps/dir/?api=1&amp;origin=Gymnasium+Kirchheim,+Heimstettner+Str.+3,+85551+Kirchheim+bei+M&#252;nchen&amp;destination=47.994870510531506,11.847249383329679&amp;travelmode=car" TargetMode="External"/><Relationship Id="rId1805" Type="http://schemas.openxmlformats.org/officeDocument/2006/relationships/hyperlink" Target="https://www.google.com/maps/dir/?api=1&amp;origin=Gymnasium+Kirchheim,+Heimstettner+Str.+3,+85551+Kirchheim+bei+M&#252;nchen&amp;destination=48.13196627445558,11.743351415580166&amp;travelmode=car" TargetMode="External"/><Relationship Id="rId3020" Type="http://schemas.openxmlformats.org/officeDocument/2006/relationships/hyperlink" Target="https://www.google.com/maps/dir/?api=1&amp;origin=Gymnasium+Kirchheim,+Heimstettner+Str.+3,+85551+Kirchheim+bei+M&#252;nchen&amp;destination=48.026439674994265,11.547094869402834&amp;travelmode=car" TargetMode="External"/><Relationship Id="rId3258" Type="http://schemas.openxmlformats.org/officeDocument/2006/relationships/hyperlink" Target="https://www.google.com/maps/dir/?api=1&amp;origin=Gymnasium+Kirchheim,+Heimstettner+Str.+3,+85551+Kirchheim+bei+M&#252;nchen&amp;destination=48.00411091157254,11.246930644367383&amp;travelmode=car" TargetMode="External"/><Relationship Id="rId3465" Type="http://schemas.openxmlformats.org/officeDocument/2006/relationships/hyperlink" Target="https://www.google.com/maps/dir/?api=1&amp;origin=Gymnasium+Kirchheim,+Heimstettner+Str.+3,+85551+Kirchheim+bei+M&#252;nchen&amp;destination=47.98832574047294,11.604817928870196&amp;travelmode=car" TargetMode="External"/><Relationship Id="rId179" Type="http://schemas.openxmlformats.org/officeDocument/2006/relationships/hyperlink" Target="https://www.google.com/maps/dir/?api=1&amp;origin=Gymnasium+Kirchheim,+Heimstettner+Str.+3,+85551+Kirchheim+bei+M&#252;nchen&amp;destination=48.2696929223683,11.258475490819581&amp;travelmode=car" TargetMode="External"/><Relationship Id="rId386" Type="http://schemas.openxmlformats.org/officeDocument/2006/relationships/hyperlink" Target="https://www.google.com/maps/dir/?api=1&amp;origin=Gymnasium+Kirchheim,+Heimstettner+Str.+3,+85551+Kirchheim+bei+M&#252;nchen&amp;destination=48.25387193252425,11.616362491920484&amp;travelmode=car" TargetMode="External"/><Relationship Id="rId593" Type="http://schemas.openxmlformats.org/officeDocument/2006/relationships/hyperlink" Target="https://www.google.com/maps/dir/?api=1&amp;origin=Gymnasium+Kirchheim,+Heimstettner+Str.+3,+85551+Kirchheim+bei+M&#252;nchen&amp;destination=48.23694060430718,11.97423267615872&amp;travelmode=car" TargetMode="External"/><Relationship Id="rId2067" Type="http://schemas.openxmlformats.org/officeDocument/2006/relationships/hyperlink" Target="https://www.google.com/maps/dir/?api=1&amp;origin=Gymnasium+Kirchheim,+Heimstettner+Str.+3,+85551+Kirchheim+bei+M&#252;nchen&amp;destination=48.109302426539756,11.720262709205143&amp;travelmode=car" TargetMode="External"/><Relationship Id="rId2274" Type="http://schemas.openxmlformats.org/officeDocument/2006/relationships/hyperlink" Target="https://www.google.com/maps/dir/?api=1&amp;origin=Gymnasium+Kirchheim,+Heimstettner+Str.+3,+85551+Kirchheim+bei+M&#252;nchen&amp;destination=48.092048765080925,12.078125096991752&amp;travelmode=car" TargetMode="External"/><Relationship Id="rId2481" Type="http://schemas.openxmlformats.org/officeDocument/2006/relationships/hyperlink" Target="https://www.google.com/maps/dir/?api=1&amp;origin=Gymnasium+Kirchheim,+Heimstettner+Str.+3,+85551+Kirchheim+bei+M&#252;nchen&amp;destination=48.07224803573639,11.420102966318577&amp;travelmode=car" TargetMode="External"/><Relationship Id="rId3118" Type="http://schemas.openxmlformats.org/officeDocument/2006/relationships/hyperlink" Target="https://www.google.com/maps/dir/?api=1&amp;origin=Gymnasium+Kirchheim,+Heimstettner+Str.+3,+85551+Kirchheim+bei+M&#252;nchen&amp;destination=48.01847603200268,11.66254056390037&amp;travelmode=car" TargetMode="External"/><Relationship Id="rId3325" Type="http://schemas.openxmlformats.org/officeDocument/2006/relationships/hyperlink" Target="https://www.google.com/maps/dir/?api=1&amp;origin=Gymnasium+Kirchheim,+Heimstettner+Str.+3,+85551+Kirchheim+bei+M&#252;nchen&amp;destination=48.001401442927325,12.02040744491661&amp;travelmode=car" TargetMode="External"/><Relationship Id="rId3532" Type="http://schemas.openxmlformats.org/officeDocument/2006/relationships/hyperlink" Target="https://www.google.com/maps/dir/?api=1&amp;origin=Gymnasium+Kirchheim,+Heimstettner+Str.+3,+85551+Kirchheim+bei+M&#252;nchen&amp;destination=47.98128414621272,11.350834171536942&amp;travelmode=car" TargetMode="External"/><Relationship Id="rId246" Type="http://schemas.openxmlformats.org/officeDocument/2006/relationships/hyperlink" Target="https://www.google.com/maps/dir/?api=1&amp;origin=Gymnasium+Kirchheim,+Heimstettner+Str.+3,+85551+Kirchheim+bei+M&#252;nchen&amp;destination=48.26690604316416,12.031951048971356&amp;travelmode=car" TargetMode="External"/><Relationship Id="rId453" Type="http://schemas.openxmlformats.org/officeDocument/2006/relationships/hyperlink" Target="https://www.google.com/maps/dir/?api=1&amp;origin=Gymnasium+Kirchheim,+Heimstettner+Str.+3,+85551+Kirchheim+bei+M&#252;nchen&amp;destination=48.24684189234579,11.373923797311125&amp;travelmode=car" TargetMode="External"/><Relationship Id="rId660" Type="http://schemas.openxmlformats.org/officeDocument/2006/relationships/hyperlink" Target="https://www.google.com/maps/dir/?api=1&amp;origin=Gymnasium+Kirchheim,+Heimstettner+Str.+3,+85551+Kirchheim+bei+M&#252;nchen&amp;destination=48.23066271860914,11.731807073753979&amp;travelmode=car" TargetMode="External"/><Relationship Id="rId898" Type="http://schemas.openxmlformats.org/officeDocument/2006/relationships/hyperlink" Target="https://www.google.com/maps/dir/?api=1&amp;origin=Gymnasium+Kirchheim,+Heimstettner+Str.+3,+85551+Kirchheim+bei+M&#252;nchen&amp;destination=48.208814615553834,11.431647738327094&amp;travelmode=car" TargetMode="External"/><Relationship Id="rId1083" Type="http://schemas.openxmlformats.org/officeDocument/2006/relationships/hyperlink" Target="https://www.google.com/maps/dir/?api=1&amp;origin=Gymnasium+Kirchheim,+Heimstettner+Str.+3,+85551+Kirchheim+bei+M&#252;nchen&amp;destination=48.19340958866731,11.535550212322528&amp;travelmode=car" TargetMode="External"/><Relationship Id="rId1290" Type="http://schemas.openxmlformats.org/officeDocument/2006/relationships/hyperlink" Target="https://www.google.com/maps/dir/?api=1&amp;origin=Gymnasium+Kirchheim,+Heimstettner+Str.+3,+85551+Kirchheim+bei+M&#252;nchen&amp;destination=48.176728972634095,11.893425553951282&amp;travelmode=car" TargetMode="External"/><Relationship Id="rId2134" Type="http://schemas.openxmlformats.org/officeDocument/2006/relationships/hyperlink" Target="https://www.google.com/maps/dir/?api=1&amp;origin=Gymnasium+Kirchheim,+Heimstettner+Str.+3,+85551+Kirchheim+bei+M&#252;nchen&amp;destination=48.10249076128342,11.477826729716085&amp;travelmode=car" TargetMode="External"/><Relationship Id="rId2341" Type="http://schemas.openxmlformats.org/officeDocument/2006/relationships/hyperlink" Target="https://www.google.com/maps/dir/?api=1&amp;origin=Gymnasium+Kirchheim,+Heimstettner+Str.+3,+85551+Kirchheim+bei+M&#252;nchen&amp;destination=48.08598922931715,11.835705269507187&amp;travelmode=car" TargetMode="External"/><Relationship Id="rId2579" Type="http://schemas.openxmlformats.org/officeDocument/2006/relationships/hyperlink" Target="https://www.google.com/maps/dir/?api=1&amp;origin=Gymnasium+Kirchheim,+Heimstettner+Str.+3,+85551+Kirchheim+bei+M&#252;nchen&amp;destination=48.06441148954583,11.535550212322528&amp;travelmode=car" TargetMode="External"/><Relationship Id="rId2786" Type="http://schemas.openxmlformats.org/officeDocument/2006/relationships/hyperlink" Target="https://www.google.com/maps/dir/?api=1&amp;origin=Gymnasium+Kirchheim,+Heimstettner+Str.+3,+85551+Kirchheim+bei+M&#252;nchen&amp;destination=48.04773087351261,11.893425553951282&amp;travelmode=car" TargetMode="External"/><Relationship Id="rId2993" Type="http://schemas.openxmlformats.org/officeDocument/2006/relationships/hyperlink" Target="https://www.google.com/maps/dir/?api=1&amp;origin=Gymnasium+Kirchheim,+Heimstettner+Str.+3,+85551+Kirchheim+bei+M&#252;nchen&amp;destination=48.02687643746825,11.235385797131558&amp;travelmode=car" TargetMode="External"/><Relationship Id="rId106" Type="http://schemas.openxmlformats.org/officeDocument/2006/relationships/hyperlink" Target="https://www.google.com/maps/dir/?api=1&amp;origin=Gymnasium+Kirchheim,+Heimstettner+Str.+3,+85551+Kirchheim+bei+M&#252;nchen&amp;destination=48.27712736963522,11.420102966318577&amp;travelmode=car" TargetMode="External"/><Relationship Id="rId313" Type="http://schemas.openxmlformats.org/officeDocument/2006/relationships/hyperlink" Target="https://www.google.com/maps/dir/?api=1&amp;origin=Gymnasium+Kirchheim,+Heimstettner+Str.+3,+85551+Kirchheim+bei+M&#252;nchen&amp;destination=48.26074946420698,11.789528545213775&amp;travelmode=car" TargetMode="External"/><Relationship Id="rId758" Type="http://schemas.openxmlformats.org/officeDocument/2006/relationships/hyperlink" Target="https://www.google.com/maps/dir/?api=1&amp;origin=Gymnasium+Kirchheim,+Heimstettner+Str.+3,+85551+Kirchheim+bei+M&#252;nchen&amp;destination=48.22251421486352,11.847249383329679&amp;travelmode=car" TargetMode="External"/><Relationship Id="rId965" Type="http://schemas.openxmlformats.org/officeDocument/2006/relationships/hyperlink" Target="https://www.google.com/maps/dir/?api=1&amp;origin=Gymnasium+Kirchheim,+Heimstettner+Str.+3,+85551+Kirchheim+bei+M&#252;nchen&amp;destination=48.20486661039349,12.205100461762754&amp;travelmode=car" TargetMode="External"/><Relationship Id="rId1150" Type="http://schemas.openxmlformats.org/officeDocument/2006/relationships/hyperlink" Target="https://www.google.com/maps/dir/?api=1&amp;origin=Gymnasium+Kirchheim,+Heimstettner+Str.+3,+85551+Kirchheim+bei+M&#252;nchen&amp;destination=48.18620969856643,11.293110020250275&amp;travelmode=car" TargetMode="External"/><Relationship Id="rId1388" Type="http://schemas.openxmlformats.org/officeDocument/2006/relationships/hyperlink" Target="https://www.google.com/maps/dir/?api=1&amp;origin=Gymnasium+Kirchheim,+Heimstettner+Str.+3,+85551+Kirchheim+bei+M&#252;nchen&amp;destination=48.16841872569147,12.00886380508597&amp;travelmode=car" TargetMode="External"/><Relationship Id="rId1595" Type="http://schemas.openxmlformats.org/officeDocument/2006/relationships/hyperlink" Target="https://www.google.com/maps/dir/?api=1&amp;origin=Gymnasium+Kirchheim,+Heimstettner+Str.+3,+85551+Kirchheim+bei+M&#252;nchen&amp;destination=48.14822286272287,11.350834171536942&amp;travelmode=car" TargetMode="External"/><Relationship Id="rId2439" Type="http://schemas.openxmlformats.org/officeDocument/2006/relationships/hyperlink" Target="https://www.google.com/maps/dir/?api=1&amp;origin=Gymnasium+Kirchheim,+Heimstettner+Str.+3,+85551+Kirchheim+bei+M&#252;nchen&amp;destination=48.0777367465487,11.95114508756474&amp;travelmode=car" TargetMode="External"/><Relationship Id="rId2646" Type="http://schemas.openxmlformats.org/officeDocument/2006/relationships/hyperlink" Target="https://www.google.com/maps/dir/?api=1&amp;origin=Gymnasium+Kirchheim,+Heimstettner+Str.+3,+85551+Kirchheim+bei+M&#252;nchen&amp;destination=48.05721159944496,11.293110020250275&amp;travelmode=car" TargetMode="External"/><Relationship Id="rId2853" Type="http://schemas.openxmlformats.org/officeDocument/2006/relationships/hyperlink" Target="https://www.google.com/maps/dir/?api=1&amp;origin=Gymnasium+Kirchheim,+Heimstettner+Str.+3,+85551+Kirchheim+bei+M&#252;nchen&amp;destination=48.041283153712044,11.650996073983201&amp;travelmode=car" TargetMode="External"/><Relationship Id="rId94" Type="http://schemas.openxmlformats.org/officeDocument/2006/relationships/hyperlink" Target="https://www.google.com/maps/dir/?api=1&amp;origin=Gymnasium+Kirchheim,+Heimstettner+Str.+3,+85551+Kirchheim+bei+M&#252;nchen&amp;destination=48.27726718029924,11.293110020250275&amp;travelmode=car" TargetMode="External"/><Relationship Id="rId520" Type="http://schemas.openxmlformats.org/officeDocument/2006/relationships/hyperlink" Target="https://www.google.com/maps/dir/?api=1&amp;origin=Gymnasium+Kirchheim,+Heimstettner+Str.+3,+85551+Kirchheim+bei+M&#252;nchen&amp;destination=48.24337219519563,12.135841789424584&amp;travelmode=car" TargetMode="External"/><Relationship Id="rId618" Type="http://schemas.openxmlformats.org/officeDocument/2006/relationships/hyperlink" Target="https://www.google.com/maps/dir/?api=1&amp;origin=Gymnasium+Kirchheim,+Heimstettner+Str.+3,+85551+Kirchheim+bei+M&#252;nchen&amp;destination=48.231754615904556,11.246930644367383&amp;travelmode=car" TargetMode="External"/><Relationship Id="rId825" Type="http://schemas.openxmlformats.org/officeDocument/2006/relationships/hyperlink" Target="https://www.google.com/maps/dir/?api=1&amp;origin=Gymnasium+Kirchheim,+Heimstettner+Str.+3,+85551+Kirchheim+bei+M&#252;nchen&amp;destination=48.215931315135585,11.616362491920484&amp;travelmode=car" TargetMode="External"/><Relationship Id="rId1248" Type="http://schemas.openxmlformats.org/officeDocument/2006/relationships/hyperlink" Target="https://www.google.com/maps/dir/?api=1&amp;origin=Gymnasium+Kirchheim,+Heimstettner+Str.+3,+85551+Kirchheim+bei+M&#252;nchen&amp;destination=48.178500251757434,11.408558185690326&amp;travelmode=car" TargetMode="External"/><Relationship Id="rId1455" Type="http://schemas.openxmlformats.org/officeDocument/2006/relationships/hyperlink" Target="https://www.google.com/maps/dir/?api=1&amp;origin=Gymnasium+Kirchheim,+Heimstettner+Str.+3,+85551+Kirchheim+bei+M&#252;nchen&amp;destination=48.16221362439201,11.766440028975659&amp;travelmode=car" TargetMode="External"/><Relationship Id="rId1662" Type="http://schemas.openxmlformats.org/officeDocument/2006/relationships/hyperlink" Target="https://www.google.com/maps/dir/?api=1&amp;origin=Gymnasium+Kirchheim,+Heimstettner+Str.+3,+85551+Kirchheim+bei+M&#252;nchen&amp;destination=48.14481670821761,12.12429853084091&amp;travelmode=car" TargetMode="External"/><Relationship Id="rId2201" Type="http://schemas.openxmlformats.org/officeDocument/2006/relationships/hyperlink" Target="https://www.google.com/maps/dir/?api=1&amp;origin=Gymnasium+Kirchheim,+Heimstettner+Str.+3,+85551+Kirchheim+bei+M&#252;nchen&amp;destination=48.095169548767856,11.235385797131558&amp;travelmode=car" TargetMode="External"/><Relationship Id="rId2506" Type="http://schemas.openxmlformats.org/officeDocument/2006/relationships/hyperlink" Target="https://www.google.com/maps/dir/?api=1&amp;origin=Gymnasium+Kirchheim,+Heimstettner+Str.+3,+85551+Kirchheim+bei+M&#252;nchen&amp;destination=48.07141033735247,11.708718322455919&amp;travelmode=car" TargetMode="External"/><Relationship Id="rId1010" Type="http://schemas.openxmlformats.org/officeDocument/2006/relationships/hyperlink" Target="https://www.google.com/maps/dir/?api=1&amp;origin=Gymnasium+Kirchheim,+Heimstettner+Str.+3,+85551+Kirchheim+bei+M&#252;nchen&amp;destination=48.20040843647394,11.708718322455919&amp;travelmode=car" TargetMode="External"/><Relationship Id="rId1108" Type="http://schemas.openxmlformats.org/officeDocument/2006/relationships/hyperlink" Target="https://www.google.com/maps/dir/?api=1&amp;origin=Gymnasium+Kirchheim,+Heimstettner+Str.+3,+85551+Kirchheim+bei+M&#252;nchen&amp;destination=48.19228303973242,11.824161128262173&amp;travelmode=car" TargetMode="External"/><Relationship Id="rId1315" Type="http://schemas.openxmlformats.org/officeDocument/2006/relationships/hyperlink" Target="https://www.google.com/maps/dir/?api=1&amp;origin=Gymnasium+Kirchheim,+Heimstettner+Str.+3,+85551+Kirchheim+bei+M&#252;nchen&amp;destination=48.174707059475246,12.182014408588692&amp;travelmode=car" TargetMode="External"/><Relationship Id="rId1967" Type="http://schemas.openxmlformats.org/officeDocument/2006/relationships/hyperlink" Target="https://www.google.com/maps/dir/?api=1&amp;origin=Gymnasium+Kirchheim,+Heimstettner+Str.+3,+85551+Kirchheim+bei+M&#252;nchen&amp;destination=48.1173966326995,11.581728752359444&amp;travelmode=car" TargetMode="External"/><Relationship Id="rId2713" Type="http://schemas.openxmlformats.org/officeDocument/2006/relationships/hyperlink" Target="https://www.google.com/maps/dir/?api=1&amp;origin=Gymnasium+Kirchheim,+Heimstettner+Str.+3,+85551+Kirchheim+bei+M&#252;nchen&amp;destination=48.05419249002603,12.066581641260367&amp;travelmode=car" TargetMode="External"/><Relationship Id="rId2920" Type="http://schemas.openxmlformats.org/officeDocument/2006/relationships/hyperlink" Target="https://www.google.com/maps/dir/?api=1&amp;origin=Gymnasium+Kirchheim,+Heimstettner+Str.+3,+85551+Kirchheim+bei+M&#252;nchen&amp;destination=48.03432590568049,11.408558185690326&amp;travelmode=car" TargetMode="External"/><Relationship Id="rId1522" Type="http://schemas.openxmlformats.org/officeDocument/2006/relationships/hyperlink" Target="https://www.google.com/maps/dir/?api=1&amp;origin=Gymnasium+Kirchheim,+Heimstettner+Str.+3,+85551+Kirchheim+bei+M&#252;nchen&amp;destination=48.15549901301382,11.524005541398747&amp;travelmode=car" TargetMode="External"/><Relationship Id="rId21" Type="http://schemas.openxmlformats.org/officeDocument/2006/relationships/hyperlink" Target="https://www.google.com/maps/dir/?api=1&amp;origin=Gymnasium+Kirchheim,+Heimstettner+Str.+3,+85551+Kirchheim+bei+M&#252;nchen&amp;destination=48.28462998930904,11.466281997410366&amp;travelmode=car" TargetMode="External"/><Relationship Id="rId2089" Type="http://schemas.openxmlformats.org/officeDocument/2006/relationships/hyperlink" Target="https://www.google.com/maps/dir/?api=1&amp;origin=Gymnasium+Kirchheim,+Heimstettner+Str.+3,+85551+Kirchheim+bei+M&#252;nchen&amp;destination=48.107942505185704,11.97423267615872&amp;travelmode=car" TargetMode="External"/><Relationship Id="rId3487" Type="http://schemas.openxmlformats.org/officeDocument/2006/relationships/hyperlink" Target="https://www.google.com/maps/dir/?api=1&amp;origin=Gymnasium+Kirchheim,+Heimstettner+Str.+3,+85551+Kirchheim+bei+M&#252;nchen&amp;destination=47.98721999468035,11.858793469207484&amp;travelmode=car" TargetMode="External"/><Relationship Id="rId2296" Type="http://schemas.openxmlformats.org/officeDocument/2006/relationships/hyperlink" Target="https://www.google.com/maps/dir/?api=1&amp;origin=Gymnasium+Kirchheim,+Heimstettner+Str.+3,+85551+Kirchheim+bei+M&#252;nchen&amp;destination=48.087549072352246,11.316199693041677&amp;travelmode=car" TargetMode="External"/><Relationship Id="rId3347" Type="http://schemas.openxmlformats.org/officeDocument/2006/relationships/hyperlink" Target="https://www.google.com/maps/dir/?api=1&amp;origin=Gymnasium+Kirchheim,+Heimstettner+Str.+3,+85551+Kirchheim+bei+M&#252;nchen&amp;destination=47.996517010782725,11.27002033596574&amp;travelmode=car" TargetMode="External"/><Relationship Id="rId3554" Type="http://schemas.openxmlformats.org/officeDocument/2006/relationships/hyperlink" Target="https://www.google.com/maps/dir/?api=1&amp;origin=Gymnasium+Kirchheim,+Heimstettner+Str.+3,+85551+Kirchheim+bei+M&#252;nchen&amp;destination=47.98069948732584,11.616362491920484&amp;travelmode=car" TargetMode="External"/><Relationship Id="rId268" Type="http://schemas.openxmlformats.org/officeDocument/2006/relationships/hyperlink" Target="https://www.google.com/maps/dir/?api=1&amp;origin=Gymnasium+Kirchheim,+Heimstettner+Str.+3,+85551+Kirchheim+bei+M&#252;nchen&amp;destination=48.26210479889056,11.258475490819581&amp;travelmode=car" TargetMode="External"/><Relationship Id="rId475" Type="http://schemas.openxmlformats.org/officeDocument/2006/relationships/hyperlink" Target="https://www.google.com/maps/dir/?api=1&amp;origin=Gymnasium+Kirchheim,+Heimstettner+Str.+3,+85551+Kirchheim+bei+M&#252;nchen&amp;destination=48.2462445239703,11.627907037470955&amp;travelmode=car" TargetMode="External"/><Relationship Id="rId682" Type="http://schemas.openxmlformats.org/officeDocument/2006/relationships/hyperlink" Target="https://www.google.com/maps/dir/?api=1&amp;origin=Gymnasium+Kirchheim,+Heimstettner+Str.+3,+85551+Kirchheim+bei+M&#252;nchen&amp;destination=48.229277380305,11.985776420185003&amp;travelmode=car" TargetMode="External"/><Relationship Id="rId2156" Type="http://schemas.openxmlformats.org/officeDocument/2006/relationships/hyperlink" Target="https://www.google.com/maps/dir/?api=1&amp;origin=Gymnasium+Kirchheim,+Heimstettner+Str.+3,+85551+Kirchheim+bei+M&#252;nchen&amp;destination=48.10166461948767,11.731807073753979&amp;travelmode=car" TargetMode="External"/><Relationship Id="rId2363" Type="http://schemas.openxmlformats.org/officeDocument/2006/relationships/hyperlink" Target="https://www.google.com/maps/dir/?api=1&amp;origin=Gymnasium+Kirchheim,+Heimstettner+Str.+3,+85551+Kirchheim+bei+M&#252;nchen&amp;destination=48.084375144074805,12.089668514337413&amp;travelmode=car" TargetMode="External"/><Relationship Id="rId2570" Type="http://schemas.openxmlformats.org/officeDocument/2006/relationships/hyperlink" Target="https://www.google.com/maps/dir/?api=1&amp;origin=Gymnasium+Kirchheim,+Heimstettner+Str.+3,+85551+Kirchheim+bei+M&#252;nchen&amp;destination=48.06464026947689,11.431647738327094&amp;travelmode=car" TargetMode="External"/><Relationship Id="rId3207" Type="http://schemas.openxmlformats.org/officeDocument/2006/relationships/hyperlink" Target="https://www.google.com/maps/dir/?api=1&amp;origin=Gymnasium+Kirchheim,+Heimstettner+Str.+3,+85551+Kirchheim+bei+M&#252;nchen&amp;destination=48.01084400185597,11.67408503422851&amp;travelmode=car" TargetMode="External"/><Relationship Id="rId3414" Type="http://schemas.openxmlformats.org/officeDocument/2006/relationships/hyperlink" Target="https://www.google.com/maps/dir/?api=1&amp;origin=Gymnasium+Kirchheim,+Heimstettner+Str.+3,+85551+Kirchheim+bei+M&#252;nchen&amp;destination=47.99373359796576,12.031951048971356&amp;travelmode=car" TargetMode="External"/><Relationship Id="rId128" Type="http://schemas.openxmlformats.org/officeDocument/2006/relationships/hyperlink" Target="https://www.google.com/maps/dir/?api=1&amp;origin=Gymnasium+Kirchheim,+Heimstettner+Str.+3,+85551+Kirchheim+bei+M&#252;nchen&amp;destination=48.27638326151868,11.685629484445332&amp;travelmode=car" TargetMode="External"/><Relationship Id="rId335" Type="http://schemas.openxmlformats.org/officeDocument/2006/relationships/hyperlink" Target="https://www.google.com/maps/dir/?api=1&amp;origin=Gymnasium+Kirchheim,+Heimstettner+Str.+3,+85551+Kirchheim+bei+M&#252;nchen&amp;destination=48.259237042979585,12.043494616728212&amp;travelmode=car" TargetMode="External"/><Relationship Id="rId542" Type="http://schemas.openxmlformats.org/officeDocument/2006/relationships/hyperlink" Target="https://www.google.com/maps/dir/?api=1&amp;origin=Gymnasium+Kirchheim,+Heimstettner+Str.+3,+85551+Kirchheim+bei+M&#252;nchen&amp;destination=48.23923874789149,11.385468600664204&amp;travelmode=car" TargetMode="External"/><Relationship Id="rId1172" Type="http://schemas.openxmlformats.org/officeDocument/2006/relationships/hyperlink" Target="https://www.google.com/maps/dir/?api=1&amp;origin=Gymnasium+Kirchheim,+Heimstettner+Str.+3,+85551+Kirchheim+bei+M&#252;nchen&amp;destination=48.18579026802667,11.547094869402834&amp;travelmode=car" TargetMode="External"/><Relationship Id="rId2016" Type="http://schemas.openxmlformats.org/officeDocument/2006/relationships/hyperlink" Target="https://www.google.com/maps/dir/?api=1&amp;origin=Gymnasium+Kirchheim,+Heimstettner+Str.+3,+85551+Kirchheim+bei+M&#252;nchen&amp;destination=48.11428282268467,12.147385007013046&amp;travelmode=car" TargetMode="External"/><Relationship Id="rId2223" Type="http://schemas.openxmlformats.org/officeDocument/2006/relationships/hyperlink" Target="https://www.google.com/maps/dir/?api=1&amp;origin=Gymnasium+Kirchheim,+Heimstettner+Str.+3,+85551+Kirchheim+bei+M&#252;nchen&amp;destination=48.09487721780608,11.489371450790154&amp;travelmode=car" TargetMode="External"/><Relationship Id="rId2430" Type="http://schemas.openxmlformats.org/officeDocument/2006/relationships/hyperlink" Target="https://www.google.com/maps/dir/?api=1&amp;origin=Gymnasium+Kirchheim,+Heimstettner+Str.+3,+85551+Kirchheim+bei+M&#252;nchen&amp;destination=48.07833986878658,11.847249383329679&amp;travelmode=car" TargetMode="External"/><Relationship Id="rId402" Type="http://schemas.openxmlformats.org/officeDocument/2006/relationships/hyperlink" Target="https://www.google.com/maps/dir/?api=1&amp;origin=Gymnasium+Kirchheim,+Heimstettner+Str.+3,+85551+Kirchheim+bei+M&#252;nchen&amp;destination=48.25310472501028,11.801072765593279&amp;travelmode=car" TargetMode="External"/><Relationship Id="rId1032" Type="http://schemas.openxmlformats.org/officeDocument/2006/relationships/hyperlink" Target="https://www.google.com/maps/dir/?api=1&amp;origin=Gymnasium+Kirchheim,+Heimstettner+Str.+3,+85551+Kirchheim+bei+M&#252;nchen&amp;destination=48.19907393218675,11.962688898444616&amp;travelmode=car" TargetMode="External"/><Relationship Id="rId1989" Type="http://schemas.openxmlformats.org/officeDocument/2006/relationships/hyperlink" Target="https://www.google.com/maps/dir/?api=1&amp;origin=Gymnasium+Kirchheim,+Heimstettner+Str.+3,+85551+Kirchheim+bei+M&#252;nchen&amp;destination=48.11634172322809,11.835705269507187&amp;travelmode=car" TargetMode="External"/><Relationship Id="rId1849" Type="http://schemas.openxmlformats.org/officeDocument/2006/relationships/hyperlink" Target="https://www.google.com/maps/dir/?api=1&amp;origin=Gymnasium+Kirchheim,+Heimstettner+Str.+3,+85551+Kirchheim+bei+M&#252;nchen&amp;destination=48.1255220426788,11.235385797131558&amp;travelmode=car" TargetMode="External"/><Relationship Id="rId3064" Type="http://schemas.openxmlformats.org/officeDocument/2006/relationships/hyperlink" Target="https://www.google.com/maps/dir/?api=1&amp;origin=Gymnasium+Kirchheim,+Heimstettner+Str.+3,+85551+Kirchheim+bei+M&#252;nchen&amp;destination=48.02392318324697,12.055038147665204&amp;travelmode=car" TargetMode="External"/><Relationship Id="rId192" Type="http://schemas.openxmlformats.org/officeDocument/2006/relationships/hyperlink" Target="https://www.google.com/maps/dir/?api=1&amp;origin=Gymnasium+Kirchheim,+Heimstettner+Str.+3,+85551+Kirchheim+bei+M&#252;nchen&amp;destination=48.26955773349024,11.408558185690326&amp;travelmode=car" TargetMode="External"/><Relationship Id="rId1709" Type="http://schemas.openxmlformats.org/officeDocument/2006/relationships/hyperlink" Target="https://www.google.com/maps/dir/?api=1&amp;origin=Gymnasium+Kirchheim,+Heimstettner+Str.+3,+85551+Kirchheim+bei+M&#252;nchen&amp;destination=48.13992875892258,11.650996073983201&amp;travelmode=car" TargetMode="External"/><Relationship Id="rId1916" Type="http://schemas.openxmlformats.org/officeDocument/2006/relationships/hyperlink" Target="https://www.google.com/maps/dir/?api=1&amp;origin=Gymnasium+Kirchheim,+Heimstettner+Str.+3,+85551+Kirchheim+bei+M&#252;nchen&amp;destination=48.12296739584251,11.997320130001427&amp;travelmode=car" TargetMode="External"/><Relationship Id="rId3271" Type="http://schemas.openxmlformats.org/officeDocument/2006/relationships/hyperlink" Target="https://www.google.com/maps/dir/?api=1&amp;origin=Gymnasium+Kirchheim,+Heimstettner+Str.+3,+85551+Kirchheim+bei+M&#252;nchen&amp;destination=48.003990743651705,11.397013396964736&amp;travelmode=car" TargetMode="External"/><Relationship Id="rId2080" Type="http://schemas.openxmlformats.org/officeDocument/2006/relationships/hyperlink" Target="https://www.google.com/maps/dir/?api=1&amp;origin=Gymnasium+Kirchheim,+Heimstettner+Str.+3,+85551+Kirchheim+bei+M&#252;nchen&amp;destination=48.10856642263547,11.870337526618448&amp;travelmode=car" TargetMode="External"/><Relationship Id="rId3131" Type="http://schemas.openxmlformats.org/officeDocument/2006/relationships/hyperlink" Target="https://www.google.com/maps/dir/?api=1&amp;origin=Gymnasium+Kirchheim,+Heimstettner+Str.+3,+85551+Kirchheim+bei+M&#252;nchen&amp;destination=48.01781512614058,11.81261696011681&amp;travelmode=car" TargetMode="External"/><Relationship Id="rId2897" Type="http://schemas.openxmlformats.org/officeDocument/2006/relationships/hyperlink" Target="https://www.google.com/maps/dir/?api=1&amp;origin=Gymnasium+Kirchheim,+Heimstettner+Str.+3,+85551+Kirchheim+bei+M&#252;nchen&amp;destination=48.03821557568897,12.170471317116936&amp;travelmode=car" TargetMode="External"/><Relationship Id="rId869" Type="http://schemas.openxmlformats.org/officeDocument/2006/relationships/hyperlink" Target="https://www.google.com/maps/dir/?api=1&amp;origin=Gymnasium+Kirchheim,+Heimstettner+Str.+3,+85551+Kirchheim+bei+M&#252;nchen&amp;destination=48.21319878258506,12.112755231783899&amp;travelmode=car" TargetMode="External"/><Relationship Id="rId1499" Type="http://schemas.openxmlformats.org/officeDocument/2006/relationships/hyperlink" Target="https://www.google.com/maps/dir/?api=1&amp;origin=Gymnasium+Kirchheim,+Heimstettner+Str.+3,+85551+Kirchheim+bei+M&#252;nchen&amp;destination=48.15587107020228,11.258475490819581&amp;travelmode=car" TargetMode="External"/><Relationship Id="rId729" Type="http://schemas.openxmlformats.org/officeDocument/2006/relationships/hyperlink" Target="https://www.google.com/maps/dir/?api=1&amp;origin=Gymnasium+Kirchheim,+Heimstettner+Str.+3,+85551+Kirchheim+bei+M&#252;nchen&amp;destination=48.22379212431341,11.524005541398747&amp;travelmode=car" TargetMode="External"/><Relationship Id="rId1359" Type="http://schemas.openxmlformats.org/officeDocument/2006/relationships/hyperlink" Target="https://www.google.com/maps/dir/?api=1&amp;origin=Gymnasium+Kirchheim,+Heimstettner+Str.+3,+85551+Kirchheim+bei+M&#252;nchen&amp;destination=48.17019459488837,11.67408503422851&amp;travelmode=car" TargetMode="External"/><Relationship Id="rId2757" Type="http://schemas.openxmlformats.org/officeDocument/2006/relationships/hyperlink" Target="https://www.google.com/maps/dir/?api=1&amp;origin=Gymnasium+Kirchheim,+Heimstettner+Str.+3,+85551+Kirchheim+bei+M&#252;nchen&amp;destination=48.049171692839565,11.55863951211732&amp;travelmode=car" TargetMode="External"/><Relationship Id="rId2964" Type="http://schemas.openxmlformats.org/officeDocument/2006/relationships/hyperlink" Target="https://www.google.com/maps/dir/?api=1&amp;origin=Gymnasium+Kirchheim,+Heimstettner+Str.+3,+85551+Kirchheim+bei+M&#252;nchen&amp;destination=48.032419444062015,11.916513461151142&amp;travelmode=car" TargetMode="External"/><Relationship Id="rId936" Type="http://schemas.openxmlformats.org/officeDocument/2006/relationships/hyperlink" Target="https://www.google.com/maps/dir/?api=1&amp;origin=Gymnasium+Kirchheim,+Heimstettner+Str.+3,+85551+Kirchheim+bei+M&#252;nchen&amp;destination=48.207212027846005,11.870337526618448&amp;travelmode=car" TargetMode="External"/><Relationship Id="rId1219" Type="http://schemas.openxmlformats.org/officeDocument/2006/relationships/hyperlink" Target="https://www.google.com/maps/dir/?api=1&amp;origin=Gymnasium+Kirchheim,+Heimstettner+Str.+3,+85551+Kirchheim+bei+M&#252;nchen&amp;destination=48.18302074928535,12.089668514337413&amp;travelmode=car" TargetMode="External"/><Relationship Id="rId1566" Type="http://schemas.openxmlformats.org/officeDocument/2006/relationships/hyperlink" Target="https://www.google.com/maps/dir/?api=1&amp;origin=Gymnasium+Kirchheim,+Heimstettner+Str.+3,+85551+Kirchheim+bei+M&#252;nchen&amp;destination=48.15308419099816,12.031951048971356&amp;travelmode=car" TargetMode="External"/><Relationship Id="rId1773" Type="http://schemas.openxmlformats.org/officeDocument/2006/relationships/hyperlink" Target="https://www.google.com/maps/dir/?api=1&amp;origin=Gymnasium+Kirchheim,+Heimstettner+Str.+3,+85551+Kirchheim+bei+M&#252;nchen&amp;destination=48.13302004017979,11.373923797311125&amp;travelmode=car" TargetMode="External"/><Relationship Id="rId1980" Type="http://schemas.openxmlformats.org/officeDocument/2006/relationships/hyperlink" Target="https://www.google.com/maps/dir/?api=1&amp;origin=Gymnasium+Kirchheim,+Heimstettner+Str.+3,+85551+Kirchheim+bei+M&#252;nchen&amp;destination=48.116890550017494,11.720262709205143&amp;travelmode=car" TargetMode="External"/><Relationship Id="rId2617" Type="http://schemas.openxmlformats.org/officeDocument/2006/relationships/hyperlink" Target="https://www.google.com/maps/dir/?api=1&amp;origin=Gymnasium+Kirchheim,+Heimstettner+Str.+3,+85551+Kirchheim+bei+M&#252;nchen&amp;destination=48.062413764319295,11.97423267615872&amp;travelmode=car" TargetMode="External"/><Relationship Id="rId2824" Type="http://schemas.openxmlformats.org/officeDocument/2006/relationships/hyperlink" Target="https://www.google.com/maps/dir/?api=1&amp;origin=Gymnasium+Kirchheim,+Heimstettner+Str.+3,+85551+Kirchheim+bei+M&#252;nchen&amp;destination=48.04202841971789,11.304654858343824&amp;travelmode=car" TargetMode="External"/><Relationship Id="rId65" Type="http://schemas.openxmlformats.org/officeDocument/2006/relationships/hyperlink" Target="https://www.google.com/maps/dir/?api=1&amp;origin=Gymnasium+Kirchheim,+Heimstettner+Str.+3,+85551+Kirchheim+bei+M&#252;nchen&amp;destination=48.28246934517358,11.97423267615872&amp;travelmode=car" TargetMode="External"/><Relationship Id="rId1426" Type="http://schemas.openxmlformats.org/officeDocument/2006/relationships/hyperlink" Target="https://www.google.com/maps/dir/?api=1&amp;origin=Gymnasium+Kirchheim,+Heimstettner+Str.+3,+85551+Kirchheim+bei+M&#252;nchen&amp;destination=48.163285874687425,11.431647738327094&amp;travelmode=car" TargetMode="External"/><Relationship Id="rId1633" Type="http://schemas.openxmlformats.org/officeDocument/2006/relationships/hyperlink" Target="https://www.google.com/maps/dir/?api=1&amp;origin=Gymnasium+Kirchheim,+Heimstettner+Str.+3,+85551+Kirchheim+bei+M&#252;nchen&amp;destination=48.14692761204098,11.789528545213775&amp;travelmode=car" TargetMode="External"/><Relationship Id="rId1840" Type="http://schemas.openxmlformats.org/officeDocument/2006/relationships/hyperlink" Target="https://www.google.com/maps/dir/?api=1&amp;origin=Gymnasium+Kirchheim,+Heimstettner+Str.+3,+85551+Kirchheim+bei+M&#252;nchen&amp;destination=48.12945906964014,12.147385007013046&amp;travelmode=car" TargetMode="External"/><Relationship Id="rId1700" Type="http://schemas.openxmlformats.org/officeDocument/2006/relationships/hyperlink" Target="https://www.google.com/maps/dir/?api=1&amp;origin=Gymnasium+Kirchheim,+Heimstettner+Str.+3,+85551+Kirchheim+bei+M&#252;nchen&amp;destination=48.14026152716028,11.547094869402834&amp;travelmode=car" TargetMode="External"/><Relationship Id="rId3598" Type="http://schemas.openxmlformats.org/officeDocument/2006/relationships/hyperlink" Target="https://www.google.com/maps/dir/?api=1&amp;origin=Gymnasium+Kirchheim,+Heimstettner+Str.+3,+85551+Kirchheim+bei+M&#252;nchen&amp;destination=47.97796695477533,12.112755231783899&amp;travelmode=car" TargetMode="External"/><Relationship Id="rId3458" Type="http://schemas.openxmlformats.org/officeDocument/2006/relationships/hyperlink" Target="https://www.google.com/maps/dir/?api=1&amp;origin=Gymnasium+Kirchheim,+Heimstettner+Str.+3,+85551+Kirchheim+bei+M&#252;nchen&amp;destination=47.988560296503685,11.524005541398747&amp;travelmode=car" TargetMode="External"/><Relationship Id="rId379" Type="http://schemas.openxmlformats.org/officeDocument/2006/relationships/hyperlink" Target="https://www.google.com/maps/dir/?api=1&amp;origin=Gymnasium+Kirchheim,+Heimstettner+Str.+3,+85551+Kirchheim+bei+M&#252;nchen&amp;destination=48.25411457648919,11.535550212322528&amp;travelmode=car" TargetMode="External"/><Relationship Id="rId586" Type="http://schemas.openxmlformats.org/officeDocument/2006/relationships/hyperlink" Target="https://www.google.com/maps/dir/?api=1&amp;origin=Gymnasium+Kirchheim,+Heimstettner+Str.+3,+85551+Kirchheim+bei+M&#252;nchen&amp;destination=48.23743396045595,11.893425553951282&amp;travelmode=car" TargetMode="External"/><Relationship Id="rId793" Type="http://schemas.openxmlformats.org/officeDocument/2006/relationships/hyperlink" Target="https://www.google.com/maps/dir/?api=1&amp;origin=Gymnasium+Kirchheim,+Heimstettner+Str.+3,+85551+Kirchheim+bei+M&#252;nchen&amp;destination=48.21657836894908,11.246930644367383&amp;travelmode=car" TargetMode="External"/><Relationship Id="rId2267" Type="http://schemas.openxmlformats.org/officeDocument/2006/relationships/hyperlink" Target="https://www.google.com/maps/dir/?api=1&amp;origin=Gymnasium+Kirchheim,+Heimstettner+Str.+3,+85551+Kirchheim+bei+M&#252;nchen&amp;destination=48.09261490193158,11.997320130001427&amp;travelmode=car" TargetMode="External"/><Relationship Id="rId2474" Type="http://schemas.openxmlformats.org/officeDocument/2006/relationships/hyperlink" Target="https://www.google.com/maps/dir/?api=1&amp;origin=Gymnasium+Kirchheim,+Heimstettner+Str.+3,+85551+Kirchheim+bei+M&#252;nchen&amp;destination=48.07235318255429,11.339289350160644&amp;travelmode=car" TargetMode="External"/><Relationship Id="rId2681" Type="http://schemas.openxmlformats.org/officeDocument/2006/relationships/hyperlink" Target="https://www.google.com/maps/dir/?api=1&amp;origin=Gymnasium+Kirchheim,+Heimstettner+Str.+3,+85551+Kirchheim+bei+M&#252;nchen&amp;destination=48.0562814632213,11.69717391402856&amp;travelmode=car" TargetMode="External"/><Relationship Id="rId3318" Type="http://schemas.openxmlformats.org/officeDocument/2006/relationships/hyperlink" Target="https://www.google.com/maps/dir/?api=1&amp;origin=Gymnasium+Kirchheim,+Heimstettner+Str.+3,+85551+Kirchheim+bei+M&#252;nchen&amp;destination=48.00192714650824,11.939601244041153&amp;travelmode=car" TargetMode="External"/><Relationship Id="rId3525" Type="http://schemas.openxmlformats.org/officeDocument/2006/relationships/hyperlink" Target="https://www.google.com/maps/dir/?api=1&amp;origin=Gymnasium+Kirchheim,+Heimstettner+Str.+3,+85551+Kirchheim+bei+M&#252;nchen&amp;destination=47.981336141978204,11.281565179283442&amp;travelmode=car" TargetMode="External"/><Relationship Id="rId239" Type="http://schemas.openxmlformats.org/officeDocument/2006/relationships/hyperlink" Target="https://www.google.com/maps/dir/?api=1&amp;origin=Gymnasium+Kirchheim,+Heimstettner+Str.+3,+85551+Kirchheim+bei+M&#252;nchen&amp;destination=48.26743983349205,11.95114508756474&amp;travelmode=car" TargetMode="External"/><Relationship Id="rId446" Type="http://schemas.openxmlformats.org/officeDocument/2006/relationships/hyperlink" Target="https://www.google.com/maps/dir/?api=1&amp;origin=Gymnasium+Kirchheim,+Heimstettner+Str.+3,+85551+Kirchheim+bei+M&#252;nchen&amp;destination=48.24691468638831,11.293110020250275&amp;travelmode=car" TargetMode="External"/><Relationship Id="rId653" Type="http://schemas.openxmlformats.org/officeDocument/2006/relationships/hyperlink" Target="https://www.google.com/maps/dir/?api=1&amp;origin=Gymnasium+Kirchheim,+Heimstettner+Str.+3,+85551+Kirchheim+bei+M&#252;nchen&amp;destination=48.23098624065538,11.650996073983201&amp;travelmode=car" TargetMode="External"/><Relationship Id="rId1076" Type="http://schemas.openxmlformats.org/officeDocument/2006/relationships/hyperlink" Target="https://www.google.com/maps/dir/?api=1&amp;origin=Gymnasium+Kirchheim,+Heimstettner+Str.+3,+85551+Kirchheim+bei+M&#252;nchen&amp;destination=48.193595616694566,11.454737254395377&amp;travelmode=car" TargetMode="External"/><Relationship Id="rId1283" Type="http://schemas.openxmlformats.org/officeDocument/2006/relationships/hyperlink" Target="https://www.google.com/maps/dir/?api=1&amp;origin=Gymnasium+Kirchheim,+Heimstettner+Str.+3,+85551+Kirchheim+bei+M&#252;nchen&amp;destination=48.17716571917299,11.81261696011681&amp;travelmode=car" TargetMode="External"/><Relationship Id="rId1490" Type="http://schemas.openxmlformats.org/officeDocument/2006/relationships/hyperlink" Target="https://www.google.com/maps/dir/?api=1&amp;origin=Gymnasium+Kirchheim,+Heimstettner+Str.+3,+85551+Kirchheim+bei+M&#252;nchen&amp;destination=48.15962555133271,12.170471317116936&amp;travelmode=car" TargetMode="External"/><Relationship Id="rId2127" Type="http://schemas.openxmlformats.org/officeDocument/2006/relationships/hyperlink" Target="https://www.google.com/maps/dir/?api=1&amp;origin=Gymnasium+Kirchheim,+Heimstettner+Str.+3,+85551+Kirchheim+bei+M&#252;nchen&amp;destination=48.10263634886224,11.397013396964736&amp;travelmode=car" TargetMode="External"/><Relationship Id="rId2334" Type="http://schemas.openxmlformats.org/officeDocument/2006/relationships/hyperlink" Target="https://www.google.com/maps/dir/?api=1&amp;origin=Gymnasium+Kirchheim,+Heimstettner+Str.+3,+85551+Kirchheim+bei+M&#252;nchen&amp;destination=48.08638553928186,11.754895734161472&amp;travelmode=car" TargetMode="External"/><Relationship Id="rId306" Type="http://schemas.openxmlformats.org/officeDocument/2006/relationships/hyperlink" Target="https://www.google.com/maps/dir/?api=1&amp;origin=Gymnasium+Kirchheim,+Heimstettner+Str.+3,+85551+Kirchheim+bei+M&#252;nchen&amp;destination=48.26111342429582,11.708718322455919&amp;travelmode=car" TargetMode="External"/><Relationship Id="rId860" Type="http://schemas.openxmlformats.org/officeDocument/2006/relationships/hyperlink" Target="https://www.google.com/maps/dir/?api=1&amp;origin=Gymnasium+Kirchheim,+Heimstettner+Str.+3,+85551+Kirchheim+bei+M&#252;nchen&amp;destination=48.213947466557876,12.00886380508597&amp;travelmode=car" TargetMode="External"/><Relationship Id="rId1143" Type="http://schemas.openxmlformats.org/officeDocument/2006/relationships/hyperlink" Target="https://www.google.com/maps/dir/?api=1&amp;origin=Gymnasium+Kirchheim,+Heimstettner+Str.+3,+85551+Kirchheim+bei+M&#252;nchen&amp;destination=48.189492800011564,12.228186338432307&amp;travelmode=car" TargetMode="External"/><Relationship Id="rId2541" Type="http://schemas.openxmlformats.org/officeDocument/2006/relationships/hyperlink" Target="https://www.google.com/maps/dir/?api=1&amp;origin=Gymnasium+Kirchheim,+Heimstettner+Str.+3,+85551+Kirchheim+bei+M&#252;nchen&amp;destination=48.06902443650813,12.112755231783899&amp;travelmode=car" TargetMode="External"/><Relationship Id="rId513" Type="http://schemas.openxmlformats.org/officeDocument/2006/relationships/hyperlink" Target="https://www.google.com/maps/dir/?api=1&amp;origin=Gymnasium+Kirchheim,+Heimstettner+Str.+3,+85551+Kirchheim+bei+M&#252;nchen&amp;destination=48.24389557696937,12.066581641260367&amp;travelmode=car" TargetMode="External"/><Relationship Id="rId720" Type="http://schemas.openxmlformats.org/officeDocument/2006/relationships/hyperlink" Target="https://www.google.com/maps/dir/?api=1&amp;origin=Gymnasium+Kirchheim,+Heimstettner+Str.+3,+85551+Kirchheim+bei+M&#252;nchen&amp;destination=48.22402899262383,11.408558185690326&amp;travelmode=car" TargetMode="External"/><Relationship Id="rId1350" Type="http://schemas.openxmlformats.org/officeDocument/2006/relationships/hyperlink" Target="https://www.google.com/maps/dir/?api=1&amp;origin=Gymnasium+Kirchheim,+Heimstettner+Str.+3,+85551+Kirchheim+bei+M&#252;nchen&amp;destination=48.170548160473146,11.570184139943638&amp;travelmode=car" TargetMode="External"/><Relationship Id="rId2401" Type="http://schemas.openxmlformats.org/officeDocument/2006/relationships/hyperlink" Target="https://www.google.com/maps/dir/?api=1&amp;origin=Gymnasium+Kirchheim,+Heimstettner+Str.+3,+85551+Kirchheim+bei+M&#252;nchen&amp;destination=48.079646664541414,11.512460857153851&amp;travelmode=car" TargetMode="External"/><Relationship Id="rId1003" Type="http://schemas.openxmlformats.org/officeDocument/2006/relationships/hyperlink" Target="https://www.google.com/maps/dir/?api=1&amp;origin=Gymnasium+Kirchheim,+Heimstettner+Str.+3,+85551+Kirchheim+bei+M&#252;nchen&amp;destination=48.2007157831039,11.627907037470955&amp;travelmode=car" TargetMode="External"/><Relationship Id="rId1210" Type="http://schemas.openxmlformats.org/officeDocument/2006/relationships/hyperlink" Target="https://www.google.com/maps/dir/?api=1&amp;origin=Gymnasium+Kirchheim,+Heimstettner+Str.+3,+85551+Kirchheim+bei+M&#252;nchen&amp;destination=48.183748639438605,11.985776420185003&amp;travelmode=car" TargetMode="External"/><Relationship Id="rId3175" Type="http://schemas.openxmlformats.org/officeDocument/2006/relationships/hyperlink" Target="https://www.google.com/maps/dir/?api=1&amp;origin=Gymnasium+Kirchheim,+Heimstettner+Str.+3,+85551+Kirchheim+bei+M&#252;nchen&amp;destination=48.011675925806934,11.304654858343824&amp;travelmode=car" TargetMode="External"/><Relationship Id="rId3382" Type="http://schemas.openxmlformats.org/officeDocument/2006/relationships/hyperlink" Target="https://www.google.com/maps/dir/?api=1&amp;origin=Gymnasium+Kirchheim,+Heimstettner+Str.+3,+85551+Kirchheim+bei+M&#252;nchen&amp;destination=47.99571166156947,11.66254056390037&amp;travelmode=car" TargetMode="External"/><Relationship Id="rId2191" Type="http://schemas.openxmlformats.org/officeDocument/2006/relationships/hyperlink" Target="https://www.google.com/maps/dir/?api=1&amp;origin=Gymnasium+Kirchheim,+Heimstettner+Str.+3,+85551+Kirchheim+bei+M&#252;nchen&amp;destination=48.09919784911868,12.135841789424584&amp;travelmode=car" TargetMode="External"/><Relationship Id="rId3035" Type="http://schemas.openxmlformats.org/officeDocument/2006/relationships/hyperlink" Target="https://www.google.com/maps/dir/?api=1&amp;origin=Gymnasium+Kirchheim,+Heimstettner+Str.+3,+85551+Kirchheim+bei+M&#252;nchen&amp;destination=48.02583306828469,11.720262709205143&amp;travelmode=car" TargetMode="External"/><Relationship Id="rId3242" Type="http://schemas.openxmlformats.org/officeDocument/2006/relationships/hyperlink" Target="https://www.google.com/maps/dir/?api=1&amp;origin=Gymnasium+Kirchheim,+Heimstettner+Str.+3,+85551+Kirchheim+bei+M&#252;nchen&amp;destination=48.00857940682585,12.078125096991752&amp;travelmode=car" TargetMode="External"/><Relationship Id="rId163" Type="http://schemas.openxmlformats.org/officeDocument/2006/relationships/hyperlink" Target="https://www.google.com/maps/dir/?api=1&amp;origin=Gymnasium+Kirchheim,+Heimstettner+Str.+3,+85551+Kirchheim+bei+M&#252;nchen&amp;destination=48.274078231018144,12.089668514337413&amp;travelmode=car" TargetMode="External"/><Relationship Id="rId370" Type="http://schemas.openxmlformats.org/officeDocument/2006/relationships/hyperlink" Target="https://www.google.com/maps/dir/?api=1&amp;origin=Gymnasium+Kirchheim,+Heimstettner+Str.+3,+85551+Kirchheim+bei+M&#252;nchen&amp;destination=48.254343356420236,11.431647738327094&amp;travelmode=car" TargetMode="External"/><Relationship Id="rId2051" Type="http://schemas.openxmlformats.org/officeDocument/2006/relationships/hyperlink" Target="https://www.google.com/maps/dir/?api=1&amp;origin=Gymnasium+Kirchheim,+Heimstettner+Str.+3,+85551+Kirchheim+bei+M&#252;nchen&amp;destination=48.10994023041224,11.535550212322528&amp;travelmode=car" TargetMode="External"/><Relationship Id="rId3102" Type="http://schemas.openxmlformats.org/officeDocument/2006/relationships/hyperlink" Target="https://www.google.com/maps/dir/?api=1&amp;origin=Gymnasium+Kirchheim,+Heimstettner+Str.+3,+85551+Kirchheim+bei+M&#252;nchen&amp;destination=48.019045667588365,11.466281997410366&amp;travelmode=car" TargetMode="External"/><Relationship Id="rId230" Type="http://schemas.openxmlformats.org/officeDocument/2006/relationships/hyperlink" Target="https://www.google.com/maps/dir/?api=1&amp;origin=Gymnasium+Kirchheim,+Heimstettner+Str.+3,+85551+Kirchheim+bei+M&#252;nchen&amp;destination=48.268042955729925,11.847249383329679&amp;travelmode=car" TargetMode="External"/><Relationship Id="rId2868" Type="http://schemas.openxmlformats.org/officeDocument/2006/relationships/hyperlink" Target="https://www.google.com/maps/dir/?api=1&amp;origin=Gymnasium+Kirchheim,+Heimstettner+Str.+3,+85551+Kirchheim+bei+M&#252;nchen&amp;destination=48.04052057017776,11.824161128262173&amp;travelmode=car" TargetMode="External"/><Relationship Id="rId1677" Type="http://schemas.openxmlformats.org/officeDocument/2006/relationships/hyperlink" Target="https://www.google.com/maps/dir/?api=1&amp;origin=Gymnasium+Kirchheim,+Heimstettner+Str.+3,+85551+Kirchheim+bei+M&#252;nchen&amp;destination=48.140680957700035,11.293110020250275&amp;travelmode=car" TargetMode="External"/><Relationship Id="rId1884" Type="http://schemas.openxmlformats.org/officeDocument/2006/relationships/hyperlink" Target="https://www.google.com/maps/dir/?api=1&amp;origin=Gymnasium+Kirchheim,+Heimstettner+Str.+3,+85551+Kirchheim+bei+M&#252;nchen&amp;destination=48.12479410784686,11.639451564999296&amp;travelmode=car" TargetMode="External"/><Relationship Id="rId2728" Type="http://schemas.openxmlformats.org/officeDocument/2006/relationships/hyperlink" Target="https://www.google.com/maps/dir/?api=1&amp;origin=Gymnasium+Kirchheim,+Heimstettner+Str.+3,+85551+Kirchheim+bei+M&#252;nchen&amp;destination=48.0528060630576,12.239729209273484&amp;travelmode=car" TargetMode="External"/><Relationship Id="rId2935" Type="http://schemas.openxmlformats.org/officeDocument/2006/relationships/hyperlink" Target="https://www.google.com/maps/dir/?api=1&amp;origin=Gymnasium+Kirchheim,+Heimstettner+Str.+3,+85551+Kirchheim+bei+M&#252;nchen&amp;destination=48.03392727444444,11.581728752359444&amp;travelmode=car" TargetMode="External"/><Relationship Id="rId907" Type="http://schemas.openxmlformats.org/officeDocument/2006/relationships/hyperlink" Target="https://www.google.com/maps/dir/?api=1&amp;origin=Gymnasium+Kirchheim,+Heimstettner+Str.+3,+85551+Kirchheim+bei+M&#252;nchen&amp;destination=48.20858583562278,11.535550212322528&amp;travelmode=car" TargetMode="External"/><Relationship Id="rId1537" Type="http://schemas.openxmlformats.org/officeDocument/2006/relationships/hyperlink" Target="https://www.google.com/maps/dir/?api=1&amp;origin=Gymnasium+Kirchheim,+Heimstettner+Str.+3,+85551+Kirchheim+bei+M&#252;nchen&amp;destination=48.15492706843183,11.69717391402856&amp;travelmode=car" TargetMode="External"/><Relationship Id="rId1744" Type="http://schemas.openxmlformats.org/officeDocument/2006/relationships/hyperlink" Target="https://www.google.com/maps/dir/?api=1&amp;origin=Gymnasium+Kirchheim,+Heimstettner+Str.+3,+85551+Kirchheim+bei+M&#252;nchen&amp;destination=48.13774503541296,12.055038147665204&amp;travelmode=car" TargetMode="External"/><Relationship Id="rId1951" Type="http://schemas.openxmlformats.org/officeDocument/2006/relationships/hyperlink" Target="https://www.google.com/maps/dir/?api=1&amp;origin=Gymnasium+Kirchheim,+Heimstettner+Str.+3,+85551+Kirchheim+bei+M&#252;nchen&amp;destination=48.11779526393556,11.408558185690326&amp;travelmode=car" TargetMode="External"/><Relationship Id="rId36" Type="http://schemas.openxmlformats.org/officeDocument/2006/relationships/hyperlink" Target="https://www.google.com/maps/dir/?api=1&amp;origin=Gymnasium+Kirchheim,+Heimstettner+Str.+3,+85551+Kirchheim+bei+M&#252;nchen&amp;destination=48.28414470087926,11.639451564999296&amp;travelmode=car" TargetMode="External"/><Relationship Id="rId1604" Type="http://schemas.openxmlformats.org/officeDocument/2006/relationships/hyperlink" Target="https://www.google.com/maps/dir/?api=1&amp;origin=Gymnasium+Kirchheim,+Heimstettner+Str.+3,+85551+Kirchheim+bei+M&#252;nchen&amp;destination=48.14806687582816,11.454737254395377&amp;travelmode=car" TargetMode="External"/><Relationship Id="rId1811" Type="http://schemas.openxmlformats.org/officeDocument/2006/relationships/hyperlink" Target="https://www.google.com/maps/dir/?api=1&amp;origin=Gymnasium+Kirchheim,+Heimstettner+Str.+3,+85551+Kirchheim+bei+M&#252;nchen&amp;destination=48.13157805191056,11.824161128262173&amp;travelmode=car" TargetMode="External"/><Relationship Id="rId3569" Type="http://schemas.openxmlformats.org/officeDocument/2006/relationships/hyperlink" Target="https://www.google.com/maps/dir/?api=1&amp;origin=Gymnasium+Kirchheim,+Heimstettner+Str.+3,+85551+Kirchheim+bei+M&#252;nchen&amp;destination=47.97998889553084,11.789528545213775&amp;travelmode=car" TargetMode="External"/><Relationship Id="rId697" Type="http://schemas.openxmlformats.org/officeDocument/2006/relationships/hyperlink" Target="https://www.google.com/maps/dir/?api=1&amp;origin=Gymnasium+Kirchheim,+Heimstettner+Str.+3,+85551+Kirchheim+bei+M&#252;nchen&amp;destination=48.228012246312076,12.158928183084447&amp;travelmode=car" TargetMode="External"/><Relationship Id="rId2378" Type="http://schemas.openxmlformats.org/officeDocument/2006/relationships/hyperlink" Target="https://www.google.com/maps/dir/?api=1&amp;origin=Gymnasium+Kirchheim,+Heimstettner+Str.+3,+85551+Kirchheim+bei+M&#252;nchen&amp;destination=48.0799933018124,11.235385797131558&amp;travelmode=car" TargetMode="External"/><Relationship Id="rId3429" Type="http://schemas.openxmlformats.org/officeDocument/2006/relationships/hyperlink" Target="https://www.google.com/maps/dir/?api=1&amp;origin=Gymnasium+Kirchheim,+Heimstettner+Str.+3,+85551+Kirchheim+bei+M&#252;nchen&amp;destination=47.99239915301694,12.205100461762754&amp;travelmode=car" TargetMode="External"/><Relationship Id="rId1187" Type="http://schemas.openxmlformats.org/officeDocument/2006/relationships/hyperlink" Target="https://www.google.com/maps/dir/?api=1&amp;origin=Gymnasium+Kirchheim,+Heimstettner+Str.+3,+85551+Kirchheim+bei+M&#252;nchen&amp;destination=48.1851836613171,11.720262709205143&amp;travelmode=car" TargetMode="External"/><Relationship Id="rId2585" Type="http://schemas.openxmlformats.org/officeDocument/2006/relationships/hyperlink" Target="https://www.google.com/maps/dir/?api=1&amp;origin=Gymnasium+Kirchheim,+Heimstettner+Str.+3,+85551+Kirchheim+bei+M&#252;nchen&amp;destination=48.06420697525027,11.604817928870196&amp;travelmode=car" TargetMode="External"/><Relationship Id="rId2792" Type="http://schemas.openxmlformats.org/officeDocument/2006/relationships/hyperlink" Target="https://www.google.com/maps/dir/?api=1&amp;origin=Gymnasium+Kirchheim,+Heimstettner+Str.+3,+85551+Kirchheim+bei+M&#252;nchen&amp;destination=48.047311462632074,11.962688898444616&amp;travelmode=car" TargetMode="External"/><Relationship Id="rId557" Type="http://schemas.openxmlformats.org/officeDocument/2006/relationships/hyperlink" Target="https://www.google.com/maps/dir/?api=1&amp;origin=Gymnasium+Kirchheim,+Heimstettner+Str.+3,+85551+Kirchheim+bei+M&#252;nchen&amp;destination=48.238874779782904,11.55863951211732&amp;travelmode=car" TargetMode="External"/><Relationship Id="rId764" Type="http://schemas.openxmlformats.org/officeDocument/2006/relationships/hyperlink" Target="https://www.google.com/maps/dir/?api=1&amp;origin=Gymnasium+Kirchheim,+Heimstettner+Str.+3,+85551+Kirchheim+bei+M&#252;nchen&amp;destination=48.222122531005354,11.916513461151142&amp;travelmode=car" TargetMode="External"/><Relationship Id="rId971" Type="http://schemas.openxmlformats.org/officeDocument/2006/relationships/hyperlink" Target="https://www.google.com/maps/dir/?api=1&amp;origin=Gymnasium+Kirchheim,+Heimstettner+Str.+3,+85551+Kirchheim+bei+M&#252;nchen&amp;destination=48.20139981106869,11.258475490819581&amp;travelmode=car" TargetMode="External"/><Relationship Id="rId1394" Type="http://schemas.openxmlformats.org/officeDocument/2006/relationships/hyperlink" Target="https://www.google.com/maps/dir/?api=1&amp;origin=Gymnasium+Kirchheim,+Heimstettner+Str.+3,+85551+Kirchheim+bei+M&#252;nchen&amp;destination=48.167929999858266,12.078125096991752&amp;travelmode=car" TargetMode="External"/><Relationship Id="rId2238" Type="http://schemas.openxmlformats.org/officeDocument/2006/relationships/hyperlink" Target="https://www.google.com/maps/dir/?api=1&amp;origin=Gymnasium+Kirchheim,+Heimstettner+Str.+3,+85551+Kirchheim+bei+M&#252;nchen&amp;destination=48.09435726678001,11.66254056390037&amp;travelmode=car" TargetMode="External"/><Relationship Id="rId2445" Type="http://schemas.openxmlformats.org/officeDocument/2006/relationships/hyperlink" Target="https://www.google.com/maps/dir/?api=1&amp;origin=Gymnasium+Kirchheim,+Heimstettner+Str.+3,+85551+Kirchheim+bei+M&#252;nchen&amp;destination=48.07728267770465,12.02040744491661&amp;travelmode=car" TargetMode="External"/><Relationship Id="rId2652" Type="http://schemas.openxmlformats.org/officeDocument/2006/relationships/hyperlink" Target="https://www.google.com/maps/dir/?api=1&amp;origin=Gymnasium+Kirchheim,+Heimstettner+Str.+3,+85551+Kirchheim+bei+M&#252;nchen&amp;destination=48.05716538099005,11.350834171536942&amp;travelmode=car" TargetMode="External"/><Relationship Id="rId417" Type="http://schemas.openxmlformats.org/officeDocument/2006/relationships/hyperlink" Target="https://www.google.com/maps/dir/?api=1&amp;origin=Gymnasium+Kirchheim,+Heimstettner+Str.+3,+85551+Kirchheim+bei+M&#252;nchen&amp;destination=48.2520417507382,11.985776420185003&amp;travelmode=car" TargetMode="External"/><Relationship Id="rId624" Type="http://schemas.openxmlformats.org/officeDocument/2006/relationships/hyperlink" Target="https://www.google.com/maps/dir/?api=1&amp;origin=Gymnasium+Kirchheim,+Heimstettner+Str.+3,+85551+Kirchheim+bei+M&#252;nchen&amp;destination=48.23172341842918,11.316199693041677&amp;travelmode=car" TargetMode="External"/><Relationship Id="rId831" Type="http://schemas.openxmlformats.org/officeDocument/2006/relationships/hyperlink" Target="https://www.google.com/maps/dir/?api=1&amp;origin=Gymnasium+Kirchheim,+Heimstettner+Str.+3,+85551+Kirchheim+bei+M&#252;nchen&amp;destination=48.21572333575478,11.67408503422851&amp;travelmode=car" TargetMode="External"/><Relationship Id="rId1047" Type="http://schemas.openxmlformats.org/officeDocument/2006/relationships/hyperlink" Target="https://www.google.com/maps/dir/?api=1&amp;origin=Gymnasium+Kirchheim,+Heimstettner+Str.+3,+85551+Kirchheim+bei+M&#252;nchen&amp;destination=48.197843454329224,12.135841789424584&amp;travelmode=car" TargetMode="External"/><Relationship Id="rId1254" Type="http://schemas.openxmlformats.org/officeDocument/2006/relationships/hyperlink" Target="https://www.google.com/maps/dir/?api=1&amp;origin=Gymnasium+Kirchheim,+Heimstettner+Str.+3,+85551+Kirchheim+bei+M&#252;nchen&amp;destination=48.17837199606076,11.477826729716085&amp;travelmode=car" TargetMode="External"/><Relationship Id="rId1461" Type="http://schemas.openxmlformats.org/officeDocument/2006/relationships/hyperlink" Target="https://www.google.com/maps/dir/?api=1&amp;origin=Gymnasium+Kirchheim,+Heimstettner+Str.+3,+85551+Kirchheim+bei+M&#252;nchen&amp;destination=48.16187046409449,11.835705269507187&amp;travelmode=car" TargetMode="External"/><Relationship Id="rId2305" Type="http://schemas.openxmlformats.org/officeDocument/2006/relationships/hyperlink" Target="https://www.google.com/maps/dir/?api=1&amp;origin=Gymnasium+Kirchheim,+Heimstettner+Str.+3,+85551+Kirchheim+bei+M&#252;nchen&amp;destination=48.08742428269188,11.420102966318577&amp;travelmode=car" TargetMode="External"/><Relationship Id="rId2512" Type="http://schemas.openxmlformats.org/officeDocument/2006/relationships/hyperlink" Target="https://www.google.com/maps/dir/?api=1&amp;origin=Gymnasium+Kirchheim,+Heimstettner+Str.+3,+85551+Kirchheim+bei+M&#252;nchen&amp;destination=48.071101837636746,11.777984299500497&amp;travelmode=car" TargetMode="External"/><Relationship Id="rId1114" Type="http://schemas.openxmlformats.org/officeDocument/2006/relationships/hyperlink" Target="https://www.google.com/maps/dir/?api=1&amp;origin=Gymnasium+Kirchheim,+Heimstettner+Str.+3,+85551+Kirchheim+bei+M&#252;nchen&amp;destination=48.19190521958955,11.893425553951282&amp;travelmode=car" TargetMode="External"/><Relationship Id="rId1321" Type="http://schemas.openxmlformats.org/officeDocument/2006/relationships/hyperlink" Target="https://www.google.com/maps/dir/?api=1&amp;origin=Gymnasium+Kirchheim,+Heimstettner+Str.+3,+85551+Kirchheim+bei+M&#252;nchen&amp;destination=48.17105078354519,11.235385797131558&amp;travelmode=car" TargetMode="External"/><Relationship Id="rId3079" Type="http://schemas.openxmlformats.org/officeDocument/2006/relationships/hyperlink" Target="https://www.google.com/maps/dir/?api=1&amp;origin=Gymnasium+Kirchheim,+Heimstettner+Str.+3,+85551+Kirchheim+bei+M&#252;nchen&amp;destination=48.02255408350143,12.228186338432307&amp;travelmode=car" TargetMode="External"/><Relationship Id="rId3286" Type="http://schemas.openxmlformats.org/officeDocument/2006/relationships/hyperlink" Target="https://www.google.com/maps/dir/?api=1&amp;origin=Gymnasium+Kirchheim,+Heimstettner+Str.+3,+85551+Kirchheim+bei+M&#252;nchen&amp;destination=48.00360944396301,11.570184139943638&amp;travelmode=car" TargetMode="External"/><Relationship Id="rId3493" Type="http://schemas.openxmlformats.org/officeDocument/2006/relationships/hyperlink" Target="https://www.google.com/maps/dir/?api=1&amp;origin=Gymnasium+Kirchheim,+Heimstettner+Str.+3,+85551+Kirchheim+bei+M&#252;nchen&amp;destination=47.9868213790147,11.928057368395926&amp;travelmode=car" TargetMode="External"/><Relationship Id="rId2095" Type="http://schemas.openxmlformats.org/officeDocument/2006/relationships/hyperlink" Target="https://www.google.com/maps/dir/?api=1&amp;origin=Gymnasium+Kirchheim,+Heimstettner+Str.+3,+85551+Kirchheim+bei+M&#252;nchen&amp;destination=48.10747457342491,12.043494616728212&amp;travelmode=car" TargetMode="External"/><Relationship Id="rId3146" Type="http://schemas.openxmlformats.org/officeDocument/2006/relationships/hyperlink" Target="https://www.google.com/maps/dir/?api=1&amp;origin=Gymnasium+Kirchheim,+Heimstettner+Str.+3,+85551+Kirchheim+bei+M&#252;nchen&amp;destination=48.01680992292846,11.985776420185003&amp;travelmode=car" TargetMode="External"/><Relationship Id="rId3353" Type="http://schemas.openxmlformats.org/officeDocument/2006/relationships/hyperlink" Target="https://www.google.com/maps/dir/?api=1&amp;origin=Gymnasium+Kirchheim,+Heimstettner+Str.+3,+85551+Kirchheim+bei+M&#252;nchen&amp;destination=47.996482346927664,11.327744523821421&amp;travelmode=car" TargetMode="External"/><Relationship Id="rId274" Type="http://schemas.openxmlformats.org/officeDocument/2006/relationships/hyperlink" Target="https://www.google.com/maps/dir/?api=1&amp;origin=Gymnasium+Kirchheim,+Heimstettner+Str.+3,+85551+Kirchheim+bei+M&#252;nchen&amp;destination=48.26205626949765,11.339289350160644&amp;travelmode=car" TargetMode="External"/><Relationship Id="rId481" Type="http://schemas.openxmlformats.org/officeDocument/2006/relationships/hyperlink" Target="https://www.google.com/maps/dir/?api=1&amp;origin=Gymnasium+Kirchheim,+Heimstettner+Str.+3,+85551+Kirchheim+bei+M&#252;nchen&amp;destination=48.24598455016464,11.69717391402856&amp;travelmode=car" TargetMode="External"/><Relationship Id="rId2162" Type="http://schemas.openxmlformats.org/officeDocument/2006/relationships/hyperlink" Target="https://www.google.com/maps/dir/?api=1&amp;origin=Gymnasium+Kirchheim,+Heimstettner+Str.+3,+85551+Kirchheim+bei+M&#252;nchen&amp;destination=48.10134225545561,11.801072765593279&amp;travelmode=car" TargetMode="External"/><Relationship Id="rId3006" Type="http://schemas.openxmlformats.org/officeDocument/2006/relationships/hyperlink" Target="https://www.google.com/maps/dir/?api=1&amp;origin=Gymnasium+Kirchheim,+Heimstettner+Str.+3,+85551+Kirchheim+bei+M&#252;nchen&amp;destination=48.02677129051495,11.385468600664204&amp;travelmode=car" TargetMode="External"/><Relationship Id="rId3560" Type="http://schemas.openxmlformats.org/officeDocument/2006/relationships/hyperlink" Target="https://www.google.com/maps/dir/?api=1&amp;origin=Gymnasium+Kirchheim,+Heimstettner+Str.+3,+85551+Kirchheim+bei+M&#252;nchen&amp;destination=47.980446445887075,11.685629484445332&amp;travelmode=car" TargetMode="External"/><Relationship Id="rId134" Type="http://schemas.openxmlformats.org/officeDocument/2006/relationships/hyperlink" Target="https://www.google.com/maps/dir/?api=1&amp;origin=Gymnasium+Kirchheim,+Heimstettner+Str.+3,+85551+Kirchheim+bei+M&#252;nchen&amp;destination=48.2760886262252,11.754895734161472&amp;travelmode=car" TargetMode="External"/><Relationship Id="rId3213" Type="http://schemas.openxmlformats.org/officeDocument/2006/relationships/hyperlink" Target="https://www.google.com/maps/dir/?api=1&amp;origin=Gymnasium+Kirchheim,+Heimstettner+Str.+3,+85551+Kirchheim+bei+M&#252;nchen&amp;destination=48.01055629881185,11.743351415580166&amp;travelmode=car" TargetMode="External"/><Relationship Id="rId3420" Type="http://schemas.openxmlformats.org/officeDocument/2006/relationships/hyperlink" Target="https://www.google.com/maps/dir/?api=1&amp;origin=Gymnasium+Kirchheim,+Heimstettner+Str.+3,+85551+Kirchheim+bei+M&#252;nchen&amp;destination=47.993231009626314,12.101211892775435&amp;travelmode=car" TargetMode="External"/><Relationship Id="rId341" Type="http://schemas.openxmlformats.org/officeDocument/2006/relationships/hyperlink" Target="https://www.google.com/maps/dir/?api=1&amp;origin=Gymnasium+Kirchheim,+Heimstettner+Str.+3,+85551+Kirchheim+bei+M&#252;nchen&amp;destination=48.25872752345147,12.112755231783899&amp;travelmode=car" TargetMode="External"/><Relationship Id="rId2022" Type="http://schemas.openxmlformats.org/officeDocument/2006/relationships/hyperlink" Target="https://www.google.com/maps/dir/?api=1&amp;origin=Gymnasium+Kirchheim,+Heimstettner+Str.+3,+85551+Kirchheim+bei+M&#252;nchen&amp;destination=48.11380912866068,12.205100461762754&amp;travelmode=car" TargetMode="External"/><Relationship Id="rId2979" Type="http://schemas.openxmlformats.org/officeDocument/2006/relationships/hyperlink" Target="https://www.google.com/maps/dir/?api=1&amp;origin=Gymnasium+Kirchheim,+Heimstettner+Str.+3,+85551+Kirchheim+bei+M&#252;nchen&amp;destination=48.03125827973067,12.089668514337413&amp;travelmode=car" TargetMode="External"/><Relationship Id="rId201" Type="http://schemas.openxmlformats.org/officeDocument/2006/relationships/hyperlink" Target="https://www.google.com/maps/dir/?api=1&amp;origin=Gymnasium+Kirchheim,+Heimstettner+Str.+3,+85551+Kirchheim+bei+M&#252;nchen&amp;destination=48.26932086517982,11.524005541398747&amp;travelmode=car" TargetMode="External"/><Relationship Id="rId1788" Type="http://schemas.openxmlformats.org/officeDocument/2006/relationships/hyperlink" Target="https://www.google.com/maps/dir/?api=1&amp;origin=Gymnasium+Kirchheim,+Heimstettner+Str.+3,+85551+Kirchheim+bei+M&#252;nchen&amp;destination=48.13267340368253,11.547094869402834&amp;travelmode=car" TargetMode="External"/><Relationship Id="rId1995" Type="http://schemas.openxmlformats.org/officeDocument/2006/relationships/hyperlink" Target="https://www.google.com/maps/dir/?api=1&amp;origin=Gymnasium+Kirchheim,+Heimstettner+Str.+3,+85551+Kirchheim+bei+M&#252;nchen&amp;destination=48.115956971211055,11.90496952282889&amp;travelmode=car" TargetMode="External"/><Relationship Id="rId2839" Type="http://schemas.openxmlformats.org/officeDocument/2006/relationships/hyperlink" Target="https://www.google.com/maps/dir/?api=1&amp;origin=Gymnasium+Kirchheim,+Heimstettner+Str.+3,+85551+Kirchheim+bei+M&#252;nchen&amp;destination=48.04173377802491,11.500916160110199&amp;travelmode=car" TargetMode="External"/><Relationship Id="rId1648" Type="http://schemas.openxmlformats.org/officeDocument/2006/relationships/hyperlink" Target="https://www.google.com/maps/dir/?api=1&amp;origin=Gymnasium+Kirchheim,+Heimstettner+Str.+3,+85551+Kirchheim+bei+M&#252;nchen&amp;destination=48.14595706784261,11.962688898444616&amp;travelmode=car" TargetMode="External"/><Relationship Id="rId1508" Type="http://schemas.openxmlformats.org/officeDocument/2006/relationships/hyperlink" Target="https://www.google.com/maps/dir/?api=1&amp;origin=Gymnasium+Kirchheim,+Heimstettner+Str.+3,+85551+Kirchheim+bei+M&#252;nchen&amp;destination=48.15579827613478,11.362378987427904&amp;travelmode=car" TargetMode="External"/><Relationship Id="rId1855" Type="http://schemas.openxmlformats.org/officeDocument/2006/relationships/hyperlink" Target="https://www.google.com/maps/dir/?api=1&amp;origin=Gymnasium+Kirchheim,+Heimstettner+Str.+3,+85551+Kirchheim+bei+M&#252;nchen&amp;destination=48.12549777797295,11.304654858343824&amp;travelmode=car" TargetMode="External"/><Relationship Id="rId2906" Type="http://schemas.openxmlformats.org/officeDocument/2006/relationships/hyperlink" Target="https://www.google.com/maps/dir/?api=1&amp;origin=Gymnasium+Kirchheim,+Heimstettner+Str.+3,+85551+Kirchheim+bei+M&#252;nchen&amp;destination=48.03446340548348,11.246930644367383&amp;travelmode=car" TargetMode="External"/><Relationship Id="rId3070" Type="http://schemas.openxmlformats.org/officeDocument/2006/relationships/hyperlink" Target="https://www.google.com/maps/dir/?api=1&amp;origin=Gymnasium+Kirchheim,+Heimstettner+Str.+3,+85551+Kirchheim+bei+M&#252;nchen&amp;destination=48.02340673257387,12.12429853084091&amp;travelmode=car" TargetMode="External"/><Relationship Id="rId1715" Type="http://schemas.openxmlformats.org/officeDocument/2006/relationships/hyperlink" Target="https://www.google.com/maps/dir/?api=1&amp;origin=Gymnasium+Kirchheim,+Heimstettner+Str.+3,+85551+Kirchheim+bei+M&#252;nchen&amp;destination=48.13965492045069,11.720262709205143&amp;travelmode=car" TargetMode="External"/><Relationship Id="rId1922" Type="http://schemas.openxmlformats.org/officeDocument/2006/relationships/hyperlink" Target="https://www.google.com/maps/dir/?api=1&amp;origin=Gymnasium+Kirchheim,+Heimstettner+Str.+3,+85551+Kirchheim+bei+M&#252;nchen&amp;destination=48.12240125899186,12.078125096991752&amp;travelmode=car" TargetMode="External"/><Relationship Id="rId2489" Type="http://schemas.openxmlformats.org/officeDocument/2006/relationships/hyperlink" Target="https://www.google.com/maps/dir/?api=1&amp;origin=Gymnasium+Kirchheim,+Heimstettner+Str.+3,+85551+Kirchheim+bei+M&#252;nchen&amp;destination=48.072058541063676,11.512460857153851&amp;travelmode=car" TargetMode="External"/><Relationship Id="rId2696" Type="http://schemas.openxmlformats.org/officeDocument/2006/relationships/hyperlink" Target="https://www.google.com/maps/dir/?api=1&amp;origin=Gymnasium+Kirchheim,+Heimstettner+Str.+3,+85551+Kirchheim+bei+M&#252;nchen&amp;destination=48.055449558291336,11.870337526618448&amp;travelmode=car" TargetMode="External"/><Relationship Id="rId668" Type="http://schemas.openxmlformats.org/officeDocument/2006/relationships/hyperlink" Target="https://www.google.com/maps/dir/?api=1&amp;origin=Gymnasium+Kirchheim,+Heimstettner+Str.+3,+85551+Kirchheim+bei+M&#252;nchen&amp;destination=48.23022365712111,11.824161128262173&amp;travelmode=car" TargetMode="External"/><Relationship Id="rId875" Type="http://schemas.openxmlformats.org/officeDocument/2006/relationships/hyperlink" Target="https://www.google.com/maps/dir/?api=1&amp;origin=Gymnasium+Kirchheim,+Heimstettner+Str.+3,+85551+Kirchheim+bei+M&#252;nchen&amp;destination=48.212551782925956,12.193557456977898&amp;travelmode=car" TargetMode="External"/><Relationship Id="rId1298" Type="http://schemas.openxmlformats.org/officeDocument/2006/relationships/hyperlink" Target="https://www.google.com/maps/dir/?api=1&amp;origin=Gymnasium+Kirchheim,+Heimstettner+Str.+3,+85551+Kirchheim+bei+M&#252;nchen&amp;destination=48.176160515960866,11.985776420185003&amp;travelmode=car" TargetMode="External"/><Relationship Id="rId2349" Type="http://schemas.openxmlformats.org/officeDocument/2006/relationships/hyperlink" Target="https://www.google.com/maps/dir/?api=1&amp;origin=Gymnasium+Kirchheim,+Heimstettner+Str.+3,+85551+Kirchheim+bei+M&#252;nchen&amp;destination=48.08546698422524,11.928057368395926&amp;travelmode=car" TargetMode="External"/><Relationship Id="rId2556" Type="http://schemas.openxmlformats.org/officeDocument/2006/relationships/hyperlink" Target="https://www.google.com/maps/dir/?api=1&amp;origin=Gymnasium+Kirchheim,+Heimstettner+Str.+3,+85551+Kirchheim+bei+M&#252;nchen&amp;destination=48.06481012208233,11.27002033596574&amp;travelmode=car" TargetMode="External"/><Relationship Id="rId2763" Type="http://schemas.openxmlformats.org/officeDocument/2006/relationships/hyperlink" Target="https://www.google.com/maps/dir/?api=1&amp;origin=Gymnasium+Kirchheim,+Heimstettner+Str.+3,+85551+Kirchheim+bei+M&#252;nchen&amp;destination=48.04895331354922,11.627907037470955&amp;travelmode=car" TargetMode="External"/><Relationship Id="rId2970" Type="http://schemas.openxmlformats.org/officeDocument/2006/relationships/hyperlink" Target="https://www.google.com/maps/dir/?api=1&amp;origin=Gymnasium+Kirchheim,+Heimstettner+Str.+3,+85551+Kirchheim+bei+M&#252;nchen&amp;destination=48.03206127040838,11.97423267615872&amp;travelmode=car" TargetMode="External"/><Relationship Id="rId3607" Type="http://schemas.openxmlformats.org/officeDocument/2006/relationships/hyperlink" Target="https://www.google.com/maps/dir/?api=1&amp;origin=Gymnasium+Kirchheim,+Heimstettner+Str.+3,+85551+Kirchheim+bei+M&#252;nchen&amp;destination=47.97702534263503,12.228186338432307&amp;travelmode=car" TargetMode="External"/><Relationship Id="rId528" Type="http://schemas.openxmlformats.org/officeDocument/2006/relationships/hyperlink" Target="https://www.google.com/maps/dir/?api=1&amp;origin=Gymnasium+Kirchheim,+Heimstettner+Str.+3,+85551+Kirchheim+bei+M&#252;nchen&amp;destination=48.242509150000956,12.239729209273484&amp;travelmode=car" TargetMode="External"/><Relationship Id="rId735" Type="http://schemas.openxmlformats.org/officeDocument/2006/relationships/hyperlink" Target="https://www.google.com/maps/dir/?api=1&amp;origin=Gymnasium+Kirchheim,+Heimstettner+Str.+3,+85551+Kirchheim+bei+M&#252;nchen&amp;destination=48.22363036138778,11.581728752359444&amp;travelmode=car" TargetMode="External"/><Relationship Id="rId942" Type="http://schemas.openxmlformats.org/officeDocument/2006/relationships/hyperlink" Target="https://www.google.com/maps/dir/?api=1&amp;origin=Gymnasium+Kirchheim,+Heimstettner+Str.+3,+85551+Kirchheim+bei+M&#252;nchen&amp;destination=48.20680648040704,11.939601244041153&amp;travelmode=car" TargetMode="External"/><Relationship Id="rId1158" Type="http://schemas.openxmlformats.org/officeDocument/2006/relationships/hyperlink" Target="https://www.google.com/maps/dir/?api=1&amp;origin=Gymnasium+Kirchheim,+Heimstettner+Str.+3,+85551+Kirchheim+bei+M&#252;nchen&amp;destination=48.18612188354736,11.385468600664204&amp;travelmode=car" TargetMode="External"/><Relationship Id="rId1365" Type="http://schemas.openxmlformats.org/officeDocument/2006/relationships/hyperlink" Target="https://www.google.com/maps/dir/?api=1&amp;origin=Gymnasium+Kirchheim,+Heimstettner+Str.+3,+85551+Kirchheim+bei+M&#252;nchen&amp;destination=48.169906891844256,11.743351415580166&amp;travelmode=car" TargetMode="External"/><Relationship Id="rId1572" Type="http://schemas.openxmlformats.org/officeDocument/2006/relationships/hyperlink" Target="https://www.google.com/maps/dir/?api=1&amp;origin=Gymnasium+Kirchheim,+Heimstettner+Str.+3,+85551+Kirchheim+bei+M&#252;nchen&amp;destination=48.15258160265873,12.101211892775435&amp;travelmode=car" TargetMode="External"/><Relationship Id="rId2209" Type="http://schemas.openxmlformats.org/officeDocument/2006/relationships/hyperlink" Target="https://www.google.com/maps/dir/?api=1&amp;origin=Gymnasium+Kirchheim,+Heimstettner+Str.+3,+85551+Kirchheim+bei+M&#252;nchen&amp;destination=48.095127952138206,11.327744523821421&amp;travelmode=car" TargetMode="External"/><Relationship Id="rId2416" Type="http://schemas.openxmlformats.org/officeDocument/2006/relationships/hyperlink" Target="https://www.google.com/maps/dir/?api=1&amp;origin=Gymnasium+Kirchheim,+Heimstettner+Str.+3,+85551+Kirchheim+bei+M&#252;nchen&amp;destination=48.07909205109761,11.685629484445332&amp;travelmode=car" TargetMode="External"/><Relationship Id="rId2623" Type="http://schemas.openxmlformats.org/officeDocument/2006/relationships/hyperlink" Target="https://www.google.com/maps/dir/?api=1&amp;origin=Gymnasium+Kirchheim,+Heimstettner+Str.+3,+85551+Kirchheim+bei+M&#252;nchen&amp;destination=48.06194583255851,12.043494616728212&amp;travelmode=car" TargetMode="External"/><Relationship Id="rId1018" Type="http://schemas.openxmlformats.org/officeDocument/2006/relationships/hyperlink" Target="https://www.google.com/maps/dir/?api=1&amp;origin=Gymnasium+Kirchheim,+Heimstettner+Str.+3,+85551+Kirchheim+bei+M&#252;nchen&amp;destination=48.19998786066615,11.801072765593279&amp;travelmode=car" TargetMode="External"/><Relationship Id="rId1225" Type="http://schemas.openxmlformats.org/officeDocument/2006/relationships/hyperlink" Target="https://www.google.com/maps/dir/?api=1&amp;origin=Gymnasium+Kirchheim,+Heimstettner+Str.+3,+85551+Kirchheim+bei+M&#252;nchen&amp;destination=48.18248350544569,12.158928183084447&amp;travelmode=car" TargetMode="External"/><Relationship Id="rId1432" Type="http://schemas.openxmlformats.org/officeDocument/2006/relationships/hyperlink" Target="https://www.google.com/maps/dir/?api=1&amp;origin=Gymnasium+Kirchheim,+Heimstettner+Str.+3,+85551+Kirchheim+bei+M&#252;nchen&amp;destination=48.16314375366864,11.500916160110199&amp;travelmode=car" TargetMode="External"/><Relationship Id="rId2830" Type="http://schemas.openxmlformats.org/officeDocument/2006/relationships/hyperlink" Target="https://www.google.com/maps/dir/?api=1&amp;origin=Gymnasium+Kirchheim,+Heimstettner+Str.+3,+85551+Kirchheim+bei+M&#252;nchen&amp;destination=48.04194753747042,11.385468600664204&amp;travelmode=car" TargetMode="External"/><Relationship Id="rId71" Type="http://schemas.openxmlformats.org/officeDocument/2006/relationships/hyperlink" Target="https://www.google.com/maps/dir/?api=1&amp;origin=Gymnasium+Kirchheim,+Heimstettner+Str.+3,+85551+Kirchheim+bei+M&#252;nchen&amp;destination=48.28200141341279,12.043494616728212&amp;travelmode=car" TargetMode="External"/><Relationship Id="rId802" Type="http://schemas.openxmlformats.org/officeDocument/2006/relationships/hyperlink" Target="https://www.google.com/maps/dir/?api=1&amp;origin=Gymnasium+Kirchheim,+Heimstettner+Str.+3,+85551+Kirchheim+bei+M&#252;nchen&amp;destination=48.21652752863124,11.339289350160644&amp;travelmode=car" TargetMode="External"/><Relationship Id="rId3397" Type="http://schemas.openxmlformats.org/officeDocument/2006/relationships/hyperlink" Target="https://www.google.com/maps/dir/?api=1&amp;origin=Gymnasium+Kirchheim,+Heimstettner+Str.+3,+85551+Kirchheim+bei+M&#252;nchen&amp;destination=47.99493174758435,11.835705269507187&amp;travelmode=car" TargetMode="External"/><Relationship Id="rId178" Type="http://schemas.openxmlformats.org/officeDocument/2006/relationships/hyperlink" Target="https://www.google.com/maps/dir/?api=1&amp;origin=Gymnasium+Kirchheim,+Heimstettner+Str.+3,+85551+Kirchheim+bei+M&#252;nchen&amp;destination=48.26969523329323,11.246930644367383&amp;travelmode=car" TargetMode="External"/><Relationship Id="rId3257" Type="http://schemas.openxmlformats.org/officeDocument/2006/relationships/hyperlink" Target="https://www.google.com/maps/dir/?api=1&amp;origin=Gymnasium+Kirchheim,+Heimstettner+Str.+3,+85551+Kirchheim+bei+M&#252;nchen&amp;destination=48.00411206703505,11.235385797131558&amp;travelmode=car" TargetMode="External"/><Relationship Id="rId3464" Type="http://schemas.openxmlformats.org/officeDocument/2006/relationships/hyperlink" Target="https://www.google.com/maps/dir/?api=1&amp;origin=Gymnasium+Kirchheim,+Heimstettner+Str.+3,+85551+Kirchheim+bei+M&#252;nchen&amp;destination=47.98836271473214,11.593273348842407&amp;travelmode=car" TargetMode="External"/><Relationship Id="rId385" Type="http://schemas.openxmlformats.org/officeDocument/2006/relationships/hyperlink" Target="https://www.google.com/maps/dir/?api=1&amp;origin=Gymnasium+Kirchheim,+Heimstettner+Str.+3,+85551+Kirchheim+bei+M&#252;nchen&amp;destination=48.253910062193604,11.604817928870196&amp;travelmode=car" TargetMode="External"/><Relationship Id="rId592" Type="http://schemas.openxmlformats.org/officeDocument/2006/relationships/hyperlink" Target="https://www.google.com/maps/dir/?api=1&amp;origin=Gymnasium+Kirchheim,+Heimstettner+Str.+3,+85551+Kirchheim+bei+M&#252;nchen&amp;destination=48.23701454957543,11.962688898444616&amp;travelmode=car" TargetMode="External"/><Relationship Id="rId2066" Type="http://schemas.openxmlformats.org/officeDocument/2006/relationships/hyperlink" Target="https://www.google.com/maps/dir/?api=1&amp;origin=Gymnasium+Kirchheim,+Heimstettner+Str.+3,+85551+Kirchheim+bei+M&#252;nchen&amp;destination=48.109350954741146,11.708718322455919&amp;travelmode=car" TargetMode="External"/><Relationship Id="rId2273" Type="http://schemas.openxmlformats.org/officeDocument/2006/relationships/hyperlink" Target="https://www.google.com/maps/dir/?api=1&amp;origin=Gymnasium+Kirchheim,+Heimstettner+Str.+3,+85551+Kirchheim+bei+M&#252;nchen&amp;destination=48.092133107414696,12.066581641260367&amp;travelmode=car" TargetMode="External"/><Relationship Id="rId2480" Type="http://schemas.openxmlformats.org/officeDocument/2006/relationships/hyperlink" Target="https://www.google.com/maps/dir/?api=1&amp;origin=Gymnasium+Kirchheim,+Heimstettner+Str.+3,+85551+Kirchheim+bei+M&#252;nchen&amp;destination=48.07226652306916,11.408558185690326&amp;travelmode=car" TargetMode="External"/><Relationship Id="rId3117" Type="http://schemas.openxmlformats.org/officeDocument/2006/relationships/hyperlink" Target="https://www.google.com/maps/dir/?api=1&amp;origin=Gymnasium+Kirchheim,+Heimstettner+Str.+3,+85551+Kirchheim+bei+M&#252;nchen&amp;destination=48.01851878327886,11.650996073983201&amp;travelmode=car" TargetMode="External"/><Relationship Id="rId3324" Type="http://schemas.openxmlformats.org/officeDocument/2006/relationships/hyperlink" Target="https://www.google.com/maps/dir/?api=1&amp;origin=Gymnasium+Kirchheim,+Heimstettner+Str.+3,+85551+Kirchheim+bei+M&#252;nchen&amp;destination=48.00155742019877,11.997320130001427&amp;travelmode=car" TargetMode="External"/><Relationship Id="rId3531" Type="http://schemas.openxmlformats.org/officeDocument/2006/relationships/hyperlink" Target="https://www.google.com/maps/dir/?api=1&amp;origin=Gymnasium+Kirchheim,+Heimstettner+Str.+3,+85551+Kirchheim+bei+M&#252;nchen&amp;destination=47.98127143614691,11.362378987427904&amp;travelmode=car" TargetMode="External"/><Relationship Id="rId245" Type="http://schemas.openxmlformats.org/officeDocument/2006/relationships/hyperlink" Target="https://www.google.com/maps/dir/?api=1&amp;origin=Gymnasium+Kirchheim,+Heimstettner+Str.+3,+85551+Kirchheim+bei+M&#252;nchen&amp;destination=48.266985764648005,12.02040744491661&amp;travelmode=car" TargetMode="External"/><Relationship Id="rId452" Type="http://schemas.openxmlformats.org/officeDocument/2006/relationships/hyperlink" Target="https://www.google.com/maps/dir/?api=1&amp;origin=Gymnasium+Kirchheim,+Heimstettner+Str.+3,+85551+Kirchheim+bei+M&#252;nchen&amp;destination=48.2468684679334,11.350834171536942&amp;travelmode=car" TargetMode="External"/><Relationship Id="rId1082" Type="http://schemas.openxmlformats.org/officeDocument/2006/relationships/hyperlink" Target="https://www.google.com/maps/dir/?api=1&amp;origin=Gymnasium+Kirchheim,+Heimstettner+Str.+3,+85551+Kirchheim+bei+M&#252;nchen&amp;destination=48.19343963040249,11.524005541398747&amp;travelmode=car" TargetMode="External"/><Relationship Id="rId2133" Type="http://schemas.openxmlformats.org/officeDocument/2006/relationships/hyperlink" Target="https://www.google.com/maps/dir/?api=1&amp;origin=Gymnasium+Kirchheim,+Heimstettner+Str.+3,+85551+Kirchheim+bei+M&#252;nchen&amp;destination=48.10251502584344,11.466281997410366&amp;travelmode=car" TargetMode="External"/><Relationship Id="rId2340" Type="http://schemas.openxmlformats.org/officeDocument/2006/relationships/hyperlink" Target="https://www.google.com/maps/dir/?api=1&amp;origin=Gymnasium+Kirchheim,+Heimstettner+Str.+3,+85551+Kirchheim+bei+M&#252;nchen&amp;destination=48.086049311044164,11.824161128262173&amp;travelmode=car" TargetMode="External"/><Relationship Id="rId105" Type="http://schemas.openxmlformats.org/officeDocument/2006/relationships/hyperlink" Target="https://www.google.com/maps/dir/?api=1&amp;origin=Gymnasium+Kirchheim,+Heimstettner+Str.+3,+85551+Kirchheim+bei+M&#252;nchen&amp;destination=48.27710772685344,11.431647738327094&amp;travelmode=car" TargetMode="External"/><Relationship Id="rId312" Type="http://schemas.openxmlformats.org/officeDocument/2006/relationships/hyperlink" Target="https://www.google.com/maps/dir/?api=1&amp;origin=Gymnasium+Kirchheim,+Heimstettner+Str.+3,+85551+Kirchheim+bei+M&#252;nchen&amp;destination=48.26080492458009,11.777984299500497&amp;travelmode=car" TargetMode="External"/><Relationship Id="rId2200" Type="http://schemas.openxmlformats.org/officeDocument/2006/relationships/hyperlink" Target="https://www.google.com/maps/dir/?api=1&amp;origin=Gymnasium+Kirchheim,+Heimstettner+Str.+3,+85551+Kirchheim+bei+M&#252;nchen&amp;destination=48.09833480392401,12.239729209273484&amp;travelmode=car" TargetMode="External"/><Relationship Id="rId1899" Type="http://schemas.openxmlformats.org/officeDocument/2006/relationships/hyperlink" Target="https://www.google.com/maps/dir/?api=1&amp;origin=Gymnasium+Kirchheim,+Heimstettner+Str.+3,+85551+Kirchheim+bei+M&#252;nchen&amp;destination=48.12404885482885,11.81261696011681&amp;travelmode=car" TargetMode="External"/><Relationship Id="rId1759" Type="http://schemas.openxmlformats.org/officeDocument/2006/relationships/hyperlink" Target="https://www.google.com/maps/dir/?api=1&amp;origin=Gymnasium+Kirchheim,+Heimstettner+Str.+3,+85551+Kirchheim+bei+M&#252;nchen&amp;destination=48.13637593566743,12.228186338432307&amp;travelmode=car" TargetMode="External"/><Relationship Id="rId1966" Type="http://schemas.openxmlformats.org/officeDocument/2006/relationships/hyperlink" Target="https://www.google.com/maps/dir/?api=1&amp;origin=Gymnasium+Kirchheim,+Heimstettner+Str.+3,+85551+Kirchheim+bei+M&#252;nchen&amp;destination=48.11743129612901,11.570184139943638&amp;travelmode=car" TargetMode="External"/><Relationship Id="rId3181" Type="http://schemas.openxmlformats.org/officeDocument/2006/relationships/hyperlink" Target="https://www.google.com/maps/dir/?api=1&amp;origin=Gymnasium+Kirchheim,+Heimstettner+Str.+3,+85551+Kirchheim+bei+M&#252;nchen&amp;destination=48.01161006453604,11.373923797311125&amp;travelmode=car" TargetMode="External"/><Relationship Id="rId1619" Type="http://schemas.openxmlformats.org/officeDocument/2006/relationships/hyperlink" Target="https://www.google.com/maps/dir/?api=1&amp;origin=Gymnasium+Kirchheim,+Heimstettner+Str.+3,+85551+Kirchheim+bei+M&#252;nchen&amp;destination=48.14759891875976,11.627907037470955&amp;travelmode=car" TargetMode="External"/><Relationship Id="rId1826" Type="http://schemas.openxmlformats.org/officeDocument/2006/relationships/hyperlink" Target="https://www.google.com/maps/dir/?api=1&amp;origin=Gymnasium+Kirchheim,+Heimstettner+Str.+3,+85551+Kirchheim+bei+M&#252;nchen&amp;destination=48.13063177509446,11.985776420185003&amp;travelmode=car" TargetMode="External"/><Relationship Id="rId3041" Type="http://schemas.openxmlformats.org/officeDocument/2006/relationships/hyperlink" Target="https://www.google.com/maps/dir/?api=1&amp;origin=Gymnasium+Kirchheim,+Heimstettner+Str.+3,+85551+Kirchheim+bei+M&#252;nchen&amp;destination=48.02546102067827,11.801072765593279&amp;travelmode=car" TargetMode="External"/><Relationship Id="rId779" Type="http://schemas.openxmlformats.org/officeDocument/2006/relationships/hyperlink" Target="https://www.google.com/maps/dir/?api=1&amp;origin=Gymnasium+Kirchheim,+Heimstettner+Str.+3,+85551+Kirchheim+bei+M&#252;nchen&amp;destination=48.22096136667401,12.089668514337413&amp;travelmode=car" TargetMode="External"/><Relationship Id="rId986" Type="http://schemas.openxmlformats.org/officeDocument/2006/relationships/hyperlink" Target="https://www.google.com/maps/dir/?api=1&amp;origin=Gymnasium+Kirchheim,+Heimstettner+Str.+3,+85551+Kirchheim+bei+M&#252;nchen&amp;destination=48.2012264920761,11.431647738327094&amp;travelmode=car" TargetMode="External"/><Relationship Id="rId2667" Type="http://schemas.openxmlformats.org/officeDocument/2006/relationships/hyperlink" Target="https://www.google.com/maps/dir/?api=1&amp;origin=Gymnasium+Kirchheim,+Heimstettner+Str.+3,+85551+Kirchheim+bei+M&#252;nchen&amp;destination=48.05682336606811,11.535550212322528&amp;travelmode=car" TargetMode="External"/><Relationship Id="rId639" Type="http://schemas.openxmlformats.org/officeDocument/2006/relationships/hyperlink" Target="https://www.google.com/maps/dir/?api=1&amp;origin=Gymnasium+Kirchheim,+Heimstettner+Str.+3,+85551+Kirchheim+bei+M&#252;nchen&amp;destination=48.23146344040527,11.489371450790154&amp;travelmode=car" TargetMode="External"/><Relationship Id="rId1269" Type="http://schemas.openxmlformats.org/officeDocument/2006/relationships/hyperlink" Target="https://www.google.com/maps/dir/?api=1&amp;origin=Gymnasium+Kirchheim,+Heimstettner+Str.+3,+85551+Kirchheim+bei+M&#252;nchen&amp;destination=48.17786937631125,11.650996073983201&amp;travelmode=car" TargetMode="External"/><Relationship Id="rId1476" Type="http://schemas.openxmlformats.org/officeDocument/2006/relationships/hyperlink" Target="https://www.google.com/maps/dir/?api=1&amp;origin=Gymnasium+Kirchheim,+Heimstettner+Str.+3,+85551+Kirchheim+bei+M&#252;nchen&amp;destination=48.16083060221374,12.00886380508597&amp;travelmode=car" TargetMode="External"/><Relationship Id="rId2874" Type="http://schemas.openxmlformats.org/officeDocument/2006/relationships/hyperlink" Target="https://www.google.com/maps/dir/?api=1&amp;origin=Gymnasium+Kirchheim,+Heimstettner+Str.+3,+85551+Kirchheim+bei+M&#252;nchen&amp;destination=48.04014275003488,11.893425553951282&amp;travelmode=car" TargetMode="External"/><Relationship Id="rId846" Type="http://schemas.openxmlformats.org/officeDocument/2006/relationships/hyperlink" Target="https://www.google.com/maps/dir/?api=1&amp;origin=Gymnasium+Kirchheim,+Heimstettner+Str.+3,+85551+Kirchheim+bei+M&#252;nchen&amp;destination=48.21492609138579,11.847249383329679&amp;travelmode=car" TargetMode="External"/><Relationship Id="rId1129" Type="http://schemas.openxmlformats.org/officeDocument/2006/relationships/hyperlink" Target="https://www.google.com/maps/dir/?api=1&amp;origin=Gymnasium+Kirchheim,+Heimstettner+Str.+3,+85551+Kirchheim+bei+M&#252;nchen&amp;destination=48.19077871262523,12.066581641260367&amp;travelmode=car" TargetMode="External"/><Relationship Id="rId1683" Type="http://schemas.openxmlformats.org/officeDocument/2006/relationships/hyperlink" Target="https://www.google.com/maps/dir/?api=1&amp;origin=Gymnasium+Kirchheim,+Heimstettner+Str.+3,+85551+Kirchheim+bei+M&#252;nchen&amp;destination=48.14063473924514,11.350834171536942&amp;travelmode=car" TargetMode="External"/><Relationship Id="rId1890" Type="http://schemas.openxmlformats.org/officeDocument/2006/relationships/hyperlink" Target="https://www.google.com/maps/dir/?api=1&amp;origin=Gymnasium+Kirchheim,+Heimstettner+Str.+3,+85551+Kirchheim+bei+M&#252;nchen&amp;destination=48.1245272016966,11.708718322455919&amp;travelmode=car" TargetMode="External"/><Relationship Id="rId2527" Type="http://schemas.openxmlformats.org/officeDocument/2006/relationships/hyperlink" Target="https://www.google.com/maps/dir/?api=1&amp;origin=Gymnasium+Kirchheim,+Heimstettner+Str.+3,+85551+Kirchheim+bei+M&#252;nchen&amp;destination=48.07014862307096,11.95114508756474&amp;travelmode=car" TargetMode="External"/><Relationship Id="rId2734" Type="http://schemas.openxmlformats.org/officeDocument/2006/relationships/hyperlink" Target="https://www.google.com/maps/dir/?api=1&amp;origin=Gymnasium+Kirchheim,+Heimstettner+Str.+3,+85551+Kirchheim+bei+M&#252;nchen&amp;destination=48.04962347596723,11.293110020250275&amp;travelmode=car" TargetMode="External"/><Relationship Id="rId2941" Type="http://schemas.openxmlformats.org/officeDocument/2006/relationships/hyperlink" Target="https://www.google.com/maps/dir/?api=1&amp;origin=Gymnasium+Kirchheim,+Heimstettner+Str.+3,+85551+Kirchheim+bei+M&#252;nchen&amp;destination=48.03365227895814,11.66254056390037&amp;travelmode=car" TargetMode="External"/><Relationship Id="rId706" Type="http://schemas.openxmlformats.org/officeDocument/2006/relationships/hyperlink" Target="https://www.google.com/maps/dir/?api=1&amp;origin=Gymnasium+Kirchheim,+Heimstettner+Str.+3,+85551+Kirchheim+bei+M&#252;nchen&amp;destination=48.224166492426825,11.246930644367383&amp;travelmode=car" TargetMode="External"/><Relationship Id="rId913" Type="http://schemas.openxmlformats.org/officeDocument/2006/relationships/hyperlink" Target="https://www.google.com/maps/dir/?api=1&amp;origin=Gymnasium+Kirchheim,+Heimstettner+Str.+3,+85551+Kirchheim+bei+M&#252;nchen&amp;destination=48.208381321327195,11.604817928870196&amp;travelmode=car" TargetMode="External"/><Relationship Id="rId1336" Type="http://schemas.openxmlformats.org/officeDocument/2006/relationships/hyperlink" Target="https://www.google.com/maps/dir/?api=1&amp;origin=Gymnasium+Kirchheim,+Heimstettner+Str.+3,+85551+Kirchheim+bei+M&#252;nchen&amp;destination=48.170912128279696,11.408558185690326&amp;travelmode=car" TargetMode="External"/><Relationship Id="rId1543" Type="http://schemas.openxmlformats.org/officeDocument/2006/relationships/hyperlink" Target="https://www.google.com/maps/dir/?api=1&amp;origin=Gymnasium+Kirchheim,+Heimstettner+Str.+3,+85551+Kirchheim+bei+M&#252;nchen&amp;destination=48.15462550091428,11.766440028975659&amp;travelmode=car" TargetMode="External"/><Relationship Id="rId1750" Type="http://schemas.openxmlformats.org/officeDocument/2006/relationships/hyperlink" Target="https://www.google.com/maps/dir/?api=1&amp;origin=Gymnasium+Kirchheim,+Heimstettner+Str.+3,+85551+Kirchheim+bei+M&#252;nchen&amp;destination=48.13731754780774,12.112755231783899&amp;travelmode=car" TargetMode="External"/><Relationship Id="rId2801" Type="http://schemas.openxmlformats.org/officeDocument/2006/relationships/hyperlink" Target="https://www.google.com/maps/dir/?api=1&amp;origin=Gymnasium+Kirchheim,+Heimstettner+Str.+3,+85551+Kirchheim+bei+M&#252;nchen&amp;destination=48.0466043665483,12.066581641260367&amp;travelmode=car" TargetMode="External"/><Relationship Id="rId42" Type="http://schemas.openxmlformats.org/officeDocument/2006/relationships/hyperlink" Target="https://www.google.com/maps/dir/?api=1&amp;origin=Gymnasium+Kirchheim,+Heimstettner+Str.+3,+85551+Kirchheim+bei+M&#252;nchen&amp;destination=48.28387779472902,11.708718322455919&amp;travelmode=car" TargetMode="External"/><Relationship Id="rId1403" Type="http://schemas.openxmlformats.org/officeDocument/2006/relationships/hyperlink" Target="https://www.google.com/maps/dir/?api=1&amp;origin=Gymnasium+Kirchheim,+Heimstettner+Str.+3,+85551+Kirchheim+bei+M&#252;nchen&amp;destination=48.16711893599749,12.182014408588692&amp;travelmode=car" TargetMode="External"/><Relationship Id="rId1610" Type="http://schemas.openxmlformats.org/officeDocument/2006/relationships/hyperlink" Target="https://www.google.com/maps/dir/?api=1&amp;origin=Gymnasium+Kirchheim,+Heimstettner+Str.+3,+85551+Kirchheim+bei+M&#252;nchen&amp;destination=48.147910889536085,11.524005541398747&amp;travelmode=car" TargetMode="External"/><Relationship Id="rId3368" Type="http://schemas.openxmlformats.org/officeDocument/2006/relationships/hyperlink" Target="https://www.google.com/maps/dir/?api=1&amp;origin=Gymnasium+Kirchheim,+Heimstettner+Str.+3,+85551+Kirchheim+bei+M&#252;nchen&amp;destination=47.99623161259554,11.489371450790154&amp;travelmode=car" TargetMode="External"/><Relationship Id="rId3575" Type="http://schemas.openxmlformats.org/officeDocument/2006/relationships/hyperlink" Target="https://www.google.com/maps/dir/?api=1&amp;origin=Gymnasium+Kirchheim,+Heimstettner+Str.+3,+85551+Kirchheim+bei+M&#252;nchen&amp;destination=47.97963187120263,11.858793469207484&amp;travelmode=car" TargetMode="External"/><Relationship Id="rId289" Type="http://schemas.openxmlformats.org/officeDocument/2006/relationships/hyperlink" Target="https://www.google.com/maps/dir/?api=1&amp;origin=Gymnasium+Kirchheim,+Heimstettner+Str.+3,+85551+Kirchheim+bei+M&#252;nchen&amp;destination=48.26176162800702,11.512460857153851&amp;travelmode=car" TargetMode="External"/><Relationship Id="rId496" Type="http://schemas.openxmlformats.org/officeDocument/2006/relationships/hyperlink" Target="https://www.google.com/maps/dir/?api=1&amp;origin=Gymnasium+Kirchheim,+Heimstettner+Str.+3,+85551+Kirchheim+bei+M&#252;nchen&amp;destination=48.24515264523469,11.870337526618448&amp;travelmode=car" TargetMode="External"/><Relationship Id="rId2177" Type="http://schemas.openxmlformats.org/officeDocument/2006/relationships/hyperlink" Target="https://www.google.com/maps/dir/?api=1&amp;origin=Gymnasium+Kirchheim,+Heimstettner+Str.+3,+85551+Kirchheim+bei+M&#252;nchen&amp;destination=48.10035438170797,11.97423267615872&amp;travelmode=car" TargetMode="External"/><Relationship Id="rId2384" Type="http://schemas.openxmlformats.org/officeDocument/2006/relationships/hyperlink" Target="https://www.google.com/maps/dir/?api=1&amp;origin=Gymnasium+Kirchheim,+Heimstettner+Str.+3,+85551+Kirchheim+bei+M&#252;nchen&amp;destination=48.07996094887452,11.316199693041677&amp;travelmode=car" TargetMode="External"/><Relationship Id="rId2591" Type="http://schemas.openxmlformats.org/officeDocument/2006/relationships/hyperlink" Target="https://www.google.com/maps/dir/?api=1&amp;origin=Gymnasium+Kirchheim,+Heimstettner+Str.+3,+85551+Kirchheim+bei+M&#252;nchen&amp;destination=48.063960866200105,11.67408503422851&amp;travelmode=car" TargetMode="External"/><Relationship Id="rId3228" Type="http://schemas.openxmlformats.org/officeDocument/2006/relationships/hyperlink" Target="https://www.google.com/maps/dir/?api=1&amp;origin=Gymnasium+Kirchheim,+Heimstettner+Str.+3,+85551+Kirchheim+bei+M&#252;nchen&amp;destination=48.00965507362882,11.916513461151142&amp;travelmode=car" TargetMode="External"/><Relationship Id="rId3435" Type="http://schemas.openxmlformats.org/officeDocument/2006/relationships/hyperlink" Target="https://www.google.com/maps/dir/?api=1&amp;origin=Gymnasium+Kirchheim,+Heimstettner+Str.+3,+85551+Kirchheim+bei+M&#252;nchen&amp;destination=47.98893235369215,11.258475490819581&amp;travelmode=car" TargetMode="External"/><Relationship Id="rId149" Type="http://schemas.openxmlformats.org/officeDocument/2006/relationships/hyperlink" Target="https://www.google.com/maps/dir/?api=1&amp;origin=Gymnasium+Kirchheim,+Heimstettner+Str.+3,+85551+Kirchheim+bei+M&#252;nchen&amp;destination=48.27517007116859,11.928057368395926&amp;travelmode=car" TargetMode="External"/><Relationship Id="rId356" Type="http://schemas.openxmlformats.org/officeDocument/2006/relationships/hyperlink" Target="https://www.google.com/maps/dir/?api=1&amp;origin=Gymnasium+Kirchheim,+Heimstettner+Str.+3,+85551+Kirchheim+bei+M&#252;nchen&amp;destination=48.25451320902568,11.27002033596574&amp;travelmode=car" TargetMode="External"/><Relationship Id="rId563" Type="http://schemas.openxmlformats.org/officeDocument/2006/relationships/hyperlink" Target="https://www.google.com/maps/dir/?api=1&amp;origin=Gymnasium+Kirchheim,+Heimstettner+Str.+3,+85551+Kirchheim+bei+M&#252;nchen&amp;destination=48.238656400492566,11.627907037470955&amp;travelmode=car" TargetMode="External"/><Relationship Id="rId770" Type="http://schemas.openxmlformats.org/officeDocument/2006/relationships/hyperlink" Target="https://www.google.com/maps/dir/?api=1&amp;origin=Gymnasium+Kirchheim,+Heimstettner+Str.+3,+85551+Kirchheim+bei+M&#252;nchen&amp;destination=48.22176435735171,11.97423267615872&amp;travelmode=car" TargetMode="External"/><Relationship Id="rId1193" Type="http://schemas.openxmlformats.org/officeDocument/2006/relationships/hyperlink" Target="https://www.google.com/maps/dir/?api=1&amp;origin=Gymnasium+Kirchheim,+Heimstettner+Str.+3,+85551+Kirchheim+bei+M&#252;nchen&amp;destination=48.184811613710686,11.801072765593279&amp;travelmode=car" TargetMode="External"/><Relationship Id="rId2037" Type="http://schemas.openxmlformats.org/officeDocument/2006/relationships/hyperlink" Target="https://www.google.com/maps/dir/?api=1&amp;origin=Gymnasium+Kirchheim,+Heimstettner+Str.+3,+85551+Kirchheim+bei+M&#252;nchen&amp;destination=48.110255669746586,11.373923797311125&amp;travelmode=car" TargetMode="External"/><Relationship Id="rId2244" Type="http://schemas.openxmlformats.org/officeDocument/2006/relationships/hyperlink" Target="https://www.google.com/maps/dir/?api=1&amp;origin=Gymnasium+Kirchheim,+Heimstettner+Str.+3,+85551+Kirchheim+bei+M&#252;nchen&amp;destination=48.0941261795843,11.720262709205143&amp;travelmode=car" TargetMode="External"/><Relationship Id="rId2451" Type="http://schemas.openxmlformats.org/officeDocument/2006/relationships/hyperlink" Target="https://www.google.com/maps/dir/?api=1&amp;origin=Gymnasium+Kirchheim,+Heimstettner+Str.+3,+85551+Kirchheim+bei+M&#252;nchen&amp;destination=48.076787020597074,12.089668514337413&amp;travelmode=car" TargetMode="External"/><Relationship Id="rId216" Type="http://schemas.openxmlformats.org/officeDocument/2006/relationships/hyperlink" Target="https://www.google.com/maps/dir/?api=1&amp;origin=Gymnasium+Kirchheim,+Heimstettner+Str.+3,+85551+Kirchheim+bei+M&#252;nchen&amp;destination=48.26879513804095,11.685629484445332&amp;travelmode=car" TargetMode="External"/><Relationship Id="rId423" Type="http://schemas.openxmlformats.org/officeDocument/2006/relationships/hyperlink" Target="https://www.google.com/maps/dir/?api=1&amp;origin=Gymnasium+Kirchheim,+Heimstettner+Str.+3,+85551+Kirchheim+bei+M&#252;nchen&amp;destination=48.251648919501854,12.043494616728212&amp;travelmode=car" TargetMode="External"/><Relationship Id="rId1053" Type="http://schemas.openxmlformats.org/officeDocument/2006/relationships/hyperlink" Target="https://www.google.com/maps/dir/?api=1&amp;origin=Gymnasium+Kirchheim,+Heimstettner+Str.+3,+85551+Kirchheim+bei+M&#252;nchen&amp;destination=48.19727848691576,12.205100461762754&amp;travelmode=car" TargetMode="External"/><Relationship Id="rId1260" Type="http://schemas.openxmlformats.org/officeDocument/2006/relationships/hyperlink" Target="https://www.google.com/maps/dir/?api=1&amp;origin=Gymnasium+Kirchheim,+Heimstettner+Str.+3,+85551+Kirchheim+bei+M&#252;nchen&amp;destination=48.17820214454893,11.547094869402834&amp;travelmode=car" TargetMode="External"/><Relationship Id="rId2104" Type="http://schemas.openxmlformats.org/officeDocument/2006/relationships/hyperlink" Target="https://www.google.com/maps/dir/?api=1&amp;origin=Gymnasium+Kirchheim,+Heimstettner+Str.+3,+85551+Kirchheim+bei+M&#252;nchen&amp;destination=48.10669469920694,12.147385007013046&amp;travelmode=car" TargetMode="External"/><Relationship Id="rId3502" Type="http://schemas.openxmlformats.org/officeDocument/2006/relationships/hyperlink" Target="https://www.google.com/maps/dir/?api=1&amp;origin=Gymnasium+Kirchheim,+Heimstettner+Str.+3,+85551+Kirchheim+bei+M&#252;nchen&amp;destination=47.98614547448802,12.031951048971356&amp;travelmode=car" TargetMode="External"/><Relationship Id="rId630" Type="http://schemas.openxmlformats.org/officeDocument/2006/relationships/hyperlink" Target="https://www.google.com/maps/dir/?api=1&amp;origin=Gymnasium+Kirchheim,+Heimstettner+Str.+3,+85551+Kirchheim+bei+M&#252;nchen&amp;destination=48.23165062441377,11.385468600664204&amp;travelmode=car" TargetMode="External"/><Relationship Id="rId2311" Type="http://schemas.openxmlformats.org/officeDocument/2006/relationships/hyperlink" Target="https://www.google.com/maps/dir/?api=1&amp;origin=Gymnasium+Kirchheim,+Heimstettner+Str.+3,+85551+Kirchheim+bei+M&#252;nchen&amp;destination=48.087289094328334,11.489371450790154&amp;travelmode=car" TargetMode="External"/><Relationship Id="rId1120" Type="http://schemas.openxmlformats.org/officeDocument/2006/relationships/hyperlink" Target="https://www.google.com/maps/dir/?api=1&amp;origin=Gymnasium+Kirchheim,+Heimstettner+Str.+3,+85551+Kirchheim+bei+M&#252;nchen&amp;destination=48.1915585987147,11.95114508756474&amp;travelmode=car" TargetMode="External"/><Relationship Id="rId1937" Type="http://schemas.openxmlformats.org/officeDocument/2006/relationships/hyperlink" Target="https://www.google.com/maps/dir/?api=1&amp;origin=Gymnasium+Kirchheim,+Heimstettner+Str.+3,+85551+Kirchheim+bei+M&#252;nchen&amp;destination=48.117933919201064,11.235385797131558&amp;travelmode=car" TargetMode="External"/><Relationship Id="rId3085" Type="http://schemas.openxmlformats.org/officeDocument/2006/relationships/hyperlink" Target="https://www.google.com/maps/dir/?api=1&amp;origin=Gymnasium+Kirchheim,+Heimstettner+Str.+3,+85551+Kirchheim+bei+M&#252;nchen&amp;destination=48.019276759366875,11.281565179283442&amp;travelmode=car" TargetMode="External"/><Relationship Id="rId3292" Type="http://schemas.openxmlformats.org/officeDocument/2006/relationships/hyperlink" Target="https://www.google.com/maps/dir/?api=1&amp;origin=Gymnasium+Kirchheim,+Heimstettner+Str.+3,+85551+Kirchheim+bei+M&#252;nchen&amp;destination=48.00342457268281,11.627907037470955&amp;travelmode=car" TargetMode="External"/><Relationship Id="rId3152" Type="http://schemas.openxmlformats.org/officeDocument/2006/relationships/hyperlink" Target="https://www.google.com/maps/dir/?api=1&amp;origin=Gymnasium+Kirchheim,+Heimstettner+Str.+3,+85551+Kirchheim+bei+M&#252;nchen&amp;destination=48.01633505976924,12.055038147665204&amp;travelmode=car" TargetMode="External"/><Relationship Id="rId280" Type="http://schemas.openxmlformats.org/officeDocument/2006/relationships/hyperlink" Target="https://www.google.com/maps/dir/?api=1&amp;origin=Gymnasium+Kirchheim,+Heimstettner+Str.+3,+85551+Kirchheim+bei+M&#252;nchen&amp;destination=48.26198694189465,11.397013396964736&amp;travelmode=car" TargetMode="External"/><Relationship Id="rId3012" Type="http://schemas.openxmlformats.org/officeDocument/2006/relationships/hyperlink" Target="https://www.google.com/maps/dir/?api=1&amp;origin=Gymnasium+Kirchheim,+Heimstettner+Str.+3,+85551+Kirchheim+bei+M&#252;nchen&amp;destination=48.02665690018442,11.454737254395377&amp;travelmode=car" TargetMode="External"/><Relationship Id="rId140" Type="http://schemas.openxmlformats.org/officeDocument/2006/relationships/hyperlink" Target="https://www.google.com/maps/dir/?api=1&amp;origin=Gymnasium+Kirchheim,+Heimstettner+Str.+3,+85551+Kirchheim+bei+M&#252;nchen&amp;destination=48.2757523979875,11.824161128262173&amp;travelmode=car" TargetMode="External"/><Relationship Id="rId6" Type="http://schemas.openxmlformats.org/officeDocument/2006/relationships/hyperlink" Target="https://www.google.com/maps/dir/?api=1&amp;origin=Gymnasium+Kirchheim,+Heimstettner+Str.+3,+85551+Kirchheim+bei+M&#252;nchen&amp;destination=48.28485530377697,11.293110020250275&amp;travelmode=car" TargetMode="External"/><Relationship Id="rId2778" Type="http://schemas.openxmlformats.org/officeDocument/2006/relationships/hyperlink" Target="https://www.google.com/maps/dir/?api=1&amp;origin=Gymnasium+Kirchheim,+Heimstettner+Str.+3,+85551+Kirchheim+bei+M&#252;nchen&amp;destination=48.04822539111148,11.801072765593279&amp;travelmode=car" TargetMode="External"/><Relationship Id="rId2985" Type="http://schemas.openxmlformats.org/officeDocument/2006/relationships/hyperlink" Target="https://www.google.com/maps/dir/?api=1&amp;origin=Gymnasium+Kirchheim,+Heimstettner+Str.+3,+85551+Kirchheim+bei+M&#252;nchen&amp;destination=48.03072103589101,12.158928183084447&amp;travelmode=car" TargetMode="External"/><Relationship Id="rId957" Type="http://schemas.openxmlformats.org/officeDocument/2006/relationships/hyperlink" Target="https://www.google.com/maps/dir/?api=1&amp;origin=Gymnasium+Kirchheim,+Heimstettner+Str.+3,+85551+Kirchheim+bei+M&#252;nchen&amp;destination=48.205610659107336,12.112755231783899&amp;travelmode=car" TargetMode="External"/><Relationship Id="rId1587" Type="http://schemas.openxmlformats.org/officeDocument/2006/relationships/hyperlink" Target="https://www.google.com/maps/dir/?api=1&amp;origin=Gymnasium+Kirchheim,+Heimstettner+Str.+3,+85551+Kirchheim+bei+M&#252;nchen&amp;destination=48.14828294672455,11.258475490819581&amp;travelmode=car" TargetMode="External"/><Relationship Id="rId1794" Type="http://schemas.openxmlformats.org/officeDocument/2006/relationships/hyperlink" Target="https://www.google.com/maps/dir/?api=1&amp;origin=Gymnasium+Kirchheim,+Heimstettner+Str.+3,+85551+Kirchheim+bei+M&#252;nchen&amp;destination=48.13246195688051,11.616362491920484&amp;travelmode=car" TargetMode="External"/><Relationship Id="rId2638" Type="http://schemas.openxmlformats.org/officeDocument/2006/relationships/hyperlink" Target="https://www.google.com/maps/dir/?api=1&amp;origin=Gymnasium+Kirchheim,+Heimstettner+Str.+3,+85551+Kirchheim+bei+M&#252;nchen&amp;destination=48.060594060153335,12.21664342242148&amp;travelmode=car" TargetMode="External"/><Relationship Id="rId2845" Type="http://schemas.openxmlformats.org/officeDocument/2006/relationships/hyperlink" Target="https://www.google.com/maps/dir/?api=1&amp;origin=Gymnasium+Kirchheim,+Heimstettner+Str.+3,+85551+Kirchheim+bei+M&#252;nchen&amp;destination=48.041550061351685,11.570184139943638&amp;travelmode=car" TargetMode="External"/><Relationship Id="rId86" Type="http://schemas.openxmlformats.org/officeDocument/2006/relationships/hyperlink" Target="https://www.google.com/maps/dir/?api=1&amp;origin=Gymnasium+Kirchheim,+Heimstettner+Str.+3,+85551+Kirchheim+bei+M&#252;nchen&amp;destination=48.28074784517083,12.205100461762754&amp;travelmode=car" TargetMode="External"/><Relationship Id="rId817" Type="http://schemas.openxmlformats.org/officeDocument/2006/relationships/hyperlink" Target="https://www.google.com/maps/dir/?api=1&amp;origin=Gymnasium+Kirchheim,+Heimstettner+Str.+3,+85551+Kirchheim+bei+M&#252;nchen&amp;destination=48.21623288714061,11.512460857153851&amp;travelmode=car" TargetMode="External"/><Relationship Id="rId1447" Type="http://schemas.openxmlformats.org/officeDocument/2006/relationships/hyperlink" Target="https://www.google.com/maps/dir/?api=1&amp;origin=Gymnasium+Kirchheim,+Heimstettner+Str.+3,+85551+Kirchheim+bei+M&#252;nchen&amp;destination=48.16260647141065,11.67408503422851&amp;travelmode=car" TargetMode="External"/><Relationship Id="rId1654" Type="http://schemas.openxmlformats.org/officeDocument/2006/relationships/hyperlink" Target="https://www.google.com/maps/dir/?api=1&amp;origin=Gymnasium+Kirchheim,+Heimstettner+Str.+3,+85551+Kirchheim+bei+M&#252;nchen&amp;destination=48.145496067520426,12.031951048971356&amp;travelmode=car" TargetMode="External"/><Relationship Id="rId1861" Type="http://schemas.openxmlformats.org/officeDocument/2006/relationships/hyperlink" Target="https://www.google.com/maps/dir/?api=1&amp;origin=Gymnasium+Kirchheim,+Heimstettner+Str.+3,+85551+Kirchheim+bei+M&#252;nchen&amp;destination=48.12543191670206,11.373923797311125&amp;travelmode=car" TargetMode="External"/><Relationship Id="rId2705" Type="http://schemas.openxmlformats.org/officeDocument/2006/relationships/hyperlink" Target="https://www.google.com/maps/dir/?api=1&amp;origin=Gymnasium+Kirchheim,+Heimstettner+Str.+3,+85551+Kirchheim+bei+M&#252;nchen&amp;destination=48.054825640841564,11.97423267615872&amp;travelmode=car" TargetMode="External"/><Relationship Id="rId2912" Type="http://schemas.openxmlformats.org/officeDocument/2006/relationships/hyperlink" Target="https://www.google.com/maps/dir/?api=1&amp;origin=Gymnasium+Kirchheim,+Heimstettner+Str.+3,+85551+Kirchheim+bei+M&#252;nchen&amp;destination=48.03444029624015,11.304654858343824&amp;travelmode=car" TargetMode="External"/><Relationship Id="rId1307" Type="http://schemas.openxmlformats.org/officeDocument/2006/relationships/hyperlink" Target="https://www.google.com/maps/dir/?api=1&amp;origin=Gymnasium+Kirchheim,+Heimstettner+Str.+3,+85551+Kirchheim+bei+M&#252;nchen&amp;destination=48.175432625807616,12.089668514337413&amp;travelmode=car" TargetMode="External"/><Relationship Id="rId1514" Type="http://schemas.openxmlformats.org/officeDocument/2006/relationships/hyperlink" Target="https://www.google.com/maps/dir/?api=1&amp;origin=Gymnasium+Kirchheim,+Heimstettner+Str.+3,+85551+Kirchheim+bei+M&#252;nchen&amp;destination=48.1556977512097,11.431647738327094&amp;travelmode=car" TargetMode="External"/><Relationship Id="rId1721" Type="http://schemas.openxmlformats.org/officeDocument/2006/relationships/hyperlink" Target="https://www.google.com/maps/dir/?api=1&amp;origin=Gymnasium+Kirchheim,+Heimstettner+Str.+3,+85551+Kirchheim+bei+M&#252;nchen&amp;destination=48.139339488563245,11.789528545213775&amp;travelmode=car" TargetMode="External"/><Relationship Id="rId13" Type="http://schemas.openxmlformats.org/officeDocument/2006/relationships/hyperlink" Target="https://www.google.com/maps/dir/?api=1&amp;origin=Gymnasium+Kirchheim,+Heimstettner+Str.+3,+85551+Kirchheim+bei+M&#252;nchen&amp;destination=48.28476748875789,11.385468600664204&amp;travelmode=car" TargetMode="External"/><Relationship Id="rId3479" Type="http://schemas.openxmlformats.org/officeDocument/2006/relationships/hyperlink" Target="https://www.google.com/maps/dir/?api=1&amp;origin=Gymnasium+Kirchheim,+Heimstettner+Str.+3,+85551+Kirchheim+bei+M&#252;nchen&amp;destination=47.98768678440413,11.766440028975659&amp;travelmode=car" TargetMode="External"/><Relationship Id="rId2288" Type="http://schemas.openxmlformats.org/officeDocument/2006/relationships/hyperlink" Target="https://www.google.com/maps/dir/?api=1&amp;origin=Gymnasium+Kirchheim,+Heimstettner+Str.+3,+85551+Kirchheim+bei+M&#252;nchen&amp;destination=48.09074668044627,12.239729209273484&amp;travelmode=car" TargetMode="External"/><Relationship Id="rId2495" Type="http://schemas.openxmlformats.org/officeDocument/2006/relationships/hyperlink" Target="https://www.google.com/maps/dir/?api=1&amp;origin=Gymnasium+Kirchheim,+Heimstettner+Str.+3,+85551+Kirchheim+bei+M&#252;nchen&amp;destination=48.071832072987206,11.593273348842407&amp;travelmode=car" TargetMode="External"/><Relationship Id="rId3339" Type="http://schemas.openxmlformats.org/officeDocument/2006/relationships/hyperlink" Target="https://www.google.com/maps/dir/?api=1&amp;origin=Gymnasium+Kirchheim,+Heimstettner+Str.+3,+85551+Kirchheim+bei+M&#252;nchen&amp;destination=48.00018021948736,12.182014408588692&amp;travelmode=car" TargetMode="External"/><Relationship Id="rId467" Type="http://schemas.openxmlformats.org/officeDocument/2006/relationships/hyperlink" Target="https://www.google.com/maps/dir/?api=1&amp;origin=Gymnasium+Kirchheim,+Heimstettner+Str.+3,+85551+Kirchheim+bei+M&#252;nchen&amp;destination=48.24649525584855,11.547094869402834&amp;travelmode=car" TargetMode="External"/><Relationship Id="rId1097" Type="http://schemas.openxmlformats.org/officeDocument/2006/relationships/hyperlink" Target="https://www.google.com/maps/dir/?api=1&amp;origin=Gymnasium+Kirchheim,+Heimstettner+Str.+3,+85551+Kirchheim+bei+M&#252;nchen&amp;destination=48.192867685820495,11.69717391402856&amp;travelmode=car" TargetMode="External"/><Relationship Id="rId2148" Type="http://schemas.openxmlformats.org/officeDocument/2006/relationships/hyperlink" Target="https://www.google.com/maps/dir/?api=1&amp;origin=Gymnasium+Kirchheim,+Heimstettner+Str.+3,+85551+Kirchheim+bei+M&#252;nchen&amp;destination=48.10202973741365,11.639451564999296&amp;travelmode=car" TargetMode="External"/><Relationship Id="rId3546" Type="http://schemas.openxmlformats.org/officeDocument/2006/relationships/hyperlink" Target="https://www.google.com/maps/dir/?api=1&amp;origin=Gymnasium+Kirchheim,+Heimstettner+Str.+3,+85551+Kirchheim+bei+M&#252;nchen&amp;destination=47.98097217302595,11.524005541398747&amp;travelmode=car" TargetMode="External"/><Relationship Id="rId674" Type="http://schemas.openxmlformats.org/officeDocument/2006/relationships/hyperlink" Target="https://www.google.com/maps/dir/?api=1&amp;origin=Gymnasium+Kirchheim,+Heimstettner+Str.+3,+85551+Kirchheim+bei+M&#252;nchen&amp;destination=48.22984583697823,11.893425553951282&amp;travelmode=car" TargetMode="External"/><Relationship Id="rId881" Type="http://schemas.openxmlformats.org/officeDocument/2006/relationships/hyperlink" Target="https://www.google.com/maps/dir/?api=1&amp;origin=Gymnasium+Kirchheim,+Heimstettner+Str.+3,+85551+Kirchheim+bei+M&#252;nchen&amp;destination=48.208991400933876,11.235385797131558&amp;travelmode=car" TargetMode="External"/><Relationship Id="rId2355" Type="http://schemas.openxmlformats.org/officeDocument/2006/relationships/hyperlink" Target="https://www.google.com/maps/dir/?api=1&amp;origin=Gymnasium+Kirchheim,+Heimstettner+Str.+3,+85551+Kirchheim+bei+M&#252;nchen&amp;destination=48.085026778453845,11.997320130001427&amp;travelmode=car" TargetMode="External"/><Relationship Id="rId2562" Type="http://schemas.openxmlformats.org/officeDocument/2006/relationships/hyperlink" Target="https://www.google.com/maps/dir/?api=1&amp;origin=Gymnasium+Kirchheim,+Heimstettner+Str.+3,+85551+Kirchheim+bei+M&#252;nchen&amp;destination=48.064765059076564,11.339289350160644&amp;travelmode=car" TargetMode="External"/><Relationship Id="rId3406" Type="http://schemas.openxmlformats.org/officeDocument/2006/relationships/hyperlink" Target="https://www.google.com/maps/dir/?api=1&amp;origin=Gymnasium+Kirchheim,+Heimstettner+Str.+3,+85551+Kirchheim+bei+M&#252;nchen&amp;destination=47.99433902303051,11.939601244041153&amp;travelmode=car" TargetMode="External"/><Relationship Id="rId327" Type="http://schemas.openxmlformats.org/officeDocument/2006/relationships/hyperlink" Target="https://www.google.com/maps/dir/?api=1&amp;origin=Gymnasium+Kirchheim,+Heimstettner+Str.+3,+85551+Kirchheim+bei+M&#252;nchen&amp;destination=48.25985171001432,11.95114508756474&amp;travelmode=car" TargetMode="External"/><Relationship Id="rId534" Type="http://schemas.openxmlformats.org/officeDocument/2006/relationships/hyperlink" Target="https://www.google.com/maps/dir/?api=1&amp;origin=Gymnasium+Kirchheim,+Heimstettner+Str.+3,+85551+Kirchheim+bei+M&#252;nchen&amp;destination=48.23932656291057,11.293110020250275&amp;travelmode=car" TargetMode="External"/><Relationship Id="rId741" Type="http://schemas.openxmlformats.org/officeDocument/2006/relationships/hyperlink" Target="https://www.google.com/maps/dir/?api=1&amp;origin=Gymnasium+Kirchheim,+Heimstettner+Str.+3,+85551+Kirchheim+bei+M&#252;nchen&amp;destination=48.22335536590148,11.66254056390037&amp;travelmode=car" TargetMode="External"/><Relationship Id="rId1164" Type="http://schemas.openxmlformats.org/officeDocument/2006/relationships/hyperlink" Target="https://www.google.com/maps/dir/?api=1&amp;origin=Gymnasium+Kirchheim,+Heimstettner+Str.+3,+85551+Kirchheim+bei+M&#252;nchen&amp;destination=48.186007493216835,11.454737254395377&amp;travelmode=car" TargetMode="External"/><Relationship Id="rId1371" Type="http://schemas.openxmlformats.org/officeDocument/2006/relationships/hyperlink" Target="https://www.google.com/maps/dir/?api=1&amp;origin=Gymnasium+Kirchheim,+Heimstettner+Str.+3,+85551+Kirchheim+bei+M&#252;nchen&amp;destination=48.169577595695245,11.81261696011681&amp;travelmode=car" TargetMode="External"/><Relationship Id="rId2008" Type="http://schemas.openxmlformats.org/officeDocument/2006/relationships/hyperlink" Target="https://www.google.com/maps/dir/?api=1&amp;origin=Gymnasium+Kirchheim,+Heimstettner+Str.+3,+85551+Kirchheim+bei+M&#252;nchen&amp;destination=48.11498066497976,12.055038147665204&amp;travelmode=car" TargetMode="External"/><Relationship Id="rId2215" Type="http://schemas.openxmlformats.org/officeDocument/2006/relationships/hyperlink" Target="https://www.google.com/maps/dir/?api=1&amp;origin=Gymnasium+Kirchheim,+Heimstettner+Str.+3,+85551+Kirchheim+bei+M&#252;nchen&amp;destination=48.09504822538452,11.397013396964736&amp;travelmode=car" TargetMode="External"/><Relationship Id="rId2422" Type="http://schemas.openxmlformats.org/officeDocument/2006/relationships/hyperlink" Target="https://www.google.com/maps/dir/?api=1&amp;origin=Gymnasium+Kirchheim,+Heimstettner+Str.+3,+85551+Kirchheim+bei+M&#252;nchen&amp;destination=48.07879741580413,11.754895734161472&amp;travelmode=car" TargetMode="External"/><Relationship Id="rId601" Type="http://schemas.openxmlformats.org/officeDocument/2006/relationships/hyperlink" Target="https://www.google.com/maps/dir/?api=1&amp;origin=Gymnasium+Kirchheim,+Heimstettner+Str.+3,+85551+Kirchheim+bei+M&#252;nchen&amp;destination=48.23630745349163,12.066581641260367&amp;travelmode=car" TargetMode="External"/><Relationship Id="rId1024" Type="http://schemas.openxmlformats.org/officeDocument/2006/relationships/hyperlink" Target="https://www.google.com/maps/dir/?api=1&amp;origin=Gymnasium+Kirchheim,+Heimstettner+Str.+3,+85551+Kirchheim+bei+M&#252;nchen&amp;destination=48.19962390436828,11.870337526618448&amp;travelmode=car" TargetMode="External"/><Relationship Id="rId1231" Type="http://schemas.openxmlformats.org/officeDocument/2006/relationships/hyperlink" Target="https://www.google.com/maps/dir/?api=1&amp;origin=Gymnasium+Kirchheim,+Heimstettner+Str.+3,+85551+Kirchheim+bei+M&#252;nchen&amp;destination=48.18180416217908,12.239729209273484&amp;travelmode=car" TargetMode="External"/><Relationship Id="rId3196" Type="http://schemas.openxmlformats.org/officeDocument/2006/relationships/hyperlink" Target="https://www.google.com/maps/dir/?api=1&amp;origin=Gymnasium+Kirchheim,+Heimstettner+Str.+3,+85551+Kirchheim+bei+M&#252;nchen&amp;destination=48.011263428038795,11.547094869402834&amp;travelmode=car" TargetMode="External"/><Relationship Id="rId3056" Type="http://schemas.openxmlformats.org/officeDocument/2006/relationships/hyperlink" Target="https://www.google.com/maps/dir/?api=1&amp;origin=Gymnasium+Kirchheim,+Heimstettner+Str.+3,+85551+Kirchheim+bei+M&#252;nchen&amp;destination=48.02461988220456,11.95114508756474&amp;travelmode=car" TargetMode="External"/><Relationship Id="rId3263" Type="http://schemas.openxmlformats.org/officeDocument/2006/relationships/hyperlink" Target="https://www.google.com/maps/dir/?api=1&amp;origin=Gymnasium+Kirchheim,+Heimstettner+Str.+3,+85551+Kirchheim+bei+M&#252;nchen&amp;destination=48.00408780232921,11.304654858343824&amp;travelmode=car" TargetMode="External"/><Relationship Id="rId3470" Type="http://schemas.openxmlformats.org/officeDocument/2006/relationships/hyperlink" Target="https://www.google.com/maps/dir/?api=1&amp;origin=Gymnasium+Kirchheim,+Heimstettner+Str.+3,+85551+Kirchheim+bei+M&#252;nchen&amp;destination=47.988123538091735,11.66254056390037&amp;travelmode=car" TargetMode="External"/><Relationship Id="rId184" Type="http://schemas.openxmlformats.org/officeDocument/2006/relationships/hyperlink" Target="https://www.google.com/maps/dir/?api=1&amp;origin=Gymnasium+Kirchheim,+Heimstettner+Str.+3,+85551+Kirchheim+bei+M&#252;nchen&amp;destination=48.26966403581787,11.316199693041677&amp;travelmode=car" TargetMode="External"/><Relationship Id="rId391" Type="http://schemas.openxmlformats.org/officeDocument/2006/relationships/hyperlink" Target="https://www.google.com/maps/dir/?api=1&amp;origin=Gymnasium+Kirchheim,+Heimstettner+Str.+3,+85551+Kirchheim+bei+M&#252;nchen&amp;destination=48.25366395314346,11.67408503422851&amp;travelmode=car" TargetMode="External"/><Relationship Id="rId1908" Type="http://schemas.openxmlformats.org/officeDocument/2006/relationships/hyperlink" Target="https://www.google.com/maps/dir/?api=1&amp;origin=Gymnasium+Kirchheim,+Heimstettner+Str.+3,+85551+Kirchheim+bei+M&#252;nchen&amp;destination=48.12347692579481,11.916513461151142&amp;travelmode=car" TargetMode="External"/><Relationship Id="rId2072" Type="http://schemas.openxmlformats.org/officeDocument/2006/relationships/hyperlink" Target="https://www.google.com/maps/dir/?api=1&amp;origin=Gymnasium+Kirchheim,+Heimstettner+Str.+3,+85551+Kirchheim+bei+M&#252;nchen&amp;destination=48.10904245502542,11.777984299500497&amp;travelmode=car" TargetMode="External"/><Relationship Id="rId3123" Type="http://schemas.openxmlformats.org/officeDocument/2006/relationships/hyperlink" Target="https://www.google.com/maps/dir/?api=1&amp;origin=Gymnasium+Kirchheim,+Heimstettner+Str.+3,+85551+Kirchheim+bei+M&#252;nchen&amp;destination=48.01824494480695,11.720262709205143&amp;travelmode=car" TargetMode="External"/><Relationship Id="rId251" Type="http://schemas.openxmlformats.org/officeDocument/2006/relationships/hyperlink" Target="https://www.google.com/maps/dir/?api=1&amp;origin=Gymnasium+Kirchheim,+Heimstettner+Str.+3,+85551+Kirchheim+bei+M&#252;nchen&amp;destination=48.26649010754042,12.089668514337413&amp;travelmode=car" TargetMode="External"/><Relationship Id="rId3330" Type="http://schemas.openxmlformats.org/officeDocument/2006/relationships/hyperlink" Target="https://www.google.com/maps/dir/?api=1&amp;origin=Gymnasium+Kirchheim,+Heimstettner+Str.+3,+85551+Kirchheim+bei+M&#252;nchen&amp;destination=48.000991283348114,12.078125096991752&amp;travelmode=car" TargetMode="External"/><Relationship Id="rId2889" Type="http://schemas.openxmlformats.org/officeDocument/2006/relationships/hyperlink" Target="https://www.google.com/maps/dir/?api=1&amp;origin=Gymnasium+Kirchheim,+Heimstettner+Str.+3,+85551+Kirchheim+bei+M&#252;nchen&amp;destination=48.039016243070556,12.066581641260367&amp;travelmode=car" TargetMode="External"/><Relationship Id="rId111" Type="http://schemas.openxmlformats.org/officeDocument/2006/relationships/hyperlink" Target="https://www.google.com/maps/dir/?api=1&amp;origin=Gymnasium+Kirchheim,+Heimstettner+Str.+3,+85551+Kirchheim+bei+M&#252;nchen&amp;destination=48.27699218127168,11.489371450790154&amp;travelmode=car" TargetMode="External"/><Relationship Id="rId1698" Type="http://schemas.openxmlformats.org/officeDocument/2006/relationships/hyperlink" Target="https://www.google.com/maps/dir/?api=1&amp;origin=Gymnasium+Kirchheim,+Heimstettner+Str.+3,+85551+Kirchheim+bei+M&#252;nchen&amp;destination=48.140322766058354,11.524005541398747&amp;travelmode=car" TargetMode="External"/><Relationship Id="rId2749" Type="http://schemas.openxmlformats.org/officeDocument/2006/relationships/hyperlink" Target="https://www.google.com/maps/dir/?api=1&amp;origin=Gymnasium+Kirchheim,+Heimstettner+Str.+3,+85551+Kirchheim+bei+M&#252;nchen&amp;destination=48.0493981614993,11.466281997410366&amp;travelmode=car" TargetMode="External"/><Relationship Id="rId2956" Type="http://schemas.openxmlformats.org/officeDocument/2006/relationships/hyperlink" Target="https://www.google.com/maps/dir/?api=1&amp;origin=Gymnasium+Kirchheim,+Heimstettner+Str.+3,+85551+Kirchheim+bei+M&#252;nchen&amp;destination=48.032932446700016,11.824161128262173&amp;travelmode=car" TargetMode="External"/><Relationship Id="rId928" Type="http://schemas.openxmlformats.org/officeDocument/2006/relationships/hyperlink" Target="https://www.google.com/maps/dir/?api=1&amp;origin=Gymnasium+Kirchheim,+Heimstettner+Str.+3,+85551+Kirchheim+bei+M&#252;nchen&amp;destination=48.20768806023596,11.777984299500497&amp;travelmode=car" TargetMode="External"/><Relationship Id="rId1558" Type="http://schemas.openxmlformats.org/officeDocument/2006/relationships/hyperlink" Target="https://www.google.com/maps/dir/?api=1&amp;origin=Gymnasium+Kirchheim,+Heimstettner+Str.+3,+85551+Kirchheim+bei+M&#252;nchen&amp;destination=48.15368961606291,11.939601244041153&amp;travelmode=car" TargetMode="External"/><Relationship Id="rId1765" Type="http://schemas.openxmlformats.org/officeDocument/2006/relationships/hyperlink" Target="https://www.google.com/maps/dir/?api=1&amp;origin=Gymnasium+Kirchheim,+Heimstettner+Str.+3,+85551+Kirchheim+bei+M&#252;nchen&amp;destination=48.133092834222296,11.293110020250275&amp;travelmode=car" TargetMode="External"/><Relationship Id="rId2609" Type="http://schemas.openxmlformats.org/officeDocument/2006/relationships/hyperlink" Target="https://www.google.com/maps/dir/?api=1&amp;origin=Gymnasium+Kirchheim,+Heimstettner+Str.+3,+85551+Kirchheim+bei+M&#252;nchen&amp;destination=48.06290712046808,11.893425553951282&amp;travelmode=car" TargetMode="External"/><Relationship Id="rId57" Type="http://schemas.openxmlformats.org/officeDocument/2006/relationships/hyperlink" Target="https://www.google.com/maps/dir/?api=1&amp;origin=Gymnasium+Kirchheim,+Heimstettner+Str.+3,+85551+Kirchheim+bei+M&#252;nchen&amp;destination=48.28296270132236,11.893425553951282&amp;travelmode=car" TargetMode="External"/><Relationship Id="rId1418" Type="http://schemas.openxmlformats.org/officeDocument/2006/relationships/hyperlink" Target="https://www.google.com/maps/dir/?api=1&amp;origin=Gymnasium+Kirchheim,+Heimstettner+Str.+3,+85551+Kirchheim+bei+M&#252;nchen&amp;destination=48.163410664287106,11.339289350160644&amp;travelmode=car" TargetMode="External"/><Relationship Id="rId1972" Type="http://schemas.openxmlformats.org/officeDocument/2006/relationships/hyperlink" Target="https://www.google.com/maps/dir/?api=1&amp;origin=Gymnasium+Kirchheim,+Heimstettner+Str.+3,+85551+Kirchheim+bei+M&#252;nchen&amp;destination=48.11720598436912,11.639451564999296&amp;travelmode=car" TargetMode="External"/><Relationship Id="rId2816" Type="http://schemas.openxmlformats.org/officeDocument/2006/relationships/hyperlink" Target="https://www.google.com/maps/dir/?api=1&amp;origin=Gymnasium+Kirchheim,+Heimstettner+Str.+3,+85551+Kirchheim+bei+M&#252;nchen&amp;destination=48.045217939579885,12.239729209273484&amp;travelmode=car" TargetMode="External"/><Relationship Id="rId1625" Type="http://schemas.openxmlformats.org/officeDocument/2006/relationships/hyperlink" Target="https://www.google.com/maps/dir/?api=1&amp;origin=Gymnasium+Kirchheim,+Heimstettner+Str.+3,+85551+Kirchheim+bei+M&#252;nchen&amp;destination=48.1473389449541,11.69717391402856&amp;travelmode=car" TargetMode="External"/><Relationship Id="rId1832" Type="http://schemas.openxmlformats.org/officeDocument/2006/relationships/hyperlink" Target="https://www.google.com/maps/dir/?api=1&amp;origin=Gymnasium+Kirchheim,+Heimstettner+Str.+3,+85551+Kirchheim+bei+M&#252;nchen&amp;destination=48.13015691193523,12.055038147665204&amp;travelmode=car" TargetMode="External"/><Relationship Id="rId2399" Type="http://schemas.openxmlformats.org/officeDocument/2006/relationships/hyperlink" Target="https://www.google.com/maps/dir/?api=1&amp;origin=Gymnasium+Kirchheim,+Heimstettner+Str.+3,+85551+Kirchheim+bei+M&#252;nchen&amp;destination=48.0797009708506,11.489371450790154&amp;travelmode=car" TargetMode="External"/><Relationship Id="rId578" Type="http://schemas.openxmlformats.org/officeDocument/2006/relationships/hyperlink" Target="https://www.google.com/maps/dir/?api=1&amp;origin=Gymnasium+Kirchheim,+Heimstettner+Str.+3,+85551+Kirchheim+bei+M&#252;nchen&amp;destination=48.23792847805482,11.801072765593279&amp;travelmode=car" TargetMode="External"/><Relationship Id="rId785" Type="http://schemas.openxmlformats.org/officeDocument/2006/relationships/hyperlink" Target="https://www.google.com/maps/dir/?api=1&amp;origin=Gymnasium+Kirchheim,+Heimstettner+Str.+3,+85551+Kirchheim+bei+M&#252;nchen&amp;destination=48.22042412283435,12.158928183084447&amp;travelmode=car" TargetMode="External"/><Relationship Id="rId992" Type="http://schemas.openxmlformats.org/officeDocument/2006/relationships/hyperlink" Target="https://www.google.com/maps/dir/?api=1&amp;origin=Gymnasium+Kirchheim,+Heimstettner+Str.+3,+85551+Kirchheim+bei+M&#252;nchen&amp;destination=48.20108437105731,11.500916160110199&amp;travelmode=car" TargetMode="External"/><Relationship Id="rId2259" Type="http://schemas.openxmlformats.org/officeDocument/2006/relationships/hyperlink" Target="https://www.google.com/maps/dir/?api=1&amp;origin=Gymnasium+Kirchheim,+Heimstettner+Str.+3,+85551+Kirchheim+bei+M&#252;nchen&amp;destination=48.09319260077785,11.90496952282889&amp;travelmode=car" TargetMode="External"/><Relationship Id="rId2466" Type="http://schemas.openxmlformats.org/officeDocument/2006/relationships/hyperlink" Target="https://www.google.com/maps/dir/?api=1&amp;origin=Gymnasium+Kirchheim,+Heimstettner+Str.+3,+85551+Kirchheim+bei+M&#252;nchen&amp;destination=48.07240517833466,11.235385797131558&amp;travelmode=car" TargetMode="External"/><Relationship Id="rId2673" Type="http://schemas.openxmlformats.org/officeDocument/2006/relationships/hyperlink" Target="https://www.google.com/maps/dir/?api=1&amp;origin=Gymnasium+Kirchheim,+Heimstettner+Str.+3,+85551+Kirchheim+bei+M&#252;nchen&amp;destination=48.05661885177252,11.604817928870196&amp;travelmode=car" TargetMode="External"/><Relationship Id="rId2880" Type="http://schemas.openxmlformats.org/officeDocument/2006/relationships/hyperlink" Target="https://www.google.com/maps/dir/?api=1&amp;origin=Gymnasium+Kirchheim,+Heimstettner+Str.+3,+85551+Kirchheim+bei+M&#252;nchen&amp;destination=48.03972333915434,11.962688898444616&amp;travelmode=car" TargetMode="External"/><Relationship Id="rId3517" Type="http://schemas.openxmlformats.org/officeDocument/2006/relationships/hyperlink" Target="https://www.google.com/maps/dir/?api=1&amp;origin=Gymnasium+Kirchheim,+Heimstettner+Str.+3,+85551+Kirchheim+bei+M&#252;nchen&amp;destination=47.984811029539216,12.205100461762754&amp;travelmode=car" TargetMode="External"/><Relationship Id="rId438" Type="http://schemas.openxmlformats.org/officeDocument/2006/relationships/hyperlink" Target="https://www.google.com/maps/dir/?api=1&amp;origin=Gymnasium+Kirchheim,+Heimstettner+Str.+3,+85551+Kirchheim+bei+M&#252;nchen&amp;destination=48.25029714709668,12.21664342242148&amp;travelmode=car" TargetMode="External"/><Relationship Id="rId645" Type="http://schemas.openxmlformats.org/officeDocument/2006/relationships/hyperlink" Target="https://www.google.com/maps/dir/?api=1&amp;origin=Gymnasium+Kirchheim,+Heimstettner+Str.+3,+85551+Kirchheim+bei+M&#252;nchen&amp;destination=48.23128665630516,11.55863951211732&amp;travelmode=car" TargetMode="External"/><Relationship Id="rId852" Type="http://schemas.openxmlformats.org/officeDocument/2006/relationships/hyperlink" Target="https://www.google.com/maps/dir/?api=1&amp;origin=Gymnasium+Kirchheim,+Heimstettner+Str.+3,+85551+Kirchheim+bei+M&#252;nchen&amp;destination=48.21453440752762,11.916513461151142&amp;travelmode=car" TargetMode="External"/><Relationship Id="rId1068" Type="http://schemas.openxmlformats.org/officeDocument/2006/relationships/hyperlink" Target="https://www.google.com/maps/dir/?api=1&amp;origin=Gymnasium+Kirchheim,+Heimstettner+Str.+3,+85551+Kirchheim+bei+M&#252;nchen&amp;destination=48.19375160358927,11.350834171536942&amp;travelmode=car" TargetMode="External"/><Relationship Id="rId1275" Type="http://schemas.openxmlformats.org/officeDocument/2006/relationships/hyperlink" Target="https://www.google.com/maps/dir/?api=1&amp;origin=Gymnasium+Kirchheim,+Heimstettner+Str.+3,+85551+Kirchheim+bei+M&#252;nchen&amp;destination=48.17759553783935,11.720262709205143&amp;travelmode=car" TargetMode="External"/><Relationship Id="rId1482" Type="http://schemas.openxmlformats.org/officeDocument/2006/relationships/hyperlink" Target="https://www.google.com/maps/dir/?api=1&amp;origin=Gymnasium+Kirchheim,+Heimstettner+Str.+3,+85551+Kirchheim+bei+M&#252;nchen&amp;destination=48.16034187638053,12.078125096991752&amp;travelmode=car" TargetMode="External"/><Relationship Id="rId2119" Type="http://schemas.openxmlformats.org/officeDocument/2006/relationships/hyperlink" Target="https://www.google.com/maps/dir/?api=1&amp;origin=Gymnasium+Kirchheim,+Heimstettner+Str.+3,+85551+Kirchheim+bei+M&#252;nchen&amp;destination=48.102733407539745,11.304654858343824&amp;travelmode=car" TargetMode="External"/><Relationship Id="rId2326" Type="http://schemas.openxmlformats.org/officeDocument/2006/relationships/hyperlink" Target="https://www.google.com/maps/dir/?api=1&amp;origin=Gymnasium+Kirchheim,+Heimstettner+Str.+3,+85551+Kirchheim+bei+M&#252;nchen&amp;destination=48.08676914330227,11.66254056390037&amp;travelmode=car" TargetMode="External"/><Relationship Id="rId2533" Type="http://schemas.openxmlformats.org/officeDocument/2006/relationships/hyperlink" Target="https://www.google.com/maps/dir/?api=1&amp;origin=Gymnasium+Kirchheim,+Heimstettner+Str.+3,+85551+Kirchheim+bei+M&#252;nchen&amp;destination=48.06969455422692,12.02040744491661&amp;travelmode=car" TargetMode="External"/><Relationship Id="rId2740" Type="http://schemas.openxmlformats.org/officeDocument/2006/relationships/hyperlink" Target="https://www.google.com/maps/dir/?api=1&amp;origin=Gymnasium+Kirchheim,+Heimstettner+Str.+3,+85551+Kirchheim+bei+M&#252;nchen&amp;destination=48.04956454744651,11.362378987427904&amp;travelmode=car" TargetMode="External"/><Relationship Id="rId505" Type="http://schemas.openxmlformats.org/officeDocument/2006/relationships/hyperlink" Target="https://www.google.com/maps/dir/?api=1&amp;origin=Gymnasium+Kirchheim,+Heimstettner+Str.+3,+85551+Kirchheim+bei+M&#252;nchen&amp;destination=48.244528727784925,11.97423267615872&amp;travelmode=car" TargetMode="External"/><Relationship Id="rId712" Type="http://schemas.openxmlformats.org/officeDocument/2006/relationships/hyperlink" Target="https://www.google.com/maps/dir/?api=1&amp;origin=Gymnasium+Kirchheim,+Heimstettner+Str.+3,+85551+Kirchheim+bei+M&#252;nchen&amp;destination=48.22413529495145,11.316199693041677&amp;travelmode=car" TargetMode="External"/><Relationship Id="rId1135" Type="http://schemas.openxmlformats.org/officeDocument/2006/relationships/hyperlink" Target="https://www.google.com/maps/dir/?api=1&amp;origin=Gymnasium+Kirchheim,+Heimstettner+Str.+3,+85551+Kirchheim+bei+M&#252;nchen&amp;destination=48.19025533085149,12.135841789424584&amp;travelmode=car" TargetMode="External"/><Relationship Id="rId1342" Type="http://schemas.openxmlformats.org/officeDocument/2006/relationships/hyperlink" Target="https://www.google.com/maps/dir/?api=1&amp;origin=Gymnasium+Kirchheim,+Heimstettner+Str.+3,+85551+Kirchheim+bei+M&#252;nchen&amp;destination=48.170783872583016,11.477826729716085&amp;travelmode=car" TargetMode="External"/><Relationship Id="rId1202" Type="http://schemas.openxmlformats.org/officeDocument/2006/relationships/hyperlink" Target="https://www.google.com/maps/dir/?api=1&amp;origin=Gymnasium+Kirchheim,+Heimstettner+Str.+3,+85551+Kirchheim+bei+M&#252;nchen&amp;destination=48.18431709611182,11.893425553951282&amp;travelmode=car" TargetMode="External"/><Relationship Id="rId2600" Type="http://schemas.openxmlformats.org/officeDocument/2006/relationships/hyperlink" Target="https://www.google.com/maps/dir/?api=1&amp;origin=Gymnasium+Kirchheim,+Heimstettner+Str.+3,+85551+Kirchheim+bei+M&#252;nchen&amp;destination=48.06351371415901,11.777984299500497&amp;travelmode=car" TargetMode="External"/><Relationship Id="rId3167" Type="http://schemas.openxmlformats.org/officeDocument/2006/relationships/hyperlink" Target="https://www.google.com/maps/dir/?api=1&amp;origin=Gymnasium+Kirchheim,+Heimstettner+Str.+3,+85551+Kirchheim+bei+M&#252;nchen&amp;destination=48.01496596002371,12.228186338432307&amp;travelmode=car" TargetMode="External"/><Relationship Id="rId295" Type="http://schemas.openxmlformats.org/officeDocument/2006/relationships/hyperlink" Target="https://www.google.com/maps/dir/?api=1&amp;origin=Gymnasium+Kirchheim,+Heimstettner+Str.+3,+85551+Kirchheim+bei+M&#252;nchen&amp;destination=48.26157097877645,11.581728752359444&amp;travelmode=car" TargetMode="External"/><Relationship Id="rId3374" Type="http://schemas.openxmlformats.org/officeDocument/2006/relationships/hyperlink" Target="https://www.google.com/maps/dir/?api=1&amp;origin=Gymnasium+Kirchheim,+Heimstettner+Str.+3,+85551+Kirchheim+bei+M&#252;nchen&amp;destination=47.996021320485276,11.570184139943638&amp;travelmode=car" TargetMode="External"/><Relationship Id="rId3581" Type="http://schemas.openxmlformats.org/officeDocument/2006/relationships/hyperlink" Target="https://www.google.com/maps/dir/?api=1&amp;origin=Gymnasium+Kirchheim,+Heimstettner+Str.+3,+85551+Kirchheim+bei+M&#252;nchen&amp;destination=47.97923325553697,11.928057368395926&amp;travelmode=car" TargetMode="External"/><Relationship Id="rId2183" Type="http://schemas.openxmlformats.org/officeDocument/2006/relationships/hyperlink" Target="https://www.google.com/maps/dir/?api=1&amp;origin=Gymnasium+Kirchheim,+Heimstettner+Str.+3,+85551+Kirchheim+bei+M&#252;nchen&amp;destination=48.09988644994718,12.043494616728212&amp;travelmode=car" TargetMode="External"/><Relationship Id="rId2390" Type="http://schemas.openxmlformats.org/officeDocument/2006/relationships/hyperlink" Target="https://www.google.com/maps/dir/?api=1&amp;origin=Gymnasium+Kirchheim,+Heimstettner+Str.+3,+85551+Kirchheim+bei+M&#252;nchen&amp;destination=48.07988815485909,11.385468600664204&amp;travelmode=car" TargetMode="External"/><Relationship Id="rId3027" Type="http://schemas.openxmlformats.org/officeDocument/2006/relationships/hyperlink" Target="https://www.google.com/maps/dir/?api=1&amp;origin=Gymnasium+Kirchheim,+Heimstettner+Str.+3,+85551+Kirchheim+bei+M&#252;nchen&amp;destination=48.026188943116026,11.627907037470955&amp;travelmode=car" TargetMode="External"/><Relationship Id="rId3234" Type="http://schemas.openxmlformats.org/officeDocument/2006/relationships/hyperlink" Target="https://www.google.com/maps/dir/?api=1&amp;origin=Gymnasium+Kirchheim,+Heimstettner+Str.+3,+85551+Kirchheim+bei+M&#252;nchen&amp;destination=48.00922179945071,11.985776420185003&amp;travelmode=car" TargetMode="External"/><Relationship Id="rId3441" Type="http://schemas.openxmlformats.org/officeDocument/2006/relationships/hyperlink" Target="https://www.google.com/maps/dir/?api=1&amp;origin=Gymnasium+Kirchheim,+Heimstettner+Str.+3,+85551+Kirchheim+bei+M&#252;nchen&amp;destination=47.988894223449925,11.327744523821421&amp;travelmode=car" TargetMode="External"/><Relationship Id="rId155" Type="http://schemas.openxmlformats.org/officeDocument/2006/relationships/hyperlink" Target="https://www.google.com/maps/dir/?api=1&amp;origin=Gymnasium+Kirchheim,+Heimstettner+Str.+3,+85551+Kirchheim+bei+M&#252;nchen&amp;destination=48.27465245437975,12.00886380508597&amp;travelmode=car" TargetMode="External"/><Relationship Id="rId362" Type="http://schemas.openxmlformats.org/officeDocument/2006/relationships/hyperlink" Target="https://www.google.com/maps/dir/?api=1&amp;origin=Gymnasium+Kirchheim,+Heimstettner+Str.+3,+85551+Kirchheim+bei+M&#252;nchen&amp;destination=48.25446814601991,11.339289350160644&amp;travelmode=car" TargetMode="External"/><Relationship Id="rId2043" Type="http://schemas.openxmlformats.org/officeDocument/2006/relationships/hyperlink" Target="https://www.google.com/maps/dir/?api=1&amp;origin=Gymnasium+Kirchheim,+Heimstettner+Str.+3,+85551+Kirchheim+bei+M&#252;nchen&amp;destination=48.110148212114176,11.44319250119349&amp;travelmode=car" TargetMode="External"/><Relationship Id="rId2250" Type="http://schemas.openxmlformats.org/officeDocument/2006/relationships/hyperlink" Target="https://www.google.com/maps/dir/?api=1&amp;origin=Gymnasium+Kirchheim,+Heimstettner+Str.+3,+85551+Kirchheim+bei+M&#252;nchen&amp;destination=48.09375413197789,11.801072765593279&amp;travelmode=car" TargetMode="External"/><Relationship Id="rId3301" Type="http://schemas.openxmlformats.org/officeDocument/2006/relationships/hyperlink" Target="https://www.google.com/maps/dir/?api=1&amp;origin=Gymnasium+Kirchheim,+Heimstettner+Str.+3,+85551+Kirchheim+bei+M&#252;nchen&amp;destination=48.00296817533412,11.743351415580166&amp;travelmode=car" TargetMode="External"/><Relationship Id="rId222" Type="http://schemas.openxmlformats.org/officeDocument/2006/relationships/hyperlink" Target="https://www.google.com/maps/dir/?api=1&amp;origin=Gymnasium+Kirchheim,+Heimstettner+Str.+3,+85551+Kirchheim+bei+M&#252;nchen&amp;destination=48.26850050274747,11.754895734161472&amp;travelmode=car" TargetMode="External"/><Relationship Id="rId2110" Type="http://schemas.openxmlformats.org/officeDocument/2006/relationships/hyperlink" Target="https://www.google.com/maps/dir/?api=1&amp;origin=Gymnasium+Kirchheim,+Heimstettner+Str.+3,+85551+Kirchheim+bei+M&#252;nchen&amp;destination=48.10612280101974,12.21664342242148&amp;travelmode=car" TargetMode="External"/><Relationship Id="rId1669" Type="http://schemas.openxmlformats.org/officeDocument/2006/relationships/hyperlink" Target="https://www.google.com/maps/dir/?api=1&amp;origin=Gymnasium+Kirchheim,+Heimstettner+Str.+3,+85551+Kirchheim+bei+M&#252;nchen&amp;destination=48.14406341840841,12.21664342242148&amp;travelmode=car" TargetMode="External"/><Relationship Id="rId1876" Type="http://schemas.openxmlformats.org/officeDocument/2006/relationships/hyperlink" Target="https://www.google.com/maps/dir/?api=1&amp;origin=Gymnasium+Kirchheim,+Heimstettner+Str.+3,+85551+Kirchheim+bei+M&#252;nchen&amp;destination=48.1250852802048,11.547094869402834&amp;travelmode=car" TargetMode="External"/><Relationship Id="rId2927" Type="http://schemas.openxmlformats.org/officeDocument/2006/relationships/hyperlink" Target="https://www.google.com/maps/dir/?api=1&amp;origin=Gymnasium+Kirchheim,+Heimstettner+Str.+3,+85551+Kirchheim+bei+M&#252;nchen&amp;destination=48.034145654547174,11.500916160110199&amp;travelmode=car" TargetMode="External"/><Relationship Id="rId3091" Type="http://schemas.openxmlformats.org/officeDocument/2006/relationships/hyperlink" Target="https://www.google.com/maps/dir/?api=1&amp;origin=Gymnasium+Kirchheim,+Heimstettner+Str.+3,+85551+Kirchheim+bei+M&#252;nchen&amp;destination=48.0192247636014,11.350834171536942&amp;travelmode=car" TargetMode="External"/><Relationship Id="rId1529" Type="http://schemas.openxmlformats.org/officeDocument/2006/relationships/hyperlink" Target="https://www.google.com/maps/dir/?api=1&amp;origin=Gymnasium+Kirchheim,+Heimstettner+Str.+3,+85551+Kirchheim+bei+M&#252;nchen&amp;destination=48.15526445698306,11.604817928870196&amp;travelmode=car" TargetMode="External"/><Relationship Id="rId1736" Type="http://schemas.openxmlformats.org/officeDocument/2006/relationships/hyperlink" Target="https://www.google.com/maps/dir/?api=1&amp;origin=Gymnasium+Kirchheim,+Heimstettner+Str.+3,+85551+Kirchheim+bei+M&#252;nchen&amp;destination=48.138368944364885,11.962688898444616&amp;travelmode=car" TargetMode="External"/><Relationship Id="rId1943" Type="http://schemas.openxmlformats.org/officeDocument/2006/relationships/hyperlink" Target="https://www.google.com/maps/dir/?api=1&amp;origin=Gymnasium+Kirchheim,+Heimstettner+Str.+3,+85551+Kirchheim+bei+M&#252;nchen&amp;destination=48.11790965449522,11.304654858343824&amp;travelmode=car" TargetMode="External"/><Relationship Id="rId28" Type="http://schemas.openxmlformats.org/officeDocument/2006/relationships/hyperlink" Target="https://www.google.com/maps/dir/?api=1&amp;origin=Gymnasium+Kirchheim,+Heimstettner+Str.+3,+85551+Kirchheim+bei+M&#252;nchen&amp;destination=48.284435873237214,11.547094869402834&amp;travelmode=car" TargetMode="External"/><Relationship Id="rId1803" Type="http://schemas.openxmlformats.org/officeDocument/2006/relationships/hyperlink" Target="https://www.google.com/maps/dir/?api=1&amp;origin=Gymnasium+Kirchheim,+Heimstettner+Str.+3,+85551+Kirchheim+bei+M&#252;nchen&amp;destination=48.13206679697295,11.720262709205143&amp;travelmode=car" TargetMode="External"/><Relationship Id="rId689" Type="http://schemas.openxmlformats.org/officeDocument/2006/relationships/hyperlink" Target="https://www.google.com/maps/dir/?api=1&amp;origin=Gymnasium+Kirchheim,+Heimstettner+Str.+3,+85551+Kirchheim+bei+M&#252;nchen&amp;destination=48.2287193300139,12.066581641260367&amp;travelmode=car" TargetMode="External"/><Relationship Id="rId896" Type="http://schemas.openxmlformats.org/officeDocument/2006/relationships/hyperlink" Target="https://www.google.com/maps/dir/?api=1&amp;origin=Gymnasium+Kirchheim,+Heimstettner+Str.+3,+85551+Kirchheim+bei+M&#252;nchen&amp;destination=48.208852745668366,11.408558185690326&amp;travelmode=car" TargetMode="External"/><Relationship Id="rId2577" Type="http://schemas.openxmlformats.org/officeDocument/2006/relationships/hyperlink" Target="https://www.google.com/maps/dir/?api=1&amp;origin=Gymnasium+Kirchheim,+Heimstettner+Str.+3,+85551+Kirchheim+bei+M&#252;nchen&amp;destination=48.06447041758593,11.512460857153851&amp;travelmode=car" TargetMode="External"/><Relationship Id="rId2784" Type="http://schemas.openxmlformats.org/officeDocument/2006/relationships/hyperlink" Target="https://www.google.com/maps/dir/?api=1&amp;origin=Gymnasium+Kirchheim,+Heimstettner+Str.+3,+85551+Kirchheim+bei+M&#252;nchen&amp;destination=48.04786143481361,11.870337526618448&amp;travelmode=car" TargetMode="External"/><Relationship Id="rId549" Type="http://schemas.openxmlformats.org/officeDocument/2006/relationships/hyperlink" Target="https://www.google.com/maps/dir/?api=1&amp;origin=Gymnasium+Kirchheim,+Heimstettner+Str.+3,+85551+Kirchheim+bei+M&#252;nchen&amp;destination=48.23910124844264,11.466281997410366&amp;travelmode=car" TargetMode="External"/><Relationship Id="rId756" Type="http://schemas.openxmlformats.org/officeDocument/2006/relationships/hyperlink" Target="https://www.google.com/maps/dir/?api=1&amp;origin=Gymnasium+Kirchheim,+Heimstettner+Str.+3,+85551+Kirchheim+bei+M&#252;nchen&amp;destination=48.22263553364336,11.824161128262173&amp;travelmode=car" TargetMode="External"/><Relationship Id="rId1179" Type="http://schemas.openxmlformats.org/officeDocument/2006/relationships/hyperlink" Target="https://www.google.com/maps/dir/?api=1&amp;origin=Gymnasium+Kirchheim,+Heimstettner+Str.+3,+85551+Kirchheim+bei+M&#252;nchen&amp;destination=48.18553953614843,11.627907037470955&amp;travelmode=car" TargetMode="External"/><Relationship Id="rId1386" Type="http://schemas.openxmlformats.org/officeDocument/2006/relationships/hyperlink" Target="https://www.google.com/maps/dir/?api=1&amp;origin=Gymnasium+Kirchheim,+Heimstettner+Str.+3,+85551+Kirchheim+bei+M&#252;nchen&amp;destination=48.16857239248313,11.985776420185003&amp;travelmode=car" TargetMode="External"/><Relationship Id="rId1593" Type="http://schemas.openxmlformats.org/officeDocument/2006/relationships/hyperlink" Target="https://www.google.com/maps/dir/?api=1&amp;origin=Gymnasium+Kirchheim,+Heimstettner+Str.+3,+85551+Kirchheim+bei+M&#252;nchen&amp;destination=48.148234417331636,11.339289350160644&amp;travelmode=car" TargetMode="External"/><Relationship Id="rId2437" Type="http://schemas.openxmlformats.org/officeDocument/2006/relationships/hyperlink" Target="https://www.google.com/maps/dir/?api=1&amp;origin=Gymnasium+Kirchheim,+Heimstettner+Str.+3,+85551+Kirchheim+bei+M&#252;nchen&amp;destination=48.07780838128557,11.939601244041153&amp;travelmode=car" TargetMode="External"/><Relationship Id="rId2991" Type="http://schemas.openxmlformats.org/officeDocument/2006/relationships/hyperlink" Target="https://www.google.com/maps/dir/?api=1&amp;origin=Gymnasium+Kirchheim,+Heimstettner+Str.+3,+85551+Kirchheim+bei+M&#252;nchen&amp;destination=48.030142206979164,12.228186338432307&amp;travelmode=car" TargetMode="External"/><Relationship Id="rId409" Type="http://schemas.openxmlformats.org/officeDocument/2006/relationships/hyperlink" Target="https://www.google.com/maps/dir/?api=1&amp;origin=Gymnasium+Kirchheim,+Heimstettner+Str.+3,+85551+Kirchheim+bei+M&#252;nchen&amp;destination=48.25267606571402,11.881881555040426&amp;travelmode=car" TargetMode="External"/><Relationship Id="rId963" Type="http://schemas.openxmlformats.org/officeDocument/2006/relationships/hyperlink" Target="https://www.google.com/maps/dir/?api=1&amp;origin=Gymnasium+Kirchheim,+Heimstettner+Str.+3,+85551+Kirchheim+bei+M&#252;nchen&amp;destination=48.204963659448225,12.193557456977898&amp;travelmode=car" TargetMode="External"/><Relationship Id="rId1039" Type="http://schemas.openxmlformats.org/officeDocument/2006/relationships/hyperlink" Target="https://www.google.com/maps/dir/?api=1&amp;origin=Gymnasium+Kirchheim,+Heimstettner+Str.+3,+85551+Kirchheim+bei+M&#252;nchen&amp;destination=48.19853205515771,12.043494616728212&amp;travelmode=car" TargetMode="External"/><Relationship Id="rId1246" Type="http://schemas.openxmlformats.org/officeDocument/2006/relationships/hyperlink" Target="https://www.google.com/maps/dir/?api=1&amp;origin=Gymnasium+Kirchheim,+Heimstettner+Str.+3,+85551+Kirchheim+bei+M&#252;nchen&amp;destination=48.17853376006963,11.385468600664204&amp;travelmode=car" TargetMode="External"/><Relationship Id="rId2644" Type="http://schemas.openxmlformats.org/officeDocument/2006/relationships/hyperlink" Target="https://www.google.com/maps/dir/?api=1&amp;origin=Gymnasium+Kirchheim,+Heimstettner+Str.+3,+85551+Kirchheim+bei+M&#252;nchen&amp;destination=48.05722199860459,11.27002033596574&amp;travelmode=car" TargetMode="External"/><Relationship Id="rId2851" Type="http://schemas.openxmlformats.org/officeDocument/2006/relationships/hyperlink" Target="https://www.google.com/maps/dir/?api=1&amp;origin=Gymnasium+Kirchheim,+Heimstettner+Str.+3,+85551+Kirchheim+bei+M&#252;nchen&amp;destination=48.04136519007149,11.627907037470955&amp;travelmode=car" TargetMode="External"/><Relationship Id="rId92" Type="http://schemas.openxmlformats.org/officeDocument/2006/relationships/hyperlink" Target="https://www.google.com/maps/dir/?api=1&amp;origin=Gymnasium+Kirchheim,+Heimstettner+Str.+3,+85551+Kirchheim+bei+M&#252;nchen&amp;destination=48.27727757945888,11.27002033596574&amp;travelmode=car" TargetMode="External"/><Relationship Id="rId616" Type="http://schemas.openxmlformats.org/officeDocument/2006/relationships/hyperlink" Target="https://www.google.com/maps/dir/?api=1&amp;origin=Gymnasium+Kirchheim,+Heimstettner+Str.+3,+85551+Kirchheim+bei+M&#252;nchen&amp;destination=48.23492102652322,12.239729209273484&amp;travelmode=car" TargetMode="External"/><Relationship Id="rId823" Type="http://schemas.openxmlformats.org/officeDocument/2006/relationships/hyperlink" Target="https://www.google.com/maps/dir/?api=1&amp;origin=Gymnasium+Kirchheim,+Heimstettner+Str.+3,+85551+Kirchheim+bei+M&#252;nchen&amp;destination=48.21604223791003,11.581728752359444&amp;travelmode=car" TargetMode="External"/><Relationship Id="rId1453" Type="http://schemas.openxmlformats.org/officeDocument/2006/relationships/hyperlink" Target="https://www.google.com/maps/dir/?api=1&amp;origin=Gymnasium+Kirchheim,+Heimstettner+Str.+3,+85551+Kirchheim+bei+M&#252;nchen&amp;destination=48.16231876836652,11.743351415580166&amp;travelmode=car" TargetMode="External"/><Relationship Id="rId1660" Type="http://schemas.openxmlformats.org/officeDocument/2006/relationships/hyperlink" Target="https://www.google.com/maps/dir/?api=1&amp;origin=Gymnasium+Kirchheim,+Heimstettner+Str.+3,+85551+Kirchheim+bei+M&#252;nchen&amp;destination=48.144993479181,12.101211892775435&amp;travelmode=car" TargetMode="External"/><Relationship Id="rId2504" Type="http://schemas.openxmlformats.org/officeDocument/2006/relationships/hyperlink" Target="https://www.google.com/maps/dir/?api=1&amp;origin=Gymnasium+Kirchheim,+Heimstettner+Str.+3,+85551+Kirchheim+bei+M&#252;nchen&amp;destination=48.07150392761987,11.685629484445332&amp;travelmode=car" TargetMode="External"/><Relationship Id="rId2711" Type="http://schemas.openxmlformats.org/officeDocument/2006/relationships/hyperlink" Target="https://www.google.com/maps/dir/?api=1&amp;origin=Gymnasium+Kirchheim,+Heimstettner+Str.+3,+85551+Kirchheim+bei+M&#252;nchen&amp;destination=48.05435770908076,12.043494616728212&amp;travelmode=car" TargetMode="External"/><Relationship Id="rId1106" Type="http://schemas.openxmlformats.org/officeDocument/2006/relationships/hyperlink" Target="https://www.google.com/maps/dir/?api=1&amp;origin=Gymnasium+Kirchheim,+Heimstettner+Str.+3,+85551+Kirchheim+bei+M&#252;nchen&amp;destination=48.192399737188424,11.801072765593279&amp;travelmode=car" TargetMode="External"/><Relationship Id="rId1313" Type="http://schemas.openxmlformats.org/officeDocument/2006/relationships/hyperlink" Target="https://www.google.com/maps/dir/?api=1&amp;origin=Gymnasium+Kirchheim,+Heimstettner+Str.+3,+85551+Kirchheim+bei+M&#252;nchen&amp;destination=48.17489538196794,12.158928183084447&amp;travelmode=car" TargetMode="External"/><Relationship Id="rId1520" Type="http://schemas.openxmlformats.org/officeDocument/2006/relationships/hyperlink" Target="https://www.google.com/maps/dir/?api=1&amp;origin=Gymnasium+Kirchheim,+Heimstettner+Str.+3,+85551+Kirchheim+bei+M&#252;nchen&amp;destination=48.155555630190904,11.500916160110199&amp;travelmode=car" TargetMode="External"/><Relationship Id="rId3278" Type="http://schemas.openxmlformats.org/officeDocument/2006/relationships/hyperlink" Target="https://www.google.com/maps/dir/?api=1&amp;origin=Gymnasium+Kirchheim,+Heimstettner+Str.+3,+85551+Kirchheim+bei+M&#252;nchen&amp;destination=48.003845156072884,11.477826729716085&amp;travelmode=car" TargetMode="External"/><Relationship Id="rId3485" Type="http://schemas.openxmlformats.org/officeDocument/2006/relationships/hyperlink" Target="https://www.google.com/maps/dir/?api=1&amp;origin=Gymnasium+Kirchheim,+Heimstettner+Str.+3,+85551+Kirchheim+bei+M&#252;nchen&amp;destination=47.98734362410662,11.835705269507187&amp;travelmode=car" TargetMode="External"/><Relationship Id="rId199" Type="http://schemas.openxmlformats.org/officeDocument/2006/relationships/hyperlink" Target="https://www.google.com/maps/dir/?api=1&amp;origin=Gymnasium+Kirchheim,+Heimstettner+Str.+3,+85551+Kirchheim+bei+M&#252;nchen&amp;destination=48.26940405779394,11.489371450790154&amp;travelmode=car" TargetMode="External"/><Relationship Id="rId2087" Type="http://schemas.openxmlformats.org/officeDocument/2006/relationships/hyperlink" Target="https://www.google.com/maps/dir/?api=1&amp;origin=Gymnasium+Kirchheim,+Heimstettner+Str.+3,+85551+Kirchheim+bei+M&#252;nchen&amp;destination=48.10808924045963,11.95114508756474&amp;travelmode=car" TargetMode="External"/><Relationship Id="rId2294" Type="http://schemas.openxmlformats.org/officeDocument/2006/relationships/hyperlink" Target="https://www.google.com/maps/dir/?api=1&amp;origin=Gymnasium+Kirchheim,+Heimstettner+Str.+3,+85551+Kirchheim+bei+M&#252;nchen&amp;destination=48.0875640933559,11.293110020250275&amp;travelmode=car" TargetMode="External"/><Relationship Id="rId3138" Type="http://schemas.openxmlformats.org/officeDocument/2006/relationships/hyperlink" Target="https://www.google.com/maps/dir/?api=1&amp;origin=Gymnasium+Kirchheim,+Heimstettner+Str.+3,+85551+Kirchheim+bei+M&#252;nchen&amp;destination=48.01744423790428,11.881881555040426&amp;travelmode=car" TargetMode="External"/><Relationship Id="rId3345" Type="http://schemas.openxmlformats.org/officeDocument/2006/relationships/hyperlink" Target="https://www.google.com/maps/dir/?api=1&amp;origin=Gymnasium+Kirchheim,+Heimstettner+Str.+3,+85551+Kirchheim+bei+M&#252;nchen&amp;destination=47.996523943557314,11.235385797131558&amp;travelmode=car" TargetMode="External"/><Relationship Id="rId3552" Type="http://schemas.openxmlformats.org/officeDocument/2006/relationships/hyperlink" Target="https://www.google.com/maps/dir/?api=1&amp;origin=Gymnasium+Kirchheim,+Heimstettner+Str.+3,+85551+Kirchheim+bei+M&#252;nchen&amp;destination=47.98077459125441,11.593273348842407&amp;travelmode=car" TargetMode="External"/><Relationship Id="rId266" Type="http://schemas.openxmlformats.org/officeDocument/2006/relationships/hyperlink" Target="https://www.google.com/maps/dir/?api=1&amp;origin=Gymnasium+Kirchheim,+Heimstettner+Str.+3,+85551+Kirchheim+bei+M&#252;nchen&amp;destination=48.26210710981548,11.246930644367383&amp;travelmode=car" TargetMode="External"/><Relationship Id="rId473" Type="http://schemas.openxmlformats.org/officeDocument/2006/relationships/hyperlink" Target="https://www.google.com/maps/dir/?api=1&amp;origin=Gymnasium+Kirchheim,+Heimstettner+Str.+3,+85551+Kirchheim+bei+M&#252;nchen&amp;destination=48.24632193871588,11.604817928870196&amp;travelmode=car" TargetMode="External"/><Relationship Id="rId680" Type="http://schemas.openxmlformats.org/officeDocument/2006/relationships/hyperlink" Target="https://www.google.com/maps/dir/?api=1&amp;origin=Gymnasium+Kirchheim,+Heimstettner+Str.+3,+85551+Kirchheim+bei+M&#252;nchen&amp;destination=48.22942642609768,11.962688898444616&amp;travelmode=car" TargetMode="External"/><Relationship Id="rId2154" Type="http://schemas.openxmlformats.org/officeDocument/2006/relationships/hyperlink" Target="https://www.google.com/maps/dir/?api=1&amp;origin=Gymnasium+Kirchheim,+Heimstettner+Str.+3,+85551+Kirchheim+bei+M&#252;nchen&amp;destination=48.1017628312634,11.708718322455919&amp;travelmode=car" TargetMode="External"/><Relationship Id="rId2361" Type="http://schemas.openxmlformats.org/officeDocument/2006/relationships/hyperlink" Target="https://www.google.com/maps/dir/?api=1&amp;origin=Gymnasium+Kirchheim,+Heimstettner+Str.+3,+85551+Kirchheim+bei+M&#252;nchen&amp;destination=48.084544983936965,12.066581641260367&amp;travelmode=car" TargetMode="External"/><Relationship Id="rId3205" Type="http://schemas.openxmlformats.org/officeDocument/2006/relationships/hyperlink" Target="https://www.google.com/maps/dir/?api=1&amp;origin=Gymnasium+Kirchheim,+Heimstettner+Str.+3,+85551+Kirchheim+bei+M&#252;nchen&amp;destination=48.01093065980111,11.650996073983201&amp;travelmode=car" TargetMode="External"/><Relationship Id="rId3412" Type="http://schemas.openxmlformats.org/officeDocument/2006/relationships/hyperlink" Target="https://www.google.com/maps/dir/?api=1&amp;origin=Gymnasium+Kirchheim,+Heimstettner+Str.+3,+85551+Kirchheim+bei+M&#252;nchen&amp;destination=47.9938918857036,12.00886380508597&amp;travelmode=car" TargetMode="External"/><Relationship Id="rId126" Type="http://schemas.openxmlformats.org/officeDocument/2006/relationships/hyperlink" Target="https://www.google.com/maps/dir/?api=1&amp;origin=Gymnasium+Kirchheim,+Heimstettner+Str.+3,+85551+Kirchheim+bei+M&#252;nchen&amp;destination=48.276472230245616,11.66254056390037&amp;travelmode=car" TargetMode="External"/><Relationship Id="rId333" Type="http://schemas.openxmlformats.org/officeDocument/2006/relationships/hyperlink" Target="https://www.google.com/maps/dir/?api=1&amp;origin=Gymnasium+Kirchheim,+Heimstettner+Str.+3,+85551+Kirchheim+bei+M&#252;nchen&amp;destination=48.259397641170274,12.02040744491661&amp;travelmode=car" TargetMode="External"/><Relationship Id="rId540" Type="http://schemas.openxmlformats.org/officeDocument/2006/relationships/hyperlink" Target="https://www.google.com/maps/dir/?api=1&amp;origin=Gymnasium+Kirchheim,+Heimstettner+Str.+3,+85551+Kirchheim+bei+M&#252;nchen&amp;destination=48.23926763438985,11.362378987427904&amp;travelmode=car" TargetMode="External"/><Relationship Id="rId1170" Type="http://schemas.openxmlformats.org/officeDocument/2006/relationships/hyperlink" Target="https://www.google.com/maps/dir/?api=1&amp;origin=Gymnasium+Kirchheim,+Heimstettner+Str.+3,+85551+Kirchheim+bei+M&#252;nchen&amp;destination=48.18585150692476,11.524005541398747&amp;travelmode=car" TargetMode="External"/><Relationship Id="rId2014" Type="http://schemas.openxmlformats.org/officeDocument/2006/relationships/hyperlink" Target="https://www.google.com/maps/dir/?api=1&amp;origin=Gymnasium+Kirchheim,+Heimstettner+Str.+3,+85551+Kirchheim+bei+M&#252;nchen&amp;destination=48.11446421430668,12.12429853084091&amp;travelmode=car" TargetMode="External"/><Relationship Id="rId2221" Type="http://schemas.openxmlformats.org/officeDocument/2006/relationships/hyperlink" Target="https://www.google.com/maps/dir/?api=1&amp;origin=Gymnasium+Kirchheim,+Heimstettner+Str.+3,+85551+Kirchheim+bei+M&#252;nchen&amp;destination=48.0949269023657,11.466281997410366&amp;travelmode=car" TargetMode="External"/><Relationship Id="rId1030" Type="http://schemas.openxmlformats.org/officeDocument/2006/relationships/hyperlink" Target="https://www.google.com/maps/dir/?api=1&amp;origin=Gymnasium+Kirchheim,+Heimstettner+Str.+3,+85551+Kirchheim+bei+M&#252;nchen&amp;destination=48.199218356929315,11.939601244041153&amp;travelmode=car" TargetMode="External"/><Relationship Id="rId400" Type="http://schemas.openxmlformats.org/officeDocument/2006/relationships/hyperlink" Target="https://www.google.com/maps/dir/?api=1&amp;origin=Gymnasium+Kirchheim,+Heimstettner+Str.+3,+85551+Kirchheim+bei+M&#252;nchen&amp;destination=48.25321680110236,11.777984299500497&amp;travelmode=car" TargetMode="External"/><Relationship Id="rId1987" Type="http://schemas.openxmlformats.org/officeDocument/2006/relationships/hyperlink" Target="https://www.google.com/maps/dir/?api=1&amp;origin=Gymnasium+Kirchheim,+Heimstettner+Str.+3,+85551+Kirchheim+bei+M&#252;nchen&amp;destination=48.11646073135111,11.81261696011681&amp;travelmode=car" TargetMode="External"/><Relationship Id="rId1847" Type="http://schemas.openxmlformats.org/officeDocument/2006/relationships/hyperlink" Target="https://www.google.com/maps/dir/?api=1&amp;origin=Gymnasium+Kirchheim,+Heimstettner+Str.+3,+85551+Kirchheim+bei+M&#252;nchen&amp;destination=48.1287878121897,12.228186338432307&amp;travelmode=car" TargetMode="External"/><Relationship Id="rId1707" Type="http://schemas.openxmlformats.org/officeDocument/2006/relationships/hyperlink" Target="https://www.google.com/maps/dir/?api=1&amp;origin=Gymnasium+Kirchheim,+Heimstettner+Str.+3,+85551+Kirchheim+bei+M&#252;nchen&amp;destination=48.14001079528203,11.627907037470955&amp;travelmode=car" TargetMode="External"/><Relationship Id="rId3062" Type="http://schemas.openxmlformats.org/officeDocument/2006/relationships/hyperlink" Target="https://www.google.com/maps/dir/?api=1&amp;origin=Gymnasium+Kirchheim,+Heimstettner+Str.+3,+85551+Kirchheim+bei+M&#252;nchen&amp;destination=48.02408609187668,12.031951048971356&amp;travelmode=car" TargetMode="External"/><Relationship Id="rId190" Type="http://schemas.openxmlformats.org/officeDocument/2006/relationships/hyperlink" Target="https://www.google.com/maps/dir/?api=1&amp;origin=Gymnasium+Kirchheim,+Heimstettner+Str.+3,+85551+Kirchheim+bei+M&#252;nchen&amp;destination=48.26959124180244,11.385468600664204&amp;travelmode=car" TargetMode="External"/><Relationship Id="rId1914" Type="http://schemas.openxmlformats.org/officeDocument/2006/relationships/hyperlink" Target="https://www.google.com/maps/dir/?api=1&amp;origin=Gymnasium+Kirchheim,+Heimstettner+Str.+3,+85551+Kirchheim+bei+M&#252;nchen&amp;destination=48.123043651616726,11.985776420185003&amp;travelmode=car" TargetMode="External"/><Relationship Id="rId2688" Type="http://schemas.openxmlformats.org/officeDocument/2006/relationships/hyperlink" Target="https://www.google.com/maps/dir/?api=1&amp;origin=Gymnasium+Kirchheim,+Heimstettner+Str.+3,+85551+Kirchheim+bei+M&#252;nchen&amp;destination=48.05592559068128,11.777984299500497&amp;travelmode=car" TargetMode="External"/><Relationship Id="rId2895" Type="http://schemas.openxmlformats.org/officeDocument/2006/relationships/hyperlink" Target="https://www.google.com/maps/dir/?api=1&amp;origin=Gymnasium+Kirchheim,+Heimstettner+Str.+3,+85551+Kirchheim+bei+M&#252;nchen&amp;destination=48.03849286129681,12.135841789424584&amp;travelmode=car" TargetMode="External"/><Relationship Id="rId867" Type="http://schemas.openxmlformats.org/officeDocument/2006/relationships/hyperlink" Target="https://www.google.com/maps/dir/?api=1&amp;origin=Gymnasium+Kirchheim,+Heimstettner+Str.+3,+85551+Kirchheim+bei+M&#252;nchen&amp;destination=48.21337324319628,12.089668514337413&amp;travelmode=car" TargetMode="External"/><Relationship Id="rId1497" Type="http://schemas.openxmlformats.org/officeDocument/2006/relationships/hyperlink" Target="https://www.google.com/maps/dir/?api=1&amp;origin=Gymnasium+Kirchheim,+Heimstettner+Str.+3,+85551+Kirchheim+bei+M&#252;nchen&amp;destination=48.155873381127215,11.246930644367383&amp;travelmode=car" TargetMode="External"/><Relationship Id="rId2548" Type="http://schemas.openxmlformats.org/officeDocument/2006/relationships/hyperlink" Target="https://www.google.com/maps/dir/?api=1&amp;origin=Gymnasium+Kirchheim,+Heimstettner+Str.+3,+85551+Kirchheim+bei+M&#252;nchen&amp;destination=48.06837743684902,12.193557456977898&amp;travelmode=car" TargetMode="External"/><Relationship Id="rId2755" Type="http://schemas.openxmlformats.org/officeDocument/2006/relationships/hyperlink" Target="https://www.google.com/maps/dir/?api=1&amp;origin=Gymnasium+Kirchheim,+Heimstettner+Str.+3,+85551+Kirchheim+bei+M&#252;nchen&amp;destination=48.04923524259037,11.535550212322528&amp;travelmode=car" TargetMode="External"/><Relationship Id="rId2962" Type="http://schemas.openxmlformats.org/officeDocument/2006/relationships/hyperlink" Target="https://www.google.com/maps/dir/?api=1&amp;origin=Gymnasium+Kirchheim,+Heimstettner+Str.+3,+85551+Kirchheim+bei+M&#252;nchen&amp;destination=48.03255462655715,11.893425553951282&amp;travelmode=car" TargetMode="External"/><Relationship Id="rId727" Type="http://schemas.openxmlformats.org/officeDocument/2006/relationships/hyperlink" Target="https://www.google.com/maps/dir/?api=1&amp;origin=Gymnasium+Kirchheim,+Heimstettner+Str.+3,+85551+Kirchheim+bei+M&#252;nchen&amp;destination=48.22387531692755,11.489371450790154&amp;travelmode=car" TargetMode="External"/><Relationship Id="rId934" Type="http://schemas.openxmlformats.org/officeDocument/2006/relationships/hyperlink" Target="https://www.google.com/maps/dir/?api=1&amp;origin=Gymnasium+Kirchheim,+Heimstettner+Str.+3,+85551+Kirchheim+bei+M&#252;nchen&amp;destination=48.20733796790805,11.847249383329679&amp;travelmode=car" TargetMode="External"/><Relationship Id="rId1357" Type="http://schemas.openxmlformats.org/officeDocument/2006/relationships/hyperlink" Target="https://www.google.com/maps/dir/?api=1&amp;origin=Gymnasium+Kirchheim,+Heimstettner+Str.+3,+85551+Kirchheim+bei+M&#252;nchen&amp;destination=48.170281252833526,11.650996073983201&amp;travelmode=car" TargetMode="External"/><Relationship Id="rId1564" Type="http://schemas.openxmlformats.org/officeDocument/2006/relationships/hyperlink" Target="https://www.google.com/maps/dir/?api=1&amp;origin=Gymnasium+Kirchheim,+Heimstettner+Str.+3,+85551+Kirchheim+bei+M&#252;nchen&amp;destination=48.153242478736004,12.00886380508597&amp;travelmode=car" TargetMode="External"/><Relationship Id="rId1771" Type="http://schemas.openxmlformats.org/officeDocument/2006/relationships/hyperlink" Target="https://www.google.com/maps/dir/?api=1&amp;origin=Gymnasium+Kirchheim,+Heimstettner+Str.+3,+85551+Kirchheim+bei+M&#252;nchen&amp;destination=48.13304661576739,11.350834171536942&amp;travelmode=car" TargetMode="External"/><Relationship Id="rId2408" Type="http://schemas.openxmlformats.org/officeDocument/2006/relationships/hyperlink" Target="https://www.google.com/maps/dir/?api=1&amp;origin=Gymnasium+Kirchheim,+Heimstettner+Str.+3,+85551+Kirchheim+bei+M&#252;nchen&amp;destination=48.07945601531084,11.581728752359444&amp;travelmode=car" TargetMode="External"/><Relationship Id="rId2615" Type="http://schemas.openxmlformats.org/officeDocument/2006/relationships/hyperlink" Target="https://www.google.com/maps/dir/?api=1&amp;origin=Gymnasium+Kirchheim,+Heimstettner+Str.+3,+85551+Kirchheim+bei+M&#252;nchen&amp;destination=48.062487709587536,11.962688898444616&amp;travelmode=car" TargetMode="External"/><Relationship Id="rId2822" Type="http://schemas.openxmlformats.org/officeDocument/2006/relationships/hyperlink" Target="https://www.google.com/maps/dir/?api=1&amp;origin=Gymnasium+Kirchheim,+Heimstettner+Str.+3,+85551+Kirchheim+bei+M&#252;nchen&amp;destination=48.04203535248949,11.293110020250275&amp;travelmode=car" TargetMode="External"/><Relationship Id="rId63" Type="http://schemas.openxmlformats.org/officeDocument/2006/relationships/hyperlink" Target="https://www.google.com/maps/dir/?api=1&amp;origin=Gymnasium+Kirchheim,+Heimstettner+Str.+3,+85551+Kirchheim+bei+M&#252;nchen&amp;destination=48.28254329044183,11.962688898444616&amp;travelmode=car" TargetMode="External"/><Relationship Id="rId1217" Type="http://schemas.openxmlformats.org/officeDocument/2006/relationships/hyperlink" Target="https://www.google.com/maps/dir/?api=1&amp;origin=Gymnasium+Kirchheim,+Heimstettner+Str.+3,+85551+Kirchheim+bei+M&#252;nchen&amp;destination=48.183190589147486,12.066581641260367&amp;travelmode=car" TargetMode="External"/><Relationship Id="rId1424" Type="http://schemas.openxmlformats.org/officeDocument/2006/relationships/hyperlink" Target="https://www.google.com/maps/dir/?api=1&amp;origin=Gymnasium+Kirchheim,+Heimstettner+Str.+3,+85551+Kirchheim+bei+M&#252;nchen&amp;destination=48.16334133668411,11.397013396964736&amp;travelmode=car" TargetMode="External"/><Relationship Id="rId1631" Type="http://schemas.openxmlformats.org/officeDocument/2006/relationships/hyperlink" Target="https://www.google.com/maps/dir/?api=1&amp;origin=Gymnasium+Kirchheim,+Heimstettner+Str.+3,+85551+Kirchheim+bei+M&#252;nchen&amp;destination=48.14698307241409,11.777984299500497&amp;travelmode=car" TargetMode="External"/><Relationship Id="rId3389" Type="http://schemas.openxmlformats.org/officeDocument/2006/relationships/hyperlink" Target="https://www.google.com/maps/dir/?api=1&amp;origin=Gymnasium+Kirchheim,+Heimstettner+Str.+3,+85551+Kirchheim+bei+M&#252;nchen&amp;destination=47.99538005185638,11.743351415580166&amp;travelmode=car" TargetMode="External"/><Relationship Id="rId3596" Type="http://schemas.openxmlformats.org/officeDocument/2006/relationships/hyperlink" Target="https://www.google.com/maps/dir/?api=1&amp;origin=Gymnasium+Kirchheim,+Heimstettner+Str.+3,+85551+Kirchheim+bei+M&#252;nchen&amp;destination=47.97805476267085,12.101211892775435&amp;travelmode=car" TargetMode="External"/><Relationship Id="rId2198" Type="http://schemas.openxmlformats.org/officeDocument/2006/relationships/hyperlink" Target="https://www.google.com/maps/dir/?api=1&amp;origin=Gymnasium+Kirchheim,+Heimstettner+Str.+3,+85551+Kirchheim+bei+M&#252;nchen&amp;destination=48.09853467754201,12.21664342242148&amp;travelmode=car" TargetMode="External"/><Relationship Id="rId3249" Type="http://schemas.openxmlformats.org/officeDocument/2006/relationships/hyperlink" Target="https://www.google.com/maps/dir/?api=1&amp;origin=Gymnasium+Kirchheim,+Heimstettner+Str.+3,+85551+Kirchheim+bei+M&#252;nchen&amp;destination=48.0079566654578,12.158928183084447&amp;travelmode=car" TargetMode="External"/><Relationship Id="rId3456" Type="http://schemas.openxmlformats.org/officeDocument/2006/relationships/hyperlink" Target="https://www.google.com/maps/dir/?api=1&amp;origin=Gymnasium+Kirchheim,+Heimstettner+Str.+3,+85551+Kirchheim+bei+M&#252;nchen&amp;destination=47.98861691368078,11.500916160110199&amp;travelmode=car" TargetMode="External"/><Relationship Id="rId377" Type="http://schemas.openxmlformats.org/officeDocument/2006/relationships/hyperlink" Target="https://www.google.com/maps/dir/?api=1&amp;origin=Gymnasium+Kirchheim,+Heimstettner+Str.+3,+85551+Kirchheim+bei+M&#252;nchen&amp;destination=48.25417350452928,11.512460857153851&amp;travelmode=car" TargetMode="External"/><Relationship Id="rId584" Type="http://schemas.openxmlformats.org/officeDocument/2006/relationships/hyperlink" Target="https://www.google.com/maps/dir/?api=1&amp;origin=Gymnasium+Kirchheim,+Heimstettner+Str.+3,+85551+Kirchheim+bei+M&#252;nchen&amp;destination=48.23756452175694,11.870337526618448&amp;travelmode=car" TargetMode="External"/><Relationship Id="rId2058" Type="http://schemas.openxmlformats.org/officeDocument/2006/relationships/hyperlink" Target="https://www.google.com/maps/dir/?api=1&amp;origin=Gymnasium+Kirchheim,+Heimstettner+Str.+3,+85551+Kirchheim+bei+M&#252;nchen&amp;destination=48.10969758644731,11.616362491920484&amp;travelmode=car" TargetMode="External"/><Relationship Id="rId2265" Type="http://schemas.openxmlformats.org/officeDocument/2006/relationships/hyperlink" Target="https://www.google.com/maps/dir/?api=1&amp;origin=Gymnasium+Kirchheim,+Heimstettner+Str.+3,+85551+Kirchheim+bei+M&#252;nchen&amp;destination=48.09276625823024,11.97423267615872&amp;travelmode=car" TargetMode="External"/><Relationship Id="rId3109" Type="http://schemas.openxmlformats.org/officeDocument/2006/relationships/hyperlink" Target="https://www.google.com/maps/dir/?api=1&amp;origin=Gymnasium+Kirchheim,+Heimstettner+Str.+3,+85551+Kirchheim+bei+M&#252;nchen&amp;destination=48.01878569091848,11.570184139943638&amp;travelmode=car" TargetMode="External"/><Relationship Id="rId237" Type="http://schemas.openxmlformats.org/officeDocument/2006/relationships/hyperlink" Target="https://www.google.com/maps/dir/?api=1&amp;origin=Gymnasium+Kirchheim,+Heimstettner+Str.+3,+85551+Kirchheim+bei+M&#252;nchen&amp;destination=48.26758194769084,11.928057368395926&amp;travelmode=car" TargetMode="External"/><Relationship Id="rId791" Type="http://schemas.openxmlformats.org/officeDocument/2006/relationships/hyperlink" Target="https://www.google.com/maps/dir/?api=1&amp;origin=Gymnasium+Kirchheim,+Heimstettner+Str.+3,+85551+Kirchheim+bei+M&#252;nchen&amp;destination=48.21984529392251,12.228186338432307&amp;travelmode=car" TargetMode="External"/><Relationship Id="rId1074" Type="http://schemas.openxmlformats.org/officeDocument/2006/relationships/hyperlink" Target="https://www.google.com/maps/dir/?api=1&amp;origin=Gymnasium+Kirchheim,+Heimstettner+Str.+3,+85551+Kirchheim+bei+M&#252;nchen&amp;destination=48.19363836859836,11.431647738327094&amp;travelmode=car" TargetMode="External"/><Relationship Id="rId2472" Type="http://schemas.openxmlformats.org/officeDocument/2006/relationships/hyperlink" Target="https://www.google.com/maps/dir/?api=1&amp;origin=Gymnasium+Kirchheim,+Heimstettner+Str.+3,+85551+Kirchheim+bei+M&#252;nchen&amp;destination=48.07238091362881,11.304654858343824&amp;travelmode=car" TargetMode="External"/><Relationship Id="rId3316" Type="http://schemas.openxmlformats.org/officeDocument/2006/relationships/hyperlink" Target="https://www.google.com/maps/dir/?api=1&amp;origin=Gymnasium+Kirchheim,+Heimstettner+Str.+3,+85551+Kirchheim+bei+M&#252;nchen&amp;destination=48.002066950151075,11.916513461151142&amp;travelmode=car" TargetMode="External"/><Relationship Id="rId3523" Type="http://schemas.openxmlformats.org/officeDocument/2006/relationships/hyperlink" Target="https://www.google.com/maps/dir/?api=1&amp;origin=Gymnasium+Kirchheim,+Heimstettner+Str.+3,+85551+Kirchheim+bei+M&#252;nchen&amp;destination=47.98134423021441,11.258475490819581&amp;travelmode=car" TargetMode="External"/><Relationship Id="rId444" Type="http://schemas.openxmlformats.org/officeDocument/2006/relationships/hyperlink" Target="https://www.google.com/maps/dir/?api=1&amp;origin=Gymnasium+Kirchheim,+Heimstettner+Str.+3,+85551+Kirchheim+bei+M&#252;nchen&amp;destination=48.24692508554794,11.27002033596574&amp;travelmode=car" TargetMode="External"/><Relationship Id="rId651" Type="http://schemas.openxmlformats.org/officeDocument/2006/relationships/hyperlink" Target="https://www.google.com/maps/dir/?api=1&amp;origin=Gymnasium+Kirchheim,+Heimstettner+Str.+3,+85551+Kirchheim+bei+M&#252;nchen&amp;destination=48.23102783653513,11.639451564999296&amp;travelmode=car" TargetMode="External"/><Relationship Id="rId1281" Type="http://schemas.openxmlformats.org/officeDocument/2006/relationships/hyperlink" Target="https://www.google.com/maps/dir/?api=1&amp;origin=Gymnasium+Kirchheim,+Heimstettner+Str.+3,+85551+Kirchheim+bei+M&#252;nchen&amp;destination=48.17728010595191,11.789528545213775&amp;travelmode=car" TargetMode="External"/><Relationship Id="rId2125" Type="http://schemas.openxmlformats.org/officeDocument/2006/relationships/hyperlink" Target="https://www.google.com/maps/dir/?api=1&amp;origin=Gymnasium+Kirchheim,+Heimstettner+Str.+3,+85551+Kirchheim+bei+M&#252;nchen&amp;destination=48.102667546268854,11.373923797311125&amp;travelmode=car" TargetMode="External"/><Relationship Id="rId2332" Type="http://schemas.openxmlformats.org/officeDocument/2006/relationships/hyperlink" Target="https://www.google.com/maps/dir/?api=1&amp;origin=Gymnasium+Kirchheim,+Heimstettner+Str.+3,+85551+Kirchheim+bei+M&#252;nchen&amp;destination=48.0864883725322,11.731807073753979&amp;travelmode=car" TargetMode="External"/><Relationship Id="rId304" Type="http://schemas.openxmlformats.org/officeDocument/2006/relationships/hyperlink" Target="https://www.google.com/maps/dir/?api=1&amp;origin=Gymnasium+Kirchheim,+Heimstettner+Str.+3,+85551+Kirchheim+bei+M&#252;nchen&amp;destination=48.26120701456321,11.685629484445332&amp;travelmode=car" TargetMode="External"/><Relationship Id="rId511" Type="http://schemas.openxmlformats.org/officeDocument/2006/relationships/hyperlink" Target="https://www.google.com/maps/dir/?api=1&amp;origin=Gymnasium+Kirchheim,+Heimstettner+Str.+3,+85551+Kirchheim+bei+M&#252;nchen&amp;destination=48.244060796024115,12.043494616728212&amp;travelmode=car" TargetMode="External"/><Relationship Id="rId1141" Type="http://schemas.openxmlformats.org/officeDocument/2006/relationships/hyperlink" Target="https://www.google.com/maps/dir/?api=1&amp;origin=Gymnasium+Kirchheim,+Heimstettner+Str.+3,+85551+Kirchheim+bei+M&#252;nchen&amp;destination=48.18959215927481,12.21664342242148&amp;travelmode=car" TargetMode="External"/><Relationship Id="rId1001" Type="http://schemas.openxmlformats.org/officeDocument/2006/relationships/hyperlink" Target="https://www.google.com/maps/dir/?api=1&amp;origin=Gymnasium+Kirchheim,+Heimstettner+Str.+3,+85551+Kirchheim+bei+M&#252;nchen&amp;destination=48.20079319784948,11.604817928870196&amp;travelmode=car" TargetMode="External"/><Relationship Id="rId1958" Type="http://schemas.openxmlformats.org/officeDocument/2006/relationships/hyperlink" Target="https://www.google.com/maps/dir/?api=1&amp;origin=Gymnasium+Kirchheim,+Heimstettner+Str.+3,+85551+Kirchheim+bei+M&#252;nchen&amp;destination=48.11766700823889,11.477826729716085&amp;travelmode=car" TargetMode="External"/><Relationship Id="rId3173" Type="http://schemas.openxmlformats.org/officeDocument/2006/relationships/hyperlink" Target="https://www.google.com/maps/dir/?api=1&amp;origin=Gymnasium+Kirchheim,+Heimstettner+Str.+3,+85551+Kirchheim+bei+M&#252;nchen&amp;destination=48.011688635889136,11.281565179283442&amp;travelmode=car" TargetMode="External"/><Relationship Id="rId3380" Type="http://schemas.openxmlformats.org/officeDocument/2006/relationships/hyperlink" Target="https://www.google.com/maps/dir/?api=1&amp;origin=Gymnasium+Kirchheim,+Heimstettner+Str.+3,+85551+Kirchheim+bei+M&#252;nchen&amp;destination=47.995836449205086,11.627907037470955&amp;travelmode=car" TargetMode="External"/><Relationship Id="rId1818" Type="http://schemas.openxmlformats.org/officeDocument/2006/relationships/hyperlink" Target="https://www.google.com/maps/dir/?api=1&amp;origin=Gymnasium+Kirchheim,+Heimstettner+Str.+3,+85551+Kirchheim+bei+M&#252;nchen&amp;destination=48.13120023176769,11.893425553951282&amp;travelmode=car" TargetMode="External"/><Relationship Id="rId3033" Type="http://schemas.openxmlformats.org/officeDocument/2006/relationships/hyperlink" Target="https://www.google.com/maps/dir/?api=1&amp;origin=Gymnasium+Kirchheim,+Heimstettner+Str.+3,+85551+Kirchheim+bei+M&#252;nchen&amp;destination=48.02592896931036,11.69717391402856&amp;travelmode=car" TargetMode="External"/><Relationship Id="rId3240" Type="http://schemas.openxmlformats.org/officeDocument/2006/relationships/hyperlink" Target="https://www.google.com/maps/dir/?api=1&amp;origin=Gymnasium+Kirchheim,+Heimstettner+Str.+3,+85551+Kirchheim+bei+M&#252;nchen&amp;destination=48.00882896821437,12.043494616728212&amp;travelmode=car" TargetMode="External"/><Relationship Id="rId161" Type="http://schemas.openxmlformats.org/officeDocument/2006/relationships/hyperlink" Target="https://www.google.com/maps/dir/?api=1&amp;origin=Gymnasium+Kirchheim,+Heimstettner+Str.+3,+85551+Kirchheim+bei+M&#252;nchen&amp;destination=48.274248070880304,12.066581641260367&amp;travelmode=car" TargetMode="External"/><Relationship Id="rId2799" Type="http://schemas.openxmlformats.org/officeDocument/2006/relationships/hyperlink" Target="https://www.google.com/maps/dir/?api=1&amp;origin=Gymnasium+Kirchheim,+Heimstettner+Str.+3,+85551+Kirchheim+bei+M&#252;nchen&amp;destination=48.04676958560304,12.043494616728212&amp;travelmode=car" TargetMode="External"/><Relationship Id="rId3100" Type="http://schemas.openxmlformats.org/officeDocument/2006/relationships/hyperlink" Target="https://www.google.com/maps/dir/?api=1&amp;origin=Gymnasium+Kirchheim,+Heimstettner+Str.+3,+85551+Kirchheim+bei+M&#252;nchen&amp;destination=48.019068776706696,11.454737254395377&amp;travelmode=car" TargetMode="External"/><Relationship Id="rId978" Type="http://schemas.openxmlformats.org/officeDocument/2006/relationships/hyperlink" Target="https://www.google.com/maps/dir/?api=1&amp;origin=Gymnasium+Kirchheim,+Heimstettner+Str.+3,+85551+Kirchheim+bei+M&#252;nchen&amp;destination=48.20135128167578,11.339289350160644&amp;travelmode=car" TargetMode="External"/><Relationship Id="rId2659" Type="http://schemas.openxmlformats.org/officeDocument/2006/relationships/hyperlink" Target="https://www.google.com/maps/dir/?api=1&amp;origin=Gymnasium+Kirchheim,+Heimstettner+Str.+3,+85551+Kirchheim+bei+M&#252;nchen&amp;destination=48.057031347770035,11.44319250119349&amp;travelmode=car" TargetMode="External"/><Relationship Id="rId2866" Type="http://schemas.openxmlformats.org/officeDocument/2006/relationships/hyperlink" Target="https://www.google.com/maps/dir/?api=1&amp;origin=Gymnasium+Kirchheim,+Heimstettner+Str.+3,+85551+Kirchheim+bei+M&#252;nchen&amp;destination=48.04063726763374,11.801072765593279&amp;travelmode=car" TargetMode="External"/><Relationship Id="rId838" Type="http://schemas.openxmlformats.org/officeDocument/2006/relationships/hyperlink" Target="https://www.google.com/maps/dir/?api=1&amp;origin=Gymnasium+Kirchheim,+Heimstettner+Str.+3,+85551+Kirchheim+bei+M&#252;nchen&amp;destination=48.215383638403324,11.754895734161472&amp;travelmode=car" TargetMode="External"/><Relationship Id="rId1468" Type="http://schemas.openxmlformats.org/officeDocument/2006/relationships/hyperlink" Target="https://www.google.com/maps/dir/?api=1&amp;origin=Gymnasium+Kirchheim,+Heimstettner+Str.+3,+85551+Kirchheim+bei+M&#252;nchen&amp;destination=48.16141754318349,11.916513461151142&amp;travelmode=car" TargetMode="External"/><Relationship Id="rId1675" Type="http://schemas.openxmlformats.org/officeDocument/2006/relationships/hyperlink" Target="https://www.google.com/maps/dir/?api=1&amp;origin=Gymnasium+Kirchheim,+Heimstettner+Str.+3,+85551+Kirchheim+bei+M&#252;nchen&amp;destination=48.14069135685966,11.27002033596574&amp;travelmode=car" TargetMode="External"/><Relationship Id="rId1882" Type="http://schemas.openxmlformats.org/officeDocument/2006/relationships/hyperlink" Target="https://www.google.com/maps/dir/?api=1&amp;origin=Gymnasium+Kirchheim,+Heimstettner+Str.+3,+85551+Kirchheim+bei+M&#252;nchen&amp;destination=48.12487383340278,11.616362491920484&amp;travelmode=car" TargetMode="External"/><Relationship Id="rId2519" Type="http://schemas.openxmlformats.org/officeDocument/2006/relationships/hyperlink" Target="https://www.google.com/maps/dir/?api=1&amp;origin=Gymnasium+Kirchheim,+Heimstettner+Str.+3,+85551+Kirchheim+bei+M&#252;nchen&amp;destination=48.07068935293543,11.858793469207484&amp;travelmode=car" TargetMode="External"/><Relationship Id="rId2726" Type="http://schemas.openxmlformats.org/officeDocument/2006/relationships/hyperlink" Target="https://www.google.com/maps/dir/?api=1&amp;origin=Gymnasium+Kirchheim,+Heimstettner+Str.+3,+85551+Kirchheim+bei+M&#252;nchen&amp;destination=48.053005936675596,12.21664342242148&amp;travelmode=car" TargetMode="External"/><Relationship Id="rId1328" Type="http://schemas.openxmlformats.org/officeDocument/2006/relationships/hyperlink" Target="https://www.google.com/maps/dir/?api=1&amp;origin=Gymnasium+Kirchheim,+Heimstettner+Str.+3,+85551+Kirchheim+bei+M&#252;nchen&amp;destination=48.171026518839355,11.304654858343824&amp;travelmode=car" TargetMode="External"/><Relationship Id="rId1535" Type="http://schemas.openxmlformats.org/officeDocument/2006/relationships/hyperlink" Target="https://www.google.com/maps/dir/?api=1&amp;origin=Gymnasium+Kirchheim,+Heimstettner+Str.+3,+85551+Kirchheim+bei+M&#252;nchen&amp;destination=48.155018347932916,11.67408503422851&amp;travelmode=car" TargetMode="External"/><Relationship Id="rId2933" Type="http://schemas.openxmlformats.org/officeDocument/2006/relationships/hyperlink" Target="https://www.google.com/maps/dir/?api=1&amp;origin=Gymnasium+Kirchheim,+Heimstettner+Str.+3,+85551+Kirchheim+bei+M&#252;nchen&amp;destination=48.03396193787394,11.570184139943638&amp;travelmode=car" TargetMode="External"/><Relationship Id="rId905" Type="http://schemas.openxmlformats.org/officeDocument/2006/relationships/hyperlink" Target="https://www.google.com/maps/dir/?api=1&amp;origin=Gymnasium+Kirchheim,+Heimstettner+Str.+3,+85551+Kirchheim+bei+M&#252;nchen&amp;destination=48.208644763662875,11.512460857153851&amp;travelmode=car" TargetMode="External"/><Relationship Id="rId1742" Type="http://schemas.openxmlformats.org/officeDocument/2006/relationships/hyperlink" Target="https://www.google.com/maps/dir/?api=1&amp;origin=Gymnasium+Kirchheim,+Heimstettner+Str.+3,+85551+Kirchheim+bei+M&#252;nchen&amp;destination=48.13798766552652,12.02040744491661&amp;travelmode=car" TargetMode="External"/><Relationship Id="rId34" Type="http://schemas.openxmlformats.org/officeDocument/2006/relationships/hyperlink" Target="https://www.google.com/maps/dir/?api=1&amp;origin=Gymnasium+Kirchheim,+Heimstettner+Str.+3,+85551+Kirchheim+bei+M&#252;nchen&amp;destination=48.28422442643519,11.616362491920484&amp;travelmode=car" TargetMode="External"/><Relationship Id="rId1602" Type="http://schemas.openxmlformats.org/officeDocument/2006/relationships/hyperlink" Target="https://www.google.com/maps/dir/?api=1&amp;origin=Gymnasium+Kirchheim,+Heimstettner+Str.+3,+85551+Kirchheim+bei+M&#252;nchen&amp;destination=48.14810962773196,11.431647738327094&amp;travelmode=car" TargetMode="External"/><Relationship Id="rId3567" Type="http://schemas.openxmlformats.org/officeDocument/2006/relationships/hyperlink" Target="https://www.google.com/maps/dir/?api=1&amp;origin=Gymnasium+Kirchheim,+Heimstettner+Str.+3,+85551+Kirchheim+bei+M&#252;nchen&amp;destination=47.9800986609264,11.766440028975659&amp;travelmode=car" TargetMode="External"/><Relationship Id="rId488" Type="http://schemas.openxmlformats.org/officeDocument/2006/relationships/hyperlink" Target="https://www.google.com/maps/dir/?api=1&amp;origin=Gymnasium+Kirchheim,+Heimstettner+Str.+3,+85551+Kirchheim+bei+M&#252;nchen&amp;destination=48.24568298264708,11.766440028975659&amp;travelmode=car" TargetMode="External"/><Relationship Id="rId695" Type="http://schemas.openxmlformats.org/officeDocument/2006/relationships/hyperlink" Target="https://www.google.com/maps/dir/?api=1&amp;origin=Gymnasium+Kirchheim,+Heimstettner+Str.+3,+85551+Kirchheim+bei+M&#252;nchen&amp;destination=48.228195948240156,12.135841789424584&amp;travelmode=car" TargetMode="External"/><Relationship Id="rId2169" Type="http://schemas.openxmlformats.org/officeDocument/2006/relationships/hyperlink" Target="https://www.google.com/maps/dir/?api=1&amp;origin=Gymnasium+Kirchheim,+Heimstettner+Str.+3,+85551+Kirchheim+bei+M&#252;nchen&amp;destination=48.10091359615935,11.881881555040426&amp;travelmode=car" TargetMode="External"/><Relationship Id="rId2376" Type="http://schemas.openxmlformats.org/officeDocument/2006/relationships/hyperlink" Target="https://www.google.com/maps/dir/?api=1&amp;origin=Gymnasium+Kirchheim,+Heimstettner+Str.+3,+85551+Kirchheim+bei+M&#252;nchen&amp;destination=48.08315855696855,12.239729209273484&amp;travelmode=car" TargetMode="External"/><Relationship Id="rId2583" Type="http://schemas.openxmlformats.org/officeDocument/2006/relationships/hyperlink" Target="https://www.google.com/maps/dir/?api=1&amp;origin=Gymnasium+Kirchheim,+Heimstettner+Str.+3,+85551+Kirchheim+bei+M&#252;nchen&amp;destination=48.06427976835537,11.581728752359444&amp;travelmode=car" TargetMode="External"/><Relationship Id="rId2790" Type="http://schemas.openxmlformats.org/officeDocument/2006/relationships/hyperlink" Target="https://www.google.com/maps/dir/?api=1&amp;origin=Gymnasium+Kirchheim,+Heimstettner+Str.+3,+85551+Kirchheim+bei+M&#252;nchen&amp;destination=48.047455887374646,11.939601244041153&amp;travelmode=car" TargetMode="External"/><Relationship Id="rId3427" Type="http://schemas.openxmlformats.org/officeDocument/2006/relationships/hyperlink" Target="https://www.google.com/maps/dir/?api=1&amp;origin=Gymnasium+Kirchheim,+Heimstettner+Str.+3,+85551+Kirchheim+bei+M&#252;nchen&amp;destination=47.99259209600963,12.182014408588692&amp;travelmode=car" TargetMode="External"/><Relationship Id="rId348" Type="http://schemas.openxmlformats.org/officeDocument/2006/relationships/hyperlink" Target="https://www.google.com/maps/dir/?api=1&amp;origin=Gymnasium+Kirchheim,+Heimstettner+Str.+3,+85551+Kirchheim+bei+M&#252;nchen&amp;destination=48.25817641773031,12.182014408588692&amp;travelmode=car" TargetMode="External"/><Relationship Id="rId555" Type="http://schemas.openxmlformats.org/officeDocument/2006/relationships/hyperlink" Target="https://www.google.com/maps/dir/?api=1&amp;origin=Gymnasium+Kirchheim,+Heimstettner+Str.+3,+85551+Kirchheim+bei+M&#252;nchen&amp;destination=48.238907132370805,11.547094869402834&amp;travelmode=car" TargetMode="External"/><Relationship Id="rId762" Type="http://schemas.openxmlformats.org/officeDocument/2006/relationships/hyperlink" Target="https://www.google.com/maps/dir/?api=1&amp;origin=Gymnasium+Kirchheim,+Heimstettner+Str.+3,+85551+Kirchheim+bei+M&#252;nchen&amp;destination=48.2222577135005,11.893425553951282&amp;travelmode=car" TargetMode="External"/><Relationship Id="rId1185" Type="http://schemas.openxmlformats.org/officeDocument/2006/relationships/hyperlink" Target="https://www.google.com/maps/dir/?api=1&amp;origin=Gymnasium+Kirchheim,+Heimstettner+Str.+3,+85551+Kirchheim+bei+M&#252;nchen&amp;destination=48.18523218951847,11.708718322455919&amp;travelmode=car" TargetMode="External"/><Relationship Id="rId1392" Type="http://schemas.openxmlformats.org/officeDocument/2006/relationships/hyperlink" Target="https://www.google.com/maps/dir/?api=1&amp;origin=Gymnasium+Kirchheim,+Heimstettner+Str.+3,+85551+Kirchheim+bei+M&#252;nchen&amp;destination=48.168179561246774,12.043494616728212&amp;travelmode=car" TargetMode="External"/><Relationship Id="rId2029" Type="http://schemas.openxmlformats.org/officeDocument/2006/relationships/hyperlink" Target="https://www.google.com/maps/dir/?api=1&amp;origin=Gymnasium+Kirchheim,+Heimstettner+Str.+3,+85551+Kirchheim+bei+M&#252;nchen&amp;destination=48.11033424109968,11.281565179283442&amp;travelmode=car" TargetMode="External"/><Relationship Id="rId2236" Type="http://schemas.openxmlformats.org/officeDocument/2006/relationships/hyperlink" Target="https://www.google.com/maps/dir/?api=1&amp;origin=Gymnasium+Kirchheim,+Heimstettner+Str.+3,+85551+Kirchheim+bei+M&#252;nchen&amp;destination=48.09444161393593,11.639451564999296&amp;travelmode=car" TargetMode="External"/><Relationship Id="rId2443" Type="http://schemas.openxmlformats.org/officeDocument/2006/relationships/hyperlink" Target="https://www.google.com/maps/dir/?api=1&amp;origin=Gymnasium+Kirchheim,+Heimstettner+Str.+3,+85551+Kirchheim+bei+M&#252;nchen&amp;destination=48.077438654976106,11.997320130001427&amp;travelmode=car" TargetMode="External"/><Relationship Id="rId2650" Type="http://schemas.openxmlformats.org/officeDocument/2006/relationships/hyperlink" Target="https://www.google.com/maps/dir/?api=1&amp;origin=Gymnasium+Kirchheim,+Heimstettner+Str.+3,+85551+Kirchheim+bei+M&#252;nchen&amp;destination=48.057176935598825,11.339289350160644&amp;travelmode=car" TargetMode="External"/><Relationship Id="rId208" Type="http://schemas.openxmlformats.org/officeDocument/2006/relationships/hyperlink" Target="https://www.google.com/maps/dir/?api=1&amp;origin=Gymnasium+Kirchheim,+Heimstettner+Str.+3,+85551+Kirchheim+bei+M&#252;nchen&amp;destination=48.26912328340829,11.593273348842407&amp;travelmode=car" TargetMode="External"/><Relationship Id="rId415" Type="http://schemas.openxmlformats.org/officeDocument/2006/relationships/hyperlink" Target="https://www.google.com/maps/dir/?api=1&amp;origin=Gymnasium+Kirchheim,+Heimstettner+Str.+3,+85551+Kirchheim+bei+M&#252;nchen&amp;destination=48.25226358653657,11.95114508756474&amp;travelmode=car" TargetMode="External"/><Relationship Id="rId622" Type="http://schemas.openxmlformats.org/officeDocument/2006/relationships/hyperlink" Target="https://www.google.com/maps/dir/?api=1&amp;origin=Gymnasium+Kirchheim,+Heimstettner+Str.+3,+85551+Kirchheim+bei+M&#252;nchen&amp;destination=48.23173843943283,11.293110020250275&amp;travelmode=car" TargetMode="External"/><Relationship Id="rId1045" Type="http://schemas.openxmlformats.org/officeDocument/2006/relationships/hyperlink" Target="https://www.google.com/maps/dir/?api=1&amp;origin=Gymnasium+Kirchheim,+Heimstettner+Str.+3,+85551+Kirchheim+bei+M&#252;nchen&amp;destination=48.198022535629605,12.112755231783899&amp;travelmode=car" TargetMode="External"/><Relationship Id="rId1252" Type="http://schemas.openxmlformats.org/officeDocument/2006/relationships/hyperlink" Target="https://www.google.com/maps/dir/?api=1&amp;origin=Gymnasium+Kirchheim,+Heimstettner+Str.+3,+85551+Kirchheim+bei+M&#252;nchen&amp;destination=48.1784193697391,11.454737254395377&amp;travelmode=car" TargetMode="External"/><Relationship Id="rId2303" Type="http://schemas.openxmlformats.org/officeDocument/2006/relationships/hyperlink" Target="https://www.google.com/maps/dir/?api=1&amp;origin=Gymnasium+Kirchheim,+Heimstettner+Str.+3,+85551+Kirchheim+bei+M&#252;nchen&amp;destination=48.08746010190677,11.397013396964736&amp;travelmode=car" TargetMode="External"/><Relationship Id="rId2510" Type="http://schemas.openxmlformats.org/officeDocument/2006/relationships/hyperlink" Target="https://www.google.com/maps/dir/?api=1&amp;origin=Gymnasium+Kirchheim,+Heimstettner+Str.+3,+85551+Kirchheim+bei+M&#252;nchen&amp;destination=48.071261286633714,11.743351415580166&amp;travelmode=car" TargetMode="External"/><Relationship Id="rId1112" Type="http://schemas.openxmlformats.org/officeDocument/2006/relationships/hyperlink" Target="https://www.google.com/maps/dir/?api=1&amp;origin=Gymnasium+Kirchheim,+Heimstettner+Str.+3,+85551+Kirchheim+bei+M&#252;nchen&amp;destination=48.19203578089055,11.870337526618448&amp;travelmode=car" TargetMode="External"/><Relationship Id="rId3077" Type="http://schemas.openxmlformats.org/officeDocument/2006/relationships/hyperlink" Target="https://www.google.com/maps/dir/?api=1&amp;origin=Gymnasium+Kirchheim,+Heimstettner+Str.+3,+85551+Kirchheim+bei+M&#252;nchen&amp;destination=48.02275164692789,12.205100461762754&amp;travelmode=car" TargetMode="External"/><Relationship Id="rId3284" Type="http://schemas.openxmlformats.org/officeDocument/2006/relationships/hyperlink" Target="https://www.google.com/maps/dir/?api=1&amp;origin=Gymnasium+Kirchheim,+Heimstettner+Str.+3,+85551+Kirchheim+bei+M&#252;nchen&amp;destination=48.003675304561064,11.547094869402834&amp;travelmode=car" TargetMode="External"/><Relationship Id="rId1929" Type="http://schemas.openxmlformats.org/officeDocument/2006/relationships/hyperlink" Target="https://www.google.com/maps/dir/?api=1&amp;origin=Gymnasium+Kirchheim,+Heimstettner+Str.+3,+85551+Kirchheim+bei+M&#252;nchen&amp;destination=48.121778517623795,12.158928183084447&amp;travelmode=car" TargetMode="External"/><Relationship Id="rId2093" Type="http://schemas.openxmlformats.org/officeDocument/2006/relationships/hyperlink" Target="https://www.google.com/maps/dir/?api=1&amp;origin=Gymnasium+Kirchheim,+Heimstettner+Str.+3,+85551+Kirchheim+bei+M&#252;nchen&amp;destination=48.1076351716156,12.02040744491661&amp;travelmode=car" TargetMode="External"/><Relationship Id="rId3491" Type="http://schemas.openxmlformats.org/officeDocument/2006/relationships/hyperlink" Target="https://www.google.com/maps/dir/?api=1&amp;origin=Gymnasium+Kirchheim,+Heimstettner+Str.+3,+85551+Kirchheim+bei+M&#252;nchen&amp;destination=47.98689070319561,11.916513461151142&amp;travelmode=car" TargetMode="External"/><Relationship Id="rId3144" Type="http://schemas.openxmlformats.org/officeDocument/2006/relationships/hyperlink" Target="https://www.google.com/maps/dir/?api=1&amp;origin=Gymnasium+Kirchheim,+Heimstettner+Str.+3,+85551+Kirchheim+bei+M&#252;nchen&amp;destination=48.01695896872114,11.962688898444616&amp;travelmode=car" TargetMode="External"/><Relationship Id="rId3351" Type="http://schemas.openxmlformats.org/officeDocument/2006/relationships/hyperlink" Target="https://www.google.com/maps/dir/?api=1&amp;origin=Gymnasium+Kirchheim,+Heimstettner+Str.+3,+85551+Kirchheim+bei+M&#252;nchen&amp;destination=47.99649159061945,11.316199693041677&amp;travelmode=car" TargetMode="External"/><Relationship Id="rId272" Type="http://schemas.openxmlformats.org/officeDocument/2006/relationships/hyperlink" Target="https://www.google.com/maps/dir/?api=1&amp;origin=Gymnasium+Kirchheim,+Heimstettner+Str.+3,+85551+Kirchheim+bei+M&#252;nchen&amp;destination=48.26207591234012,11.316199693041677&amp;travelmode=car" TargetMode="External"/><Relationship Id="rId2160" Type="http://schemas.openxmlformats.org/officeDocument/2006/relationships/hyperlink" Target="https://www.google.com/maps/dir/?api=1&amp;origin=Gymnasium+Kirchheim,+Heimstettner+Str.+3,+85551+Kirchheim+bei+M&#252;nchen&amp;destination=48.101454331547686,11.777984299500497&amp;travelmode=car" TargetMode="External"/><Relationship Id="rId3004" Type="http://schemas.openxmlformats.org/officeDocument/2006/relationships/hyperlink" Target="https://www.google.com/maps/dir/?api=1&amp;origin=Gymnasium+Kirchheim,+Heimstettner+Str.+3,+85551+Kirchheim+bei+M&#252;nchen&amp;destination=48.026812887079124,11.350834171536942&amp;travelmode=car" TargetMode="External"/><Relationship Id="rId3211" Type="http://schemas.openxmlformats.org/officeDocument/2006/relationships/hyperlink" Target="https://www.google.com/maps/dir/?api=1&amp;origin=Gymnasium+Kirchheim,+Heimstettner+Str.+3,+85551+Kirchheim+bei+M&#252;nchen&amp;destination=48.01065682132921,11.720262709205143&amp;travelmode=car" TargetMode="External"/><Relationship Id="rId132" Type="http://schemas.openxmlformats.org/officeDocument/2006/relationships/hyperlink" Target="https://www.google.com/maps/dir/?api=1&amp;origin=Gymnasium+Kirchheim,+Heimstettner+Str.+3,+85551+Kirchheim+bei+M&#252;nchen&amp;destination=48.27619145947554,11.731807073753979&amp;travelmode=car" TargetMode="External"/><Relationship Id="rId2020" Type="http://schemas.openxmlformats.org/officeDocument/2006/relationships/hyperlink" Target="https://www.google.com/maps/dir/?api=1&amp;origin=Gymnasium+Kirchheim,+Heimstettner+Str.+3,+85551+Kirchheim+bei+M&#252;nchen&amp;destination=48.11390617771542,12.193557456977898&amp;travelmode=car" TargetMode="External"/><Relationship Id="rId1579" Type="http://schemas.openxmlformats.org/officeDocument/2006/relationships/hyperlink" Target="https://www.google.com/maps/dir/?api=1&amp;origin=Gymnasium+Kirchheim,+Heimstettner+Str.+3,+85551+Kirchheim+bei+M&#252;nchen&amp;destination=48.15194268904204,12.182014408588692&amp;travelmode=car" TargetMode="External"/><Relationship Id="rId2977" Type="http://schemas.openxmlformats.org/officeDocument/2006/relationships/hyperlink" Target="https://www.google.com/maps/dir/?api=1&amp;origin=Gymnasium+Kirchheim,+Heimstettner+Str.+3,+85551+Kirchheim+bei+M&#252;nchen&amp;destination=48.03142811959283,12.066581641260367&amp;travelmode=car" TargetMode="External"/><Relationship Id="rId949" Type="http://schemas.openxmlformats.org/officeDocument/2006/relationships/hyperlink" Target="https://www.google.com/maps/dir/?api=1&amp;origin=Gymnasium+Kirchheim,+Heimstettner+Str.+3,+85551+Kirchheim+bei+M&#252;nchen&amp;destination=48.206280776826134,12.02040744491661&amp;travelmode=car" TargetMode="External"/><Relationship Id="rId1786" Type="http://schemas.openxmlformats.org/officeDocument/2006/relationships/hyperlink" Target="https://www.google.com/maps/dir/?api=1&amp;origin=Gymnasium+Kirchheim,+Heimstettner+Str.+3,+85551+Kirchheim+bei+M&#252;nchen&amp;destination=48.132734642580616,11.524005541398747&amp;travelmode=car" TargetMode="External"/><Relationship Id="rId1993" Type="http://schemas.openxmlformats.org/officeDocument/2006/relationships/hyperlink" Target="https://www.google.com/maps/dir/?api=1&amp;origin=Gymnasium+Kirchheim,+Heimstettner+Str.+3,+85551+Kirchheim+bei+M&#252;nchen&amp;destination=48.11608984311482,11.881881555040426&amp;travelmode=car" TargetMode="External"/><Relationship Id="rId2837" Type="http://schemas.openxmlformats.org/officeDocument/2006/relationships/hyperlink" Target="https://www.google.com/maps/dir/?api=1&amp;origin=Gymnasium+Kirchheim,+Heimstettner+Str.+3,+85551+Kirchheim+bei+M&#252;nchen&amp;destination=48.04181003802156,11.466281997410366&amp;travelmode=car" TargetMode="External"/><Relationship Id="rId78" Type="http://schemas.openxmlformats.org/officeDocument/2006/relationships/hyperlink" Target="https://www.google.com/maps/dir/?api=1&amp;origin=Gymnasium+Kirchheim,+Heimstettner+Str.+3,+85551+Kirchheim+bei+M&#252;nchen&amp;destination=48.28140293081683,12.12429853084091&amp;travelmode=car" TargetMode="External"/><Relationship Id="rId809" Type="http://schemas.openxmlformats.org/officeDocument/2006/relationships/hyperlink" Target="https://www.google.com/maps/dir/?api=1&amp;origin=Gymnasium+Kirchheim,+Heimstettner+Str.+3,+85551+Kirchheim+bei+M&#252;nchen&amp;destination=48.21642238181334,11.420102966318577&amp;travelmode=car" TargetMode="External"/><Relationship Id="rId1439" Type="http://schemas.openxmlformats.org/officeDocument/2006/relationships/hyperlink" Target="https://www.google.com/maps/dir/?api=1&amp;origin=Gymnasium+Kirchheim,+Heimstettner+Str.+3,+85551+Kirchheim+bei+M&#252;nchen&amp;destination=48.162925373565905,11.581728752359444&amp;travelmode=car" TargetMode="External"/><Relationship Id="rId1646" Type="http://schemas.openxmlformats.org/officeDocument/2006/relationships/hyperlink" Target="https://www.google.com/maps/dir/?api=1&amp;origin=Gymnasium+Kirchheim,+Heimstettner+Str.+3,+85551+Kirchheim+bei+M&#252;nchen&amp;destination=48.14610149258519,11.939601244041153&amp;travelmode=car" TargetMode="External"/><Relationship Id="rId1853" Type="http://schemas.openxmlformats.org/officeDocument/2006/relationships/hyperlink" Target="https://www.google.com/maps/dir/?api=1&amp;origin=Gymnasium+Kirchheim,+Heimstettner+Str.+3,+85551+Kirchheim+bei+M&#252;nchen&amp;destination=48.125504710744565,11.293110020250275&amp;travelmode=car" TargetMode="External"/><Relationship Id="rId2904" Type="http://schemas.openxmlformats.org/officeDocument/2006/relationships/hyperlink" Target="https://www.google.com/maps/dir/?api=1&amp;origin=Gymnasium+Kirchheim,+Heimstettner+Str.+3,+85551+Kirchheim+bei+M&#252;nchen&amp;destination=48.0377303304569,12.228186338432307&amp;travelmode=car" TargetMode="External"/><Relationship Id="rId1506" Type="http://schemas.openxmlformats.org/officeDocument/2006/relationships/hyperlink" Target="https://www.google.com/maps/dir/?api=1&amp;origin=Gymnasium+Kirchheim,+Heimstettner+Str.+3,+85551+Kirchheim+bei+M&#252;nchen&amp;destination=48.155822540809375,11.339289350160644&amp;travelmode=car" TargetMode="External"/><Relationship Id="rId1713" Type="http://schemas.openxmlformats.org/officeDocument/2006/relationships/hyperlink" Target="https://www.google.com/maps/dir/?api=1&amp;origin=Gymnasium+Kirchheim,+Heimstettner+Str.+3,+85551+Kirchheim+bei+M&#252;nchen&amp;destination=48.13975082147637,11.69717391402856&amp;travelmode=car" TargetMode="External"/><Relationship Id="rId1920" Type="http://schemas.openxmlformats.org/officeDocument/2006/relationships/hyperlink" Target="https://www.google.com/maps/dir/?api=1&amp;origin=Gymnasium+Kirchheim,+Heimstettner+Str.+3,+85551+Kirchheim+bei+M&#252;nchen&amp;destination=48.1225687884575,12.055038147665204&amp;travelmode=car" TargetMode="External"/><Relationship Id="rId599" Type="http://schemas.openxmlformats.org/officeDocument/2006/relationships/hyperlink" Target="https://www.google.com/maps/dir/?api=1&amp;origin=Gymnasium+Kirchheim,+Heimstettner+Str.+3,+85551+Kirchheim+bei+M&#252;nchen&amp;destination=48.236472672546384,12.043494616728212&amp;travelmode=car" TargetMode="External"/><Relationship Id="rId2487" Type="http://schemas.openxmlformats.org/officeDocument/2006/relationships/hyperlink" Target="https://www.google.com/maps/dir/?api=1&amp;origin=Gymnasium+Kirchheim,+Heimstettner+Str.+3,+85551+Kirchheim+bei+M&#252;nchen&amp;destination=48.072112847372864,11.489371450790154&amp;travelmode=car" TargetMode="External"/><Relationship Id="rId2694" Type="http://schemas.openxmlformats.org/officeDocument/2006/relationships/hyperlink" Target="https://www.google.com/maps/dir/?api=1&amp;origin=Gymnasium+Kirchheim,+Heimstettner+Str.+3,+85551+Kirchheim+bei+M&#252;nchen&amp;destination=48.05563673540622,11.835705269507187&amp;travelmode=car" TargetMode="External"/><Relationship Id="rId3538" Type="http://schemas.openxmlformats.org/officeDocument/2006/relationships/hyperlink" Target="https://www.google.com/maps/dir/?api=1&amp;origin=Gymnasium+Kirchheim,+Heimstettner+Str.+3,+85551+Kirchheim+bei+M&#252;nchen&amp;destination=47.98117091122183,11.431647738327094&amp;travelmode=car" TargetMode="External"/><Relationship Id="rId459" Type="http://schemas.openxmlformats.org/officeDocument/2006/relationships/hyperlink" Target="https://www.google.com/maps/dir/?api=1&amp;origin=Gymnasium+Kirchheim,+Heimstettner+Str.+3,+85551+Kirchheim+bei+M&#252;nchen&amp;destination=48.24673443471339,11.44319250119349&amp;travelmode=car" TargetMode="External"/><Relationship Id="rId666" Type="http://schemas.openxmlformats.org/officeDocument/2006/relationships/hyperlink" Target="https://www.google.com/maps/dir/?api=1&amp;origin=Gymnasium+Kirchheim,+Heimstettner+Str.+3,+85551+Kirchheim+bei+M&#252;nchen&amp;destination=48.23034035457709,11.801072765593279&amp;travelmode=car" TargetMode="External"/><Relationship Id="rId873" Type="http://schemas.openxmlformats.org/officeDocument/2006/relationships/hyperlink" Target="https://www.google.com/maps/dir/?api=1&amp;origin=Gymnasium+Kirchheim,+Heimstettner+Str.+3,+85551+Kirchheim+bei+M&#252;nchen&amp;destination=48.21283599935661,12.158928183084447&amp;travelmode=car" TargetMode="External"/><Relationship Id="rId1089" Type="http://schemas.openxmlformats.org/officeDocument/2006/relationships/hyperlink" Target="https://www.google.com/maps/dir/?api=1&amp;origin=Gymnasium+Kirchheim,+Heimstettner+Str.+3,+85551+Kirchheim+bei+M&#252;nchen&amp;destination=48.19320507437174,11.604817928870196&amp;travelmode=car" TargetMode="External"/><Relationship Id="rId1296" Type="http://schemas.openxmlformats.org/officeDocument/2006/relationships/hyperlink" Target="https://www.google.com/maps/dir/?api=1&amp;origin=Gymnasium+Kirchheim,+Heimstettner+Str.+3,+85551+Kirchheim+bei+M&#252;nchen&amp;destination=48.17630956175355,11.962688898444616&amp;travelmode=car" TargetMode="External"/><Relationship Id="rId2347" Type="http://schemas.openxmlformats.org/officeDocument/2006/relationships/hyperlink" Target="https://www.google.com/maps/dir/?api=1&amp;origin=Gymnasium+Kirchheim,+Heimstettner+Str.+3,+85551+Kirchheim+bei+M&#252;nchen&amp;destination=48.085604477300116,11.90496952282889&amp;travelmode=car" TargetMode="External"/><Relationship Id="rId2554" Type="http://schemas.openxmlformats.org/officeDocument/2006/relationships/hyperlink" Target="https://www.google.com/maps/dir/?api=1&amp;origin=Gymnasium+Kirchheim,+Heimstettner+Str.+3,+85551+Kirchheim+bei+M&#252;nchen&amp;destination=48.064815899394404,11.246930644367383&amp;travelmode=car" TargetMode="External"/><Relationship Id="rId319" Type="http://schemas.openxmlformats.org/officeDocument/2006/relationships/hyperlink" Target="https://www.google.com/maps/dir/?api=1&amp;origin=Gymnasium+Kirchheim,+Heimstettner+Str.+3,+85551+Kirchheim+bei+M&#252;nchen&amp;destination=48.26039243987878,11.858793469207484&amp;travelmode=car" TargetMode="External"/><Relationship Id="rId526" Type="http://schemas.openxmlformats.org/officeDocument/2006/relationships/hyperlink" Target="https://www.google.com/maps/dir/?api=1&amp;origin=Gymnasium+Kirchheim,+Heimstettner+Str.+3,+85551+Kirchheim+bei+M&#252;nchen&amp;destination=48.24270902361895,12.21664342242148&amp;travelmode=car" TargetMode="External"/><Relationship Id="rId1156" Type="http://schemas.openxmlformats.org/officeDocument/2006/relationships/hyperlink" Target="https://www.google.com/maps/dir/?api=1&amp;origin=Gymnasium+Kirchheim,+Heimstettner+Str.+3,+85551+Kirchheim+bei+M&#252;nchen&amp;destination=48.18615077004571,11.362378987427904&amp;travelmode=car" TargetMode="External"/><Relationship Id="rId1363" Type="http://schemas.openxmlformats.org/officeDocument/2006/relationships/hyperlink" Target="https://www.google.com/maps/dir/?api=1&amp;origin=Gymnasium+Kirchheim,+Heimstettner+Str.+3,+85551+Kirchheim+bei+M&#252;nchen&amp;destination=48.17000741436161,11.720262709205143&amp;travelmode=car" TargetMode="External"/><Relationship Id="rId2207" Type="http://schemas.openxmlformats.org/officeDocument/2006/relationships/hyperlink" Target="https://www.google.com/maps/dir/?api=1&amp;origin=Gymnasium+Kirchheim,+Heimstettner+Str.+3,+85551+Kirchheim+bei+M&#252;nchen&amp;destination=48.09514528406201,11.304654858343824&amp;travelmode=car" TargetMode="External"/><Relationship Id="rId2761" Type="http://schemas.openxmlformats.org/officeDocument/2006/relationships/hyperlink" Target="https://www.google.com/maps/dir/?api=1&amp;origin=Gymnasium+Kirchheim,+Heimstettner+Str.+3,+85551+Kirchheim+bei+M&#252;nchen&amp;destination=48.049030728294795,11.604817928870196&amp;travelmode=car" TargetMode="External"/><Relationship Id="rId3605" Type="http://schemas.openxmlformats.org/officeDocument/2006/relationships/hyperlink" Target="https://www.google.com/maps/dir/?api=1&amp;origin=Gymnasium+Kirchheim,+Heimstettner+Str.+3,+85551+Kirchheim+bei+M&#252;nchen&amp;destination=47.97722290606149,12.205100461762754&amp;travelmode=car" TargetMode="External"/><Relationship Id="rId733" Type="http://schemas.openxmlformats.org/officeDocument/2006/relationships/hyperlink" Target="https://www.google.com/maps/dir/?api=1&amp;origin=Gymnasium+Kirchheim,+Heimstettner+Str.+3,+85551+Kirchheim+bei+M&#252;nchen&amp;destination=48.223698532827434,11.55863951211732&amp;travelmode=car" TargetMode="External"/><Relationship Id="rId940" Type="http://schemas.openxmlformats.org/officeDocument/2006/relationships/hyperlink" Target="https://www.google.com/maps/dir/?api=1&amp;origin=Gymnasium+Kirchheim,+Heimstettner+Str.+3,+85551+Kirchheim+bei+M&#252;nchen&amp;destination=48.2069462840499,11.916513461151142&amp;travelmode=car" TargetMode="External"/><Relationship Id="rId1016" Type="http://schemas.openxmlformats.org/officeDocument/2006/relationships/hyperlink" Target="https://www.google.com/maps/dir/?api=1&amp;origin=Gymnasium+Kirchheim,+Heimstettner+Str.+3,+85551+Kirchheim+bei+M&#252;nchen&amp;destination=48.200099936758214,11.777984299500497&amp;travelmode=car" TargetMode="External"/><Relationship Id="rId1570" Type="http://schemas.openxmlformats.org/officeDocument/2006/relationships/hyperlink" Target="https://www.google.com/maps/dir/?api=1&amp;origin=Gymnasium+Kirchheim,+Heimstettner+Str.+3,+85551+Kirchheim+bei+M&#252;nchen&amp;destination=48.15283809523656,12.066581641260367&amp;travelmode=car" TargetMode="External"/><Relationship Id="rId2414" Type="http://schemas.openxmlformats.org/officeDocument/2006/relationships/hyperlink" Target="https://www.google.com/maps/dir/?api=1&amp;origin=Gymnasium+Kirchheim,+Heimstettner+Str.+3,+85551+Kirchheim+bei+M&#252;nchen&amp;destination=48.079181019824546,11.66254056390037&amp;travelmode=car" TargetMode="External"/><Relationship Id="rId2621" Type="http://schemas.openxmlformats.org/officeDocument/2006/relationships/hyperlink" Target="https://www.google.com/maps/dir/?api=1&amp;origin=Gymnasium+Kirchheim,+Heimstettner+Str.+3,+85551+Kirchheim+bei+M&#252;nchen&amp;destination=48.062106430749196,12.02040744491661&amp;travelmode=car" TargetMode="External"/><Relationship Id="rId800" Type="http://schemas.openxmlformats.org/officeDocument/2006/relationships/hyperlink" Target="https://www.google.com/maps/dir/?api=1&amp;origin=Gymnasium+Kirchheim,+Heimstettner+Str.+3,+85551+Kirchheim+bei+M&#252;nchen&amp;destination=48.21654717147372,11.316199693041677&amp;travelmode=car" TargetMode="External"/><Relationship Id="rId1223" Type="http://schemas.openxmlformats.org/officeDocument/2006/relationships/hyperlink" Target="https://www.google.com/maps/dir/?api=1&amp;origin=Gymnasium+Kirchheim,+Heimstettner+Str.+3,+85551+Kirchheim+bei+M&#252;nchen&amp;destination=48.182667207373754,12.135841789424584&amp;travelmode=car" TargetMode="External"/><Relationship Id="rId1430" Type="http://schemas.openxmlformats.org/officeDocument/2006/relationships/hyperlink" Target="https://www.google.com/maps/dir/?api=1&amp;origin=Gymnasium+Kirchheim,+Heimstettner+Str.+3,+85551+Kirchheim+bei+M&#252;nchen&amp;destination=48.16319574910529,11.477826729716085&amp;travelmode=car" TargetMode="External"/><Relationship Id="rId3188" Type="http://schemas.openxmlformats.org/officeDocument/2006/relationships/hyperlink" Target="https://www.google.com/maps/dir/?api=1&amp;origin=Gymnasium+Kirchheim,+Heimstettner+Str.+3,+85551+Kirchheim+bei+M&#252;nchen&amp;destination=48.01148065322896,11.454737254395377&amp;travelmode=car" TargetMode="External"/><Relationship Id="rId3395" Type="http://schemas.openxmlformats.org/officeDocument/2006/relationships/hyperlink" Target="https://www.google.com/maps/dir/?api=1&amp;origin=Gymnasium+Kirchheim,+Heimstettner+Str.+3,+85551+Kirchheim+bei+M&#252;nchen&amp;destination=47.99499182931136,11.824161128262173&amp;travelmode=car" TargetMode="External"/><Relationship Id="rId3048" Type="http://schemas.openxmlformats.org/officeDocument/2006/relationships/hyperlink" Target="https://www.google.com/maps/dir/?api=1&amp;origin=Gymnasium+Kirchheim,+Heimstettner+Str.+3,+85551+Kirchheim+bei+M&#252;nchen&amp;destination=48.02509706438041,11.870337526618448&amp;travelmode=car" TargetMode="External"/><Relationship Id="rId3255" Type="http://schemas.openxmlformats.org/officeDocument/2006/relationships/hyperlink" Target="https://www.google.com/maps/dir/?api=1&amp;origin=Gymnasium+Kirchheim,+Heimstettner+Str.+3,+85551+Kirchheim+bei+M&#252;nchen&amp;destination=48.00727732219121,12.239729209273484&amp;travelmode=car" TargetMode="External"/><Relationship Id="rId3462" Type="http://schemas.openxmlformats.org/officeDocument/2006/relationships/hyperlink" Target="https://www.google.com/maps/dir/?api=1&amp;origin=Gymnasium+Kirchheim,+Heimstettner+Str.+3,+85551+Kirchheim+bei+M&#252;nchen&amp;destination=47.988466705017686,11.55863951211732&amp;travelmode=car" TargetMode="External"/><Relationship Id="rId176" Type="http://schemas.openxmlformats.org/officeDocument/2006/relationships/hyperlink" Target="https://www.google.com/maps/dir/?api=1&amp;origin=Gymnasium+Kirchheim,+Heimstettner+Str.+3,+85551+Kirchheim+bei+M&#252;nchen&amp;destination=48.272861643911895,12.239729209273484&amp;travelmode=car" TargetMode="External"/><Relationship Id="rId383" Type="http://schemas.openxmlformats.org/officeDocument/2006/relationships/hyperlink" Target="https://www.google.com/maps/dir/?api=1&amp;origin=Gymnasium+Kirchheim,+Heimstettner+Str.+3,+85551+Kirchheim+bei+M&#252;nchen&amp;destination=48.25398285529872,11.581728752359444&amp;travelmode=car" TargetMode="External"/><Relationship Id="rId590" Type="http://schemas.openxmlformats.org/officeDocument/2006/relationships/hyperlink" Target="https://www.google.com/maps/dir/?api=1&amp;origin=Gymnasium+Kirchheim,+Heimstettner+Str.+3,+85551+Kirchheim+bei+M&#252;nchen&amp;destination=48.23715897431798,11.939601244041153&amp;travelmode=car" TargetMode="External"/><Relationship Id="rId2064" Type="http://schemas.openxmlformats.org/officeDocument/2006/relationships/hyperlink" Target="https://www.google.com/maps/dir/?api=1&amp;origin=Gymnasium+Kirchheim,+Heimstettner+Str.+3,+85551+Kirchheim+bei+M&#252;nchen&amp;destination=48.10944454500854,11.685629484445332&amp;travelmode=car" TargetMode="External"/><Relationship Id="rId2271" Type="http://schemas.openxmlformats.org/officeDocument/2006/relationships/hyperlink" Target="https://www.google.com/maps/dir/?api=1&amp;origin=Gymnasium+Kirchheim,+Heimstettner+Str.+3,+85551+Kirchheim+bei+M&#252;nchen&amp;destination=48.09221629454657,12.055038147665204&amp;travelmode=car" TargetMode="External"/><Relationship Id="rId3115" Type="http://schemas.openxmlformats.org/officeDocument/2006/relationships/hyperlink" Target="https://www.google.com/maps/dir/?api=1&amp;origin=Gymnasium+Kirchheim,+Heimstettner+Str.+3,+85551+Kirchheim+bei+M&#252;nchen&amp;destination=48.018600819638294,11.627907037470955&amp;travelmode=car" TargetMode="External"/><Relationship Id="rId3322" Type="http://schemas.openxmlformats.org/officeDocument/2006/relationships/hyperlink" Target="https://www.google.com/maps/dir/?api=1&amp;origin=Gymnasium+Kirchheim,+Heimstettner+Str.+3,+85551+Kirchheim+bei+M&#252;nchen&amp;destination=48.001633675972975,11.985776420185003&amp;travelmode=car" TargetMode="External"/><Relationship Id="rId243" Type="http://schemas.openxmlformats.org/officeDocument/2006/relationships/hyperlink" Target="https://www.google.com/maps/dir/?api=1&amp;origin=Gymnasium+Kirchheim,+Heimstettner+Str.+3,+85551+Kirchheim+bei+M&#252;nchen&amp;destination=48.267141741919446,11.997320130001427&amp;travelmode=car" TargetMode="External"/><Relationship Id="rId450" Type="http://schemas.openxmlformats.org/officeDocument/2006/relationships/hyperlink" Target="https://www.google.com/maps/dir/?api=1&amp;origin=Gymnasium+Kirchheim,+Heimstettner+Str.+3,+85551+Kirchheim+bei+M&#252;nchen&amp;destination=48.24688002254217,11.339289350160644&amp;travelmode=car" TargetMode="External"/><Relationship Id="rId1080" Type="http://schemas.openxmlformats.org/officeDocument/2006/relationships/hyperlink" Target="https://www.google.com/maps/dir/?api=1&amp;origin=Gymnasium+Kirchheim,+Heimstettner+Str.+3,+85551+Kirchheim+bei+M&#252;nchen&amp;destination=48.193496247579574,11.500916160110199&amp;travelmode=car" TargetMode="External"/><Relationship Id="rId2131" Type="http://schemas.openxmlformats.org/officeDocument/2006/relationships/hyperlink" Target="https://www.google.com/maps/dir/?api=1&amp;origin=Gymnasium+Kirchheim,+Heimstettner+Str.+3,+85551+Kirchheim+bei+M&#252;nchen&amp;destination=48.10256008863644,11.44319250119349&amp;travelmode=car" TargetMode="External"/><Relationship Id="rId103" Type="http://schemas.openxmlformats.org/officeDocument/2006/relationships/hyperlink" Target="https://www.google.com/maps/dir/?api=1&amp;origin=Gymnasium+Kirchheim,+Heimstettner+Str.+3,+85551+Kirchheim+bei+M&#252;nchen&amp;destination=48.27714585696796,11.408558185690326&amp;travelmode=car" TargetMode="External"/><Relationship Id="rId310" Type="http://schemas.openxmlformats.org/officeDocument/2006/relationships/hyperlink" Target="https://www.google.com/maps/dir/?api=1&amp;origin=Gymnasium+Kirchheim,+Heimstettner+Str.+3,+85551+Kirchheim+bei+M&#252;nchen&amp;destination=48.260912379269726,11.754895734161472&amp;travelmode=car" TargetMode="External"/><Relationship Id="rId1897" Type="http://schemas.openxmlformats.org/officeDocument/2006/relationships/hyperlink" Target="https://www.google.com/maps/dir/?api=1&amp;origin=Gymnasium+Kirchheim,+Heimstettner+Str.+3,+85551+Kirchheim+bei+M&#252;nchen&amp;destination=48.12416324160777,11.789528545213775&amp;travelmode=car" TargetMode="External"/><Relationship Id="rId2948" Type="http://schemas.openxmlformats.org/officeDocument/2006/relationships/hyperlink" Target="https://www.google.com/maps/dir/?api=1&amp;origin=Gymnasium+Kirchheim,+Heimstettner+Str.+3,+85551+Kirchheim+bei+M&#252;nchen&amp;destination=48.03337150818807,11.731807073753979&amp;travelmode=car" TargetMode="External"/><Relationship Id="rId1757" Type="http://schemas.openxmlformats.org/officeDocument/2006/relationships/hyperlink" Target="https://www.google.com/maps/dir/?api=1&amp;origin=Gymnasium+Kirchheim,+Heimstettner+Str.+3,+85551+Kirchheim+bei+M&#252;nchen&amp;destination=48.136475294930676,12.21664342242148&amp;travelmode=car" TargetMode="External"/><Relationship Id="rId1964" Type="http://schemas.openxmlformats.org/officeDocument/2006/relationships/hyperlink" Target="https://www.google.com/maps/dir/?api=1&amp;origin=Gymnasium+Kirchheim,+Heimstettner+Str.+3,+85551+Kirchheim+bei+M&#252;nchen&amp;destination=48.11749715672707,11.547094869402834&amp;travelmode=car" TargetMode="External"/><Relationship Id="rId2808" Type="http://schemas.openxmlformats.org/officeDocument/2006/relationships/hyperlink" Target="https://www.google.com/maps/dir/?api=1&amp;origin=Gymnasium+Kirchheim,+Heimstettner+Str.+3,+85551+Kirchheim+bei+M&#252;nchen&amp;destination=48.045989711385076,12.147385007013046&amp;travelmode=car" TargetMode="External"/><Relationship Id="rId49" Type="http://schemas.openxmlformats.org/officeDocument/2006/relationships/hyperlink" Target="https://www.google.com/maps/dir/?api=1&amp;origin=Gymnasium+Kirchheim,+Heimstettner+Str.+3,+85551+Kirchheim+bei+M&#252;nchen&amp;destination=48.28351383464018,11.789528545213775&amp;travelmode=car" TargetMode="External"/><Relationship Id="rId1617" Type="http://schemas.openxmlformats.org/officeDocument/2006/relationships/hyperlink" Target="https://www.google.com/maps/dir/?api=1&amp;origin=Gymnasium+Kirchheim,+Heimstettner+Str.+3,+85551+Kirchheim+bei+M&#252;nchen&amp;destination=48.14767633350533,11.604817928870196&amp;travelmode=car" TargetMode="External"/><Relationship Id="rId1824" Type="http://schemas.openxmlformats.org/officeDocument/2006/relationships/hyperlink" Target="https://www.google.com/maps/dir/?api=1&amp;origin=Gymnasium+Kirchheim,+Heimstettner+Str.+3,+85551+Kirchheim+bei+M&#252;nchen&amp;destination=48.13078082088714,11.962688898444616&amp;travelmode=car" TargetMode="External"/><Relationship Id="rId2598" Type="http://schemas.openxmlformats.org/officeDocument/2006/relationships/hyperlink" Target="https://www.google.com/maps/dir/?api=1&amp;origin=Gymnasium+Kirchheim,+Heimstettner+Str.+3,+85551+Kirchheim+bei+M&#252;nchen&amp;destination=48.063621168848655,11.754895734161472&amp;travelmode=car" TargetMode="External"/><Relationship Id="rId777" Type="http://schemas.openxmlformats.org/officeDocument/2006/relationships/hyperlink" Target="https://www.google.com/maps/dir/?api=1&amp;origin=Gymnasium+Kirchheim,+Heimstettner+Str.+3,+85551+Kirchheim+bei+M&#252;nchen&amp;destination=48.22113120653617,12.066581641260367&amp;travelmode=car" TargetMode="External"/><Relationship Id="rId984" Type="http://schemas.openxmlformats.org/officeDocument/2006/relationships/hyperlink" Target="https://www.google.com/maps/dir/?api=1&amp;origin=Gymnasium+Kirchheim,+Heimstettner+Str.+3,+85551+Kirchheim+bei+M&#252;nchen&amp;destination=48.20126462219063,11.408558185690326&amp;travelmode=car" TargetMode="External"/><Relationship Id="rId2458" Type="http://schemas.openxmlformats.org/officeDocument/2006/relationships/hyperlink" Target="https://www.google.com/maps/dir/?api=1&amp;origin=Gymnasium+Kirchheim,+Heimstettner+Str.+3,+85551+Kirchheim+bei+M&#252;nchen&amp;destination=48.07615619307763,12.170471317116936&amp;travelmode=car" TargetMode="External"/><Relationship Id="rId2665" Type="http://schemas.openxmlformats.org/officeDocument/2006/relationships/hyperlink" Target="https://www.google.com/maps/dir/?api=1&amp;origin=Gymnasium+Kirchheim,+Heimstettner+Str.+3,+85551+Kirchheim+bei+M&#252;nchen&amp;destination=48.056882294108206,11.512460857153851&amp;travelmode=car" TargetMode="External"/><Relationship Id="rId2872" Type="http://schemas.openxmlformats.org/officeDocument/2006/relationships/hyperlink" Target="https://www.google.com/maps/dir/?api=1&amp;origin=Gymnasium+Kirchheim,+Heimstettner+Str.+3,+85551+Kirchheim+bei+M&#252;nchen&amp;destination=48.04027331133588,11.870337526618448&amp;travelmode=car" TargetMode="External"/><Relationship Id="rId3509" Type="http://schemas.openxmlformats.org/officeDocument/2006/relationships/hyperlink" Target="https://www.google.com/maps/dir/?api=1&amp;origin=Gymnasium+Kirchheim,+Heimstettner+Str.+3,+85551+Kirchheim+bei+M&#252;nchen&amp;destination=47.98546611518521,12.12429853084091&amp;travelmode=car" TargetMode="External"/><Relationship Id="rId637" Type="http://schemas.openxmlformats.org/officeDocument/2006/relationships/hyperlink" Target="https://www.google.com/maps/dir/?api=1&amp;origin=Gymnasium+Kirchheim,+Heimstettner+Str.+3,+85551+Kirchheim+bei+M&#252;nchen&amp;destination=48.231513124964906,11.466281997410366&amp;travelmode=car" TargetMode="External"/><Relationship Id="rId844" Type="http://schemas.openxmlformats.org/officeDocument/2006/relationships/hyperlink" Target="https://www.google.com/maps/dir/?api=1&amp;origin=Gymnasium+Kirchheim,+Heimstettner+Str.+3,+85551+Kirchheim+bei+M&#252;nchen&amp;destination=48.215047410165624,11.824161128262173&amp;travelmode=car" TargetMode="External"/><Relationship Id="rId1267" Type="http://schemas.openxmlformats.org/officeDocument/2006/relationships/hyperlink" Target="https://www.google.com/maps/dir/?api=1&amp;origin=Gymnasium+Kirchheim,+Heimstettner+Str.+3,+85551+Kirchheim+bei+M&#252;nchen&amp;destination=48.1779514126707,11.627907037470955&amp;travelmode=car" TargetMode="External"/><Relationship Id="rId1474" Type="http://schemas.openxmlformats.org/officeDocument/2006/relationships/hyperlink" Target="https://www.google.com/maps/dir/?api=1&amp;origin=Gymnasium+Kirchheim,+Heimstettner+Str.+3,+85551+Kirchheim+bei+M&#252;nchen&amp;destination=48.16105936952984,11.97423267615872&amp;travelmode=car" TargetMode="External"/><Relationship Id="rId1681" Type="http://schemas.openxmlformats.org/officeDocument/2006/relationships/hyperlink" Target="https://www.google.com/maps/dir/?api=1&amp;origin=Gymnasium+Kirchheim,+Heimstettner+Str.+3,+85551+Kirchheim+bei+M&#252;nchen&amp;destination=48.1406462938539,11.339289350160644&amp;travelmode=car" TargetMode="External"/><Relationship Id="rId2318" Type="http://schemas.openxmlformats.org/officeDocument/2006/relationships/hyperlink" Target="https://www.google.com/maps/dir/?api=1&amp;origin=Gymnasium+Kirchheim,+Heimstettner+Str.+3,+85551+Kirchheim+bei+M&#252;nchen&amp;destination=48.08707880221809,11.570184139943638&amp;travelmode=car" TargetMode="External"/><Relationship Id="rId2525" Type="http://schemas.openxmlformats.org/officeDocument/2006/relationships/hyperlink" Target="https://www.google.com/maps/dir/?api=1&amp;origin=Gymnasium+Kirchheim,+Heimstettner+Str.+3,+85551+Kirchheim+bei+M&#252;nchen&amp;destination=48.07022025780784,11.939601244041153&amp;travelmode=car" TargetMode="External"/><Relationship Id="rId2732" Type="http://schemas.openxmlformats.org/officeDocument/2006/relationships/hyperlink" Target="https://www.google.com/maps/dir/?api=1&amp;origin=Gymnasium+Kirchheim,+Heimstettner+Str.+3,+85551+Kirchheim+bei+M&#252;nchen&amp;destination=48.04963387512687,11.27002033596574&amp;travelmode=car" TargetMode="External"/><Relationship Id="rId704" Type="http://schemas.openxmlformats.org/officeDocument/2006/relationships/hyperlink" Target="https://www.google.com/maps/dir/?api=1&amp;origin=Gymnasium+Kirchheim,+Heimstettner+Str.+3,+85551+Kirchheim+bei+M&#252;nchen&amp;destination=48.227332903045486,12.239729209273484&amp;travelmode=car" TargetMode="External"/><Relationship Id="rId911" Type="http://schemas.openxmlformats.org/officeDocument/2006/relationships/hyperlink" Target="https://www.google.com/maps/dir/?api=1&amp;origin=Gymnasium+Kirchheim,+Heimstettner+Str.+3,+85551+Kirchheim+bei+M&#252;nchen&amp;destination=48.20845411443231,11.581728752359444&amp;travelmode=car" TargetMode="External"/><Relationship Id="rId1127" Type="http://schemas.openxmlformats.org/officeDocument/2006/relationships/hyperlink" Target="https://www.google.com/maps/dir/?api=1&amp;origin=Gymnasium+Kirchheim,+Heimstettner+Str.+3,+85551+Kirchheim+bei+M&#252;nchen&amp;destination=48.190943931679975,12.043494616728212&amp;travelmode=car" TargetMode="External"/><Relationship Id="rId1334" Type="http://schemas.openxmlformats.org/officeDocument/2006/relationships/hyperlink" Target="https://www.google.com/maps/dir/?api=1&amp;origin=Gymnasium+Kirchheim,+Heimstettner+Str.+3,+85551+Kirchheim+bei+M&#252;nchen&amp;destination=48.170945636591895,11.385468600664204&amp;travelmode=car" TargetMode="External"/><Relationship Id="rId1541" Type="http://schemas.openxmlformats.org/officeDocument/2006/relationships/hyperlink" Target="https://www.google.com/maps/dir/?api=1&amp;origin=Gymnasium+Kirchheim,+Heimstettner+Str.+3,+85551+Kirchheim+bei+M&#252;nchen&amp;destination=48.154730644888794,11.743351415580166&amp;travelmode=car" TargetMode="External"/><Relationship Id="rId40" Type="http://schemas.openxmlformats.org/officeDocument/2006/relationships/hyperlink" Target="https://www.google.com/maps/dir/?api=1&amp;origin=Gymnasium+Kirchheim,+Heimstettner+Str.+3,+85551+Kirchheim+bei+M&#252;nchen&amp;destination=48.28401644705438,11.67408503422851&amp;travelmode=car" TargetMode="External"/><Relationship Id="rId1401" Type="http://schemas.openxmlformats.org/officeDocument/2006/relationships/hyperlink" Target="https://www.google.com/maps/dir/?api=1&amp;origin=Gymnasium+Kirchheim,+Heimstettner+Str.+3,+85551+Kirchheim+bei+M&#252;nchen&amp;destination=48.16730725849021,12.158928183084447&amp;travelmode=car" TargetMode="External"/><Relationship Id="rId3299" Type="http://schemas.openxmlformats.org/officeDocument/2006/relationships/hyperlink" Target="https://www.google.com/maps/dir/?api=1&amp;origin=Gymnasium+Kirchheim,+Heimstettner+Str.+3,+85551+Kirchheim+bei+M&#252;nchen&amp;destination=48.00306869785149,11.720262709205143&amp;travelmode=car" TargetMode="External"/><Relationship Id="rId3159" Type="http://schemas.openxmlformats.org/officeDocument/2006/relationships/hyperlink" Target="https://www.google.com/maps/dir/?api=1&amp;origin=Gymnasium+Kirchheim,+Heimstettner+Str.+3,+85551+Kirchheim+bei+M&#252;nchen&amp;destination=48.015637217474136,12.147385007013046&amp;travelmode=car" TargetMode="External"/><Relationship Id="rId3366" Type="http://schemas.openxmlformats.org/officeDocument/2006/relationships/hyperlink" Target="https://www.google.com/maps/dir/?api=1&amp;origin=Gymnasium+Kirchheim,+Heimstettner+Str.+3,+85551+Kirchheim+bei+M&#252;nchen&amp;destination=47.99625703259515,11.477826729716085&amp;travelmode=car" TargetMode="External"/><Relationship Id="rId3573" Type="http://schemas.openxmlformats.org/officeDocument/2006/relationships/hyperlink" Target="https://www.google.com/maps/dir/?api=1&amp;origin=Gymnasium+Kirchheim,+Heimstettner+Str.+3,+85551+Kirchheim+bei+M&#252;nchen&amp;destination=47.97969426357605,11.847249383329679&amp;travelmode=car" TargetMode="External"/><Relationship Id="rId287" Type="http://schemas.openxmlformats.org/officeDocument/2006/relationships/hyperlink" Target="https://www.google.com/maps/dir/?api=1&amp;origin=Gymnasium+Kirchheim,+Heimstettner+Str.+3,+85551+Kirchheim+bei+M&#252;nchen&amp;destination=48.26181593431622,11.489371450790154&amp;travelmode=car" TargetMode="External"/><Relationship Id="rId494" Type="http://schemas.openxmlformats.org/officeDocument/2006/relationships/hyperlink" Target="https://www.google.com/maps/dir/?api=1&amp;origin=Gymnasium+Kirchheim,+Heimstettner+Str.+3,+85551+Kirchheim+bei+M&#252;nchen&amp;destination=48.24527858529674,11.847249383329679&amp;travelmode=car" TargetMode="External"/><Relationship Id="rId2175" Type="http://schemas.openxmlformats.org/officeDocument/2006/relationships/hyperlink" Target="https://www.google.com/maps/dir/?api=1&amp;origin=Gymnasium+Kirchheim,+Heimstettner+Str.+3,+85551+Kirchheim+bei+M&#252;nchen&amp;destination=48.100501116981896,11.95114508756474&amp;travelmode=car" TargetMode="External"/><Relationship Id="rId2382" Type="http://schemas.openxmlformats.org/officeDocument/2006/relationships/hyperlink" Target="https://www.google.com/maps/dir/?api=1&amp;origin=Gymnasium+Kirchheim,+Heimstettner+Str.+3,+85551+Kirchheim+bei+M&#252;nchen&amp;destination=48.07997596987816,11.293110020250275&amp;travelmode=car" TargetMode="External"/><Relationship Id="rId3019" Type="http://schemas.openxmlformats.org/officeDocument/2006/relationships/hyperlink" Target="https://www.google.com/maps/dir/?api=1&amp;origin=Gymnasium+Kirchheim,+Heimstettner+Str.+3,+85551+Kirchheim+bei+M&#252;nchen&amp;destination=48.02647087215717,11.535550212322528&amp;travelmode=car" TargetMode="External"/><Relationship Id="rId3226" Type="http://schemas.openxmlformats.org/officeDocument/2006/relationships/hyperlink" Target="https://www.google.com/maps/dir/?api=1&amp;origin=Gymnasium+Kirchheim,+Heimstettner+Str.+3,+85551+Kirchheim+bei+M&#252;nchen&amp;destination=48.00985611442653,11.881881555040426&amp;travelmode=car" TargetMode="External"/><Relationship Id="rId147" Type="http://schemas.openxmlformats.org/officeDocument/2006/relationships/hyperlink" Target="https://www.google.com/maps/dir/?api=1&amp;origin=Gymnasium+Kirchheim,+Heimstettner+Str.+3,+85551+Kirchheim+bei+M&#252;nchen&amp;destination=48.27530756424346,11.90496952282889&amp;travelmode=car" TargetMode="External"/><Relationship Id="rId354" Type="http://schemas.openxmlformats.org/officeDocument/2006/relationships/hyperlink" Target="https://www.google.com/maps/dir/?api=1&amp;origin=Gymnasium+Kirchheim,+Heimstettner+Str.+3,+85551+Kirchheim+bei+M&#252;nchen&amp;destination=48.25451898633774,11.246930644367383&amp;travelmode=car" TargetMode="External"/><Relationship Id="rId1191" Type="http://schemas.openxmlformats.org/officeDocument/2006/relationships/hyperlink" Target="https://www.google.com/maps/dir/?api=1&amp;origin=Gymnasium+Kirchheim,+Heimstettner+Str.+3,+85551+Kirchheim+bei+M&#252;nchen&amp;destination=48.18497799482522,11.766440028975659&amp;travelmode=car" TargetMode="External"/><Relationship Id="rId2035" Type="http://schemas.openxmlformats.org/officeDocument/2006/relationships/hyperlink" Target="https://www.google.com/maps/dir/?api=1&amp;origin=Gymnasium+Kirchheim,+Heimstettner+Str.+3,+85551+Kirchheim+bei+M&#252;nchen&amp;destination=48.11026953526838,11.362378987427904&amp;travelmode=car" TargetMode="External"/><Relationship Id="rId3433" Type="http://schemas.openxmlformats.org/officeDocument/2006/relationships/hyperlink" Target="https://www.google.com/maps/dir/?api=1&amp;origin=Gymnasium+Kirchheim,+Heimstettner+Str.+3,+85551+Kirchheim+bei+M&#252;nchen&amp;destination=47.98893466461706,11.246930644367383&amp;travelmode=car" TargetMode="External"/><Relationship Id="rId561" Type="http://schemas.openxmlformats.org/officeDocument/2006/relationships/hyperlink" Target="https://www.google.com/maps/dir/?api=1&amp;origin=Gymnasium+Kirchheim,+Heimstettner+Str.+3,+85551+Kirchheim+bei+M&#252;nchen&amp;destination=48.23873381523813,11.604817928870196&amp;travelmode=car" TargetMode="External"/><Relationship Id="rId2242" Type="http://schemas.openxmlformats.org/officeDocument/2006/relationships/hyperlink" Target="https://www.google.com/maps/dir/?api=1&amp;origin=Gymnasium+Kirchheim,+Heimstettner+Str.+3,+85551+Kirchheim+bei+M&#252;nchen&amp;destination=48.094174707785676,11.708718322455919&amp;travelmode=car" TargetMode="External"/><Relationship Id="rId3500" Type="http://schemas.openxmlformats.org/officeDocument/2006/relationships/hyperlink" Target="https://www.google.com/maps/dir/?api=1&amp;origin=Gymnasium+Kirchheim,+Heimstettner+Str.+3,+85551+Kirchheim+bei+M&#252;nchen&amp;destination=47.986303762225866,12.00886380508597&amp;travelmode=car" TargetMode="External"/><Relationship Id="rId214" Type="http://schemas.openxmlformats.org/officeDocument/2006/relationships/hyperlink" Target="https://www.google.com/maps/dir/?api=1&amp;origin=Gymnasium+Kirchheim,+Heimstettner+Str.+3,+85551+Kirchheim+bei+M&#252;nchen&amp;destination=48.26892685804406,11.650996073983201&amp;travelmode=car" TargetMode="External"/><Relationship Id="rId421" Type="http://schemas.openxmlformats.org/officeDocument/2006/relationships/hyperlink" Target="https://www.google.com/maps/dir/?api=1&amp;origin=Gymnasium+Kirchheim,+Heimstettner+Str.+3,+85551+Kirchheim+bei+M&#252;nchen&amp;destination=48.25180951769254,12.02040744491661&amp;travelmode=car" TargetMode="External"/><Relationship Id="rId1051" Type="http://schemas.openxmlformats.org/officeDocument/2006/relationships/hyperlink" Target="https://www.google.com/maps/dir/?api=1&amp;origin=Gymnasium+Kirchheim,+Heimstettner+Str.+3,+85551+Kirchheim+bei+M&#252;nchen&amp;destination=48.1973755359705,12.193557456977898&amp;travelmode=car" TargetMode="External"/><Relationship Id="rId2102" Type="http://schemas.openxmlformats.org/officeDocument/2006/relationships/hyperlink" Target="https://www.google.com/maps/dir/?api=1&amp;origin=Gymnasium+Kirchheim,+Heimstettner+Str.+3,+85551+Kirchheim+bei+M&#252;nchen&amp;destination=48.10687609082895,12.12429853084091&amp;travelmode=car" TargetMode="External"/><Relationship Id="rId1868" Type="http://schemas.openxmlformats.org/officeDocument/2006/relationships/hyperlink" Target="https://www.google.com/maps/dir/?api=1&amp;origin=Gymnasium+Kirchheim,+Heimstettner+Str.+3,+85551+Kirchheim+bei+M&#252;nchen&amp;destination=48.12530250539496,11.454737254395377&amp;travelmode=car" TargetMode="External"/><Relationship Id="rId2919" Type="http://schemas.openxmlformats.org/officeDocument/2006/relationships/hyperlink" Target="https://www.google.com/maps/dir/?api=1&amp;origin=Gymnasium+Kirchheim,+Heimstettner+Str.+3,+85551+Kirchheim+bei+M&#252;nchen&amp;destination=48.03434323756264,11.397013396964736&amp;travelmode=car" TargetMode="External"/><Relationship Id="rId3083" Type="http://schemas.openxmlformats.org/officeDocument/2006/relationships/hyperlink" Target="https://www.google.com/maps/dir/?api=1&amp;origin=Gymnasium+Kirchheim,+Heimstettner+Str.+3,+85551+Kirchheim+bei+M&#252;nchen&amp;destination=48.01928484760309,11.258475490819581&amp;travelmode=car" TargetMode="External"/><Relationship Id="rId3290" Type="http://schemas.openxmlformats.org/officeDocument/2006/relationships/hyperlink" Target="https://www.google.com/maps/dir/?api=1&amp;origin=Gymnasium+Kirchheim,+Heimstettner+Str.+3,+85551+Kirchheim+bei+M&#252;nchen&amp;destination=48.00346385775904,11.616362491920484&amp;travelmode=car" TargetMode="External"/><Relationship Id="rId1728" Type="http://schemas.openxmlformats.org/officeDocument/2006/relationships/hyperlink" Target="https://www.google.com/maps/dir/?api=1&amp;origin=Gymnasium+Kirchheim,+Heimstettner+Str.+3,+85551+Kirchheim+bei+M&#252;nchen&amp;destination=48.1389189165464,11.870337526618448&amp;travelmode=car" TargetMode="External"/><Relationship Id="rId1935" Type="http://schemas.openxmlformats.org/officeDocument/2006/relationships/hyperlink" Target="https://www.google.com/maps/dir/?api=1&amp;origin=Gymnasium+Kirchheim,+Heimstettner+Str.+3,+85551+Kirchheim+bei+M&#252;nchen&amp;destination=48.12119968871197,12.228186338432307&amp;travelmode=car" TargetMode="External"/><Relationship Id="rId3150" Type="http://schemas.openxmlformats.org/officeDocument/2006/relationships/hyperlink" Target="https://www.google.com/maps/dir/?api=1&amp;origin=Gymnasium+Kirchheim,+Heimstettner+Str.+3,+85551+Kirchheim+bei+M&#252;nchen&amp;destination=48.01649796839896,12.031951048971356&amp;travelmode=car" TargetMode="External"/><Relationship Id="rId3010" Type="http://schemas.openxmlformats.org/officeDocument/2006/relationships/hyperlink" Target="https://www.google.com/maps/dir/?api=1&amp;origin=Gymnasium+Kirchheim,+Heimstettner+Str.+3,+85551+Kirchheim+bei+M&#252;nchen&amp;destination=48.02669965208821,11.431647738327094&amp;travelmode=car" TargetMode="External"/><Relationship Id="rId4" Type="http://schemas.openxmlformats.org/officeDocument/2006/relationships/hyperlink" Target="https://www.google.com/maps/dir/?api=1&amp;origin=Gymnasium+Kirchheim,+Heimstettner+Str.+3,+85551+Kirchheim+bei+M&#252;nchen&amp;destination=48.284865702936614,11.27002033596574&amp;travelmode=car" TargetMode="External"/><Relationship Id="rId888" Type="http://schemas.openxmlformats.org/officeDocument/2006/relationships/hyperlink" Target="https://www.google.com/maps/dir/?api=1&amp;origin=Gymnasium+Kirchheim,+Heimstettner+Str.+3,+85551+Kirchheim+bei+M&#252;nchen&amp;destination=48.20895904799599,11.316199693041677&amp;travelmode=car" TargetMode="External"/><Relationship Id="rId2569" Type="http://schemas.openxmlformats.org/officeDocument/2006/relationships/hyperlink" Target="https://www.google.com/maps/dir/?api=1&amp;origin=Gymnasium+Kirchheim,+Heimstettner+Str.+3,+85551+Kirchheim+bei+M&#252;nchen&amp;destination=48.06465991225866,11.420102966318577&amp;travelmode=car" TargetMode="External"/><Relationship Id="rId2776" Type="http://schemas.openxmlformats.org/officeDocument/2006/relationships/hyperlink" Target="https://www.google.com/maps/dir/?api=1&amp;origin=Gymnasium+Kirchheim,+Heimstettner+Str.+3,+85551+Kirchheim+bei+M&#252;nchen&amp;destination=48.048337467203545,11.777984299500497&amp;travelmode=car" TargetMode="External"/><Relationship Id="rId2983" Type="http://schemas.openxmlformats.org/officeDocument/2006/relationships/hyperlink" Target="https://www.google.com/maps/dir/?api=1&amp;origin=Gymnasium+Kirchheim,+Heimstettner+Str.+3,+85551+Kirchheim+bei+M&#252;nchen&amp;destination=48.03090473781909,12.135841789424584&amp;travelmode=car" TargetMode="External"/><Relationship Id="rId748" Type="http://schemas.openxmlformats.org/officeDocument/2006/relationships/hyperlink" Target="https://www.google.com/maps/dir/?api=1&amp;origin=Gymnasium+Kirchheim,+Heimstettner+Str.+3,+85551+Kirchheim+bei+M&#252;nchen&amp;destination=48.22307459513141,11.731807073753979&amp;travelmode=car" TargetMode="External"/><Relationship Id="rId955" Type="http://schemas.openxmlformats.org/officeDocument/2006/relationships/hyperlink" Target="https://www.google.com/maps/dir/?api=1&amp;origin=Gymnasium+Kirchheim,+Heimstettner+Str.+3,+85551+Kirchheim+bei+M&#252;nchen&amp;destination=48.20578511971855,12.089668514337413&amp;travelmode=car" TargetMode="External"/><Relationship Id="rId1378" Type="http://schemas.openxmlformats.org/officeDocument/2006/relationships/hyperlink" Target="https://www.google.com/maps/dir/?api=1&amp;origin=Gymnasium+Kirchheim,+Heimstettner+Str.+3,+85551+Kirchheim+bei+M&#252;nchen&amp;destination=48.16920670745894,11.881881555040426&amp;travelmode=car" TargetMode="External"/><Relationship Id="rId1585" Type="http://schemas.openxmlformats.org/officeDocument/2006/relationships/hyperlink" Target="https://www.google.com/maps/dir/?api=1&amp;origin=Gymnasium+Kirchheim,+Heimstettner+Str.+3,+85551+Kirchheim+bei+M&#252;nchen&amp;destination=48.148285257649476,11.246930644367383&amp;travelmode=car" TargetMode="External"/><Relationship Id="rId1792" Type="http://schemas.openxmlformats.org/officeDocument/2006/relationships/hyperlink" Target="https://www.google.com/maps/dir/?api=1&amp;origin=Gymnasium+Kirchheim,+Heimstettner+Str.+3,+85551+Kirchheim+bei+M&#252;nchen&amp;destination=48.13253706080907,11.593273348842407&amp;travelmode=car" TargetMode="External"/><Relationship Id="rId2429" Type="http://schemas.openxmlformats.org/officeDocument/2006/relationships/hyperlink" Target="https://www.google.com/maps/dir/?api=1&amp;origin=Gymnasium+Kirchheim,+Heimstettner+Str.+3,+85551+Kirchheim+bei+M&#252;nchen&amp;destination=48.07840110583942,11.835705269507187&amp;travelmode=car" TargetMode="External"/><Relationship Id="rId2636" Type="http://schemas.openxmlformats.org/officeDocument/2006/relationships/hyperlink" Target="https://www.google.com/maps/dir/?api=1&amp;origin=Gymnasium+Kirchheim,+Heimstettner+Str.+3,+85551+Kirchheim+bei+M&#252;nchen&amp;destination=48.06078931337128,12.193557456977898&amp;travelmode=car" TargetMode="External"/><Relationship Id="rId2843" Type="http://schemas.openxmlformats.org/officeDocument/2006/relationships/hyperlink" Target="https://www.google.com/maps/dir/?api=1&amp;origin=Gymnasium+Kirchheim,+Heimstettner+Str.+3,+85551+Kirchheim+bei+M&#252;nchen&amp;destination=48.041647119112646,11.535550212322528&amp;travelmode=car" TargetMode="External"/><Relationship Id="rId84" Type="http://schemas.openxmlformats.org/officeDocument/2006/relationships/hyperlink" Target="https://www.google.com/maps/dir/?api=1&amp;origin=Gymnasium+Kirchheim,+Heimstettner+Str.+3,+85551+Kirchheim+bei+M&#252;nchen&amp;destination=48.28094078816351,12.182014408588692&amp;travelmode=car" TargetMode="External"/><Relationship Id="rId608" Type="http://schemas.openxmlformats.org/officeDocument/2006/relationships/hyperlink" Target="https://www.google.com/maps/dir/?api=1&amp;origin=Gymnasium+Kirchheim,+Heimstettner+Str.+3,+85551+Kirchheim+bei+M&#252;nchen&amp;destination=48.23569279832841,12.147385007013046&amp;travelmode=car" TargetMode="External"/><Relationship Id="rId815" Type="http://schemas.openxmlformats.org/officeDocument/2006/relationships/hyperlink" Target="https://www.google.com/maps/dir/?api=1&amp;origin=Gymnasium+Kirchheim,+Heimstettner+Str.+3,+85551+Kirchheim+bei+M&#252;nchen&amp;destination=48.21628719344981,11.489371450790154&amp;travelmode=car" TargetMode="External"/><Relationship Id="rId1238" Type="http://schemas.openxmlformats.org/officeDocument/2006/relationships/hyperlink" Target="https://www.google.com/maps/dir/?api=1&amp;origin=Gymnasium+Kirchheim,+Heimstettner+Str.+3,+85551+Kirchheim+bei+M&#252;nchen&amp;destination=48.17862157508869,11.293110020250275&amp;travelmode=car" TargetMode="External"/><Relationship Id="rId1445" Type="http://schemas.openxmlformats.org/officeDocument/2006/relationships/hyperlink" Target="https://www.google.com/maps/dir/?api=1&amp;origin=Gymnasium+Kirchheim,+Heimstettner+Str.+3,+85551+Kirchheim+bei+M&#252;nchen&amp;destination=48.162693129355794,11.650996073983201&amp;travelmode=car" TargetMode="External"/><Relationship Id="rId1652" Type="http://schemas.openxmlformats.org/officeDocument/2006/relationships/hyperlink" Target="https://www.google.com/maps/dir/?api=1&amp;origin=Gymnasium+Kirchheim,+Heimstettner+Str.+3,+85551+Kirchheim+bei+M&#252;nchen&amp;destination=48.145731766275716,11.997320130001427&amp;travelmode=car" TargetMode="External"/><Relationship Id="rId1305" Type="http://schemas.openxmlformats.org/officeDocument/2006/relationships/hyperlink" Target="https://www.google.com/maps/dir/?api=1&amp;origin=Gymnasium+Kirchheim,+Heimstettner+Str.+3,+85551+Kirchheim+bei+M&#252;nchen&amp;destination=48.17560246566976,12.066581641260367&amp;travelmode=car" TargetMode="External"/><Relationship Id="rId2703" Type="http://schemas.openxmlformats.org/officeDocument/2006/relationships/hyperlink" Target="https://www.google.com/maps/dir/?api=1&amp;origin=Gymnasium+Kirchheim,+Heimstettner+Str.+3,+85551+Kirchheim+bei+M&#252;nchen&amp;destination=48.0549723761155,11.95114508756474&amp;travelmode=car" TargetMode="External"/><Relationship Id="rId2910" Type="http://schemas.openxmlformats.org/officeDocument/2006/relationships/hyperlink" Target="https://www.google.com/maps/dir/?api=1&amp;origin=Gymnasium+Kirchheim,+Heimstettner+Str.+3,+85551+Kirchheim+bei+M&#252;nchen&amp;destination=48.03444722901176,11.293110020250275&amp;travelmode=car" TargetMode="External"/><Relationship Id="rId1512" Type="http://schemas.openxmlformats.org/officeDocument/2006/relationships/hyperlink" Target="https://www.google.com/maps/dir/?api=1&amp;origin=Gymnasium+Kirchheim,+Heimstettner+Str.+3,+85551+Kirchheim+bei+M&#252;nchen&amp;destination=48.155753213206374,11.397013396964736&amp;travelmode=car" TargetMode="External"/><Relationship Id="rId11" Type="http://schemas.openxmlformats.org/officeDocument/2006/relationships/hyperlink" Target="https://www.google.com/maps/dir/?api=1&amp;origin=Gymnasium+Kirchheim,+Heimstettner+Str.+3,+85551+Kirchheim+bei+M&#252;nchen&amp;destination=48.284809085322074,11.350834171536942&amp;travelmode=car" TargetMode="External"/><Relationship Id="rId398" Type="http://schemas.openxmlformats.org/officeDocument/2006/relationships/hyperlink" Target="https://www.google.com/maps/dir/?api=1&amp;origin=Gymnasium+Kirchheim,+Heimstettner+Str.+3,+85551+Kirchheim+bei+M&#252;nchen&amp;destination=48.253324255791995,11.754895734161472&amp;travelmode=car" TargetMode="External"/><Relationship Id="rId2079" Type="http://schemas.openxmlformats.org/officeDocument/2006/relationships/hyperlink" Target="https://www.google.com/maps/dir/?api=1&amp;origin=Gymnasium+Kirchheim,+Heimstettner+Str.+3,+85551+Kirchheim+bei+M&#252;nchen&amp;destination=48.10862997032411,11.858793469207484&amp;travelmode=car" TargetMode="External"/><Relationship Id="rId3477" Type="http://schemas.openxmlformats.org/officeDocument/2006/relationships/hyperlink" Target="https://www.google.com/maps/dir/?api=1&amp;origin=Gymnasium+Kirchheim,+Heimstettner+Str.+3,+85551+Kirchheim+bei+M&#252;nchen&amp;destination=47.98779192837865,11.743351415580166&amp;travelmode=car" TargetMode="External"/><Relationship Id="rId2286" Type="http://schemas.openxmlformats.org/officeDocument/2006/relationships/hyperlink" Target="https://www.google.com/maps/dir/?api=1&amp;origin=Gymnasium+Kirchheim,+Heimstettner+Str.+3,+85551+Kirchheim+bei+M&#252;nchen&amp;destination=48.090946554064274,12.21664342242148&amp;travelmode=car" TargetMode="External"/><Relationship Id="rId2493" Type="http://schemas.openxmlformats.org/officeDocument/2006/relationships/hyperlink" Target="https://www.google.com/maps/dir/?api=1&amp;origin=Gymnasium+Kirchheim,+Heimstettner+Str.+3,+85551+Kirchheim+bei+M&#252;nchen&amp;destination=48.07193606327275,11.55863951211732&amp;travelmode=car" TargetMode="External"/><Relationship Id="rId3337" Type="http://schemas.openxmlformats.org/officeDocument/2006/relationships/hyperlink" Target="https://www.google.com/maps/dir/?api=1&amp;origin=Gymnasium+Kirchheim,+Heimstettner+Str.+3,+85551+Kirchheim+bei+M&#252;nchen&amp;destination=48.000368541980066,12.158928183084447&amp;travelmode=car" TargetMode="External"/><Relationship Id="rId3544" Type="http://schemas.openxmlformats.org/officeDocument/2006/relationships/hyperlink" Target="https://www.google.com/maps/dir/?api=1&amp;origin=Gymnasium+Kirchheim,+Heimstettner+Str.+3,+85551+Kirchheim+bei+M&#252;nchen&amp;destination=47.981055365640074,11.489371450790154&amp;travelmode=car" TargetMode="External"/><Relationship Id="rId258" Type="http://schemas.openxmlformats.org/officeDocument/2006/relationships/hyperlink" Target="https://www.google.com/maps/dir/?api=1&amp;origin=Gymnasium+Kirchheim,+Heimstettner+Str.+3,+85551+Kirchheim+bei+M&#252;nchen&amp;destination=48.26585928002098,12.170471317116936&amp;travelmode=car" TargetMode="External"/><Relationship Id="rId465" Type="http://schemas.openxmlformats.org/officeDocument/2006/relationships/hyperlink" Target="https://www.google.com/maps/dir/?api=1&amp;origin=Gymnasium+Kirchheim,+Heimstettner+Str.+3,+85551+Kirchheim+bei+M&#252;nchen&amp;destination=48.24655649474663,11.524005541398747&amp;travelmode=car" TargetMode="External"/><Relationship Id="rId672" Type="http://schemas.openxmlformats.org/officeDocument/2006/relationships/hyperlink" Target="https://www.google.com/maps/dir/?api=1&amp;origin=Gymnasium+Kirchheim,+Heimstettner+Str.+3,+85551+Kirchheim+bei+M&#252;nchen&amp;destination=48.22997639827922,11.870337526618448&amp;travelmode=car" TargetMode="External"/><Relationship Id="rId1095" Type="http://schemas.openxmlformats.org/officeDocument/2006/relationships/hyperlink" Target="https://www.google.com/maps/dir/?api=1&amp;origin=Gymnasium+Kirchheim,+Heimstettner+Str.+3,+85551+Kirchheim+bei+M&#252;nchen&amp;destination=48.19295896532159,11.67408503422851&amp;travelmode=car" TargetMode="External"/><Relationship Id="rId2146" Type="http://schemas.openxmlformats.org/officeDocument/2006/relationships/hyperlink" Target="https://www.google.com/maps/dir/?api=1&amp;origin=Gymnasium+Kirchheim,+Heimstettner+Str.+3,+85551+Kirchheim+bei+M&#252;nchen&amp;destination=48.10210946296957,11.616362491920484&amp;travelmode=car" TargetMode="External"/><Relationship Id="rId2353" Type="http://schemas.openxmlformats.org/officeDocument/2006/relationships/hyperlink" Target="https://www.google.com/maps/dir/?api=1&amp;origin=Gymnasium+Kirchheim,+Heimstettner+Str.+3,+85551+Kirchheim+bei+M&#252;nchen&amp;destination=48.0851781347525,11.97423267615872&amp;travelmode=car" TargetMode="External"/><Relationship Id="rId2560" Type="http://schemas.openxmlformats.org/officeDocument/2006/relationships/hyperlink" Target="https://www.google.com/maps/dir/?api=1&amp;origin=Gymnasium+Kirchheim,+Heimstettner+Str.+3,+85551+Kirchheim+bei+M&#252;nchen&amp;destination=48.06479279015108,11.304654858343824&amp;travelmode=car" TargetMode="External"/><Relationship Id="rId3404" Type="http://schemas.openxmlformats.org/officeDocument/2006/relationships/hyperlink" Target="https://www.google.com/maps/dir/?api=1&amp;origin=Gymnasium+Kirchheim,+Heimstettner+Str.+3,+85551+Kirchheim+bei+M&#252;nchen&amp;destination=47.994478826673344,11.916513461151142&amp;travelmode=car" TargetMode="External"/><Relationship Id="rId118" Type="http://schemas.openxmlformats.org/officeDocument/2006/relationships/hyperlink" Target="https://www.google.com/maps/dir/?api=1&amp;origin=Gymnasium+Kirchheim,+Heimstettner+Str.+3,+85551+Kirchheim+bei+M&#252;nchen&amp;destination=48.27678188916143,11.570184139943638&amp;travelmode=car" TargetMode="External"/><Relationship Id="rId325" Type="http://schemas.openxmlformats.org/officeDocument/2006/relationships/hyperlink" Target="https://www.google.com/maps/dir/?api=1&amp;origin=Gymnasium+Kirchheim,+Heimstettner+Str.+3,+85551+Kirchheim+bei+M&#252;nchen&amp;destination=48.25999382421311,11.928057368395926&amp;travelmode=car" TargetMode="External"/><Relationship Id="rId532" Type="http://schemas.openxmlformats.org/officeDocument/2006/relationships/hyperlink" Target="https://www.google.com/maps/dir/?api=1&amp;origin=Gymnasium+Kirchheim,+Heimstettner+Str.+3,+85551+Kirchheim+bei+M&#252;nchen&amp;destination=48.239340428457346,11.258475490819581&amp;travelmode=car" TargetMode="External"/><Relationship Id="rId1162" Type="http://schemas.openxmlformats.org/officeDocument/2006/relationships/hyperlink" Target="https://www.google.com/maps/dir/?api=1&amp;origin=Gymnasium+Kirchheim,+Heimstettner+Str.+3,+85551+Kirchheim+bei+M&#252;nchen&amp;destination=48.18605024512062,11.431647738327094&amp;travelmode=car" TargetMode="External"/><Relationship Id="rId2006" Type="http://schemas.openxmlformats.org/officeDocument/2006/relationships/hyperlink" Target="https://www.google.com/maps/dir/?api=1&amp;origin=Gymnasium+Kirchheim,+Heimstettner+Str.+3,+85551+Kirchheim+bei+M&#252;nchen&amp;destination=48.115143573609494,12.031951048971356&amp;travelmode=car" TargetMode="External"/><Relationship Id="rId2213" Type="http://schemas.openxmlformats.org/officeDocument/2006/relationships/hyperlink" Target="https://www.google.com/maps/dir/?api=1&amp;origin=Gymnasium+Kirchheim,+Heimstettner+Str.+3,+85551+Kirchheim+bei+M&#252;nchen&amp;destination=48.09507942279112,11.373923797311125&amp;travelmode=car" TargetMode="External"/><Relationship Id="rId2420" Type="http://schemas.openxmlformats.org/officeDocument/2006/relationships/hyperlink" Target="https://www.google.com/maps/dir/?api=1&amp;origin=Gymnasium+Kirchheim,+Heimstettner+Str.+3,+85551+Kirchheim+bei+M&#252;nchen&amp;destination=48.07890024905447,11.731807073753979&amp;travelmode=car" TargetMode="External"/><Relationship Id="rId1022" Type="http://schemas.openxmlformats.org/officeDocument/2006/relationships/hyperlink" Target="https://www.google.com/maps/dir/?api=1&amp;origin=Gymnasium+Kirchheim,+Heimstettner+Str.+3,+85551+Kirchheim+bei+M&#252;nchen&amp;destination=48.19974984443032,11.847249383329679&amp;travelmode=car" TargetMode="External"/><Relationship Id="rId1979" Type="http://schemas.openxmlformats.org/officeDocument/2006/relationships/hyperlink" Target="https://www.google.com/maps/dir/?api=1&amp;origin=Gymnasium+Kirchheim,+Heimstettner+Str.+3,+85551+Kirchheim+bei+M&#252;nchen&amp;destination=48.11684086644314,11.731807073753979&amp;travelmode=car" TargetMode="External"/><Relationship Id="rId3194" Type="http://schemas.openxmlformats.org/officeDocument/2006/relationships/hyperlink" Target="https://www.google.com/maps/dir/?api=1&amp;origin=Gymnasium+Kirchheim,+Heimstettner+Str.+3,+85551+Kirchheim+bei+M&#252;nchen&amp;destination=48.01132466693687,11.524005541398747&amp;travelmode=car" TargetMode="External"/><Relationship Id="rId1839" Type="http://schemas.openxmlformats.org/officeDocument/2006/relationships/hyperlink" Target="https://www.google.com/maps/dir/?api=1&amp;origin=Gymnasium+Kirchheim,+Heimstettner+Str.+3,+85551+Kirchheim+bei+M&#252;nchen&amp;destination=48.12955034302962,12.135841789424584&amp;travelmode=car" TargetMode="External"/><Relationship Id="rId3054" Type="http://schemas.openxmlformats.org/officeDocument/2006/relationships/hyperlink" Target="https://www.google.com/maps/dir/?api=1&amp;origin=Gymnasium+Kirchheim,+Heimstettner+Str.+3,+85551+Kirchheim+bei+M&#252;nchen&amp;destination=48.024691516941445,11.939601244041153&amp;travelmode=car" TargetMode="External"/><Relationship Id="rId182" Type="http://schemas.openxmlformats.org/officeDocument/2006/relationships/hyperlink" Target="https://www.google.com/maps/dir/?api=1&amp;origin=Gymnasium+Kirchheim,+Heimstettner+Str.+3,+85551+Kirchheim+bei+M&#252;nchen&amp;destination=48.26967905682151,11.293110020250275&amp;travelmode=car" TargetMode="External"/><Relationship Id="rId1906" Type="http://schemas.openxmlformats.org/officeDocument/2006/relationships/hyperlink" Target="https://www.google.com/maps/dir/?api=1&amp;origin=Gymnasium+Kirchheim,+Heimstettner+Str.+3,+85551+Kirchheim+bei+M&#252;nchen&amp;destination=48.12361210828996,11.893425553951282&amp;travelmode=car" TargetMode="External"/><Relationship Id="rId3261" Type="http://schemas.openxmlformats.org/officeDocument/2006/relationships/hyperlink" Target="https://www.google.com/maps/dir/?api=1&amp;origin=Gymnasium+Kirchheim,+Heimstettner+Str.+3,+85551+Kirchheim+bei+M&#252;nchen&amp;destination=48.0041005124114,11.281565179283442&amp;travelmode=car" TargetMode="External"/><Relationship Id="rId2070" Type="http://schemas.openxmlformats.org/officeDocument/2006/relationships/hyperlink" Target="https://www.google.com/maps/dir/?api=1&amp;origin=Gymnasium+Kirchheim,+Heimstettner+Str.+3,+85551+Kirchheim+bei+M&#252;nchen&amp;destination=48.10914990971505,11.754895734161472&amp;travelmode=car" TargetMode="External"/><Relationship Id="rId3121" Type="http://schemas.openxmlformats.org/officeDocument/2006/relationships/hyperlink" Target="https://www.google.com/maps/dir/?api=1&amp;origin=Gymnasium+Kirchheim,+Heimstettner+Str.+3,+85551+Kirchheim+bei+M&#252;nchen&amp;destination=48.01834084583263,11.69717391402856&amp;travelmode=car" TargetMode="External"/><Relationship Id="rId999" Type="http://schemas.openxmlformats.org/officeDocument/2006/relationships/hyperlink" Target="https://www.google.com/maps/dir/?api=1&amp;origin=Gymnasium+Kirchheim,+Heimstettner+Str.+3,+85551+Kirchheim+bei+M&#252;nchen&amp;destination=48.200865990954576,11.581728752359444&amp;travelmode=car" TargetMode="External"/><Relationship Id="rId2887" Type="http://schemas.openxmlformats.org/officeDocument/2006/relationships/hyperlink" Target="https://www.google.com/maps/dir/?api=1&amp;origin=Gymnasium+Kirchheim,+Heimstettner+Str.+3,+85551+Kirchheim+bei+M&#252;nchen&amp;destination=48.03918146212531,12.043494616728212&amp;travelmode=car" TargetMode="External"/><Relationship Id="rId859" Type="http://schemas.openxmlformats.org/officeDocument/2006/relationships/hyperlink" Target="https://www.google.com/maps/dir/?api=1&amp;origin=Gymnasium+Kirchheim,+Heimstettner+Str.+3,+85551+Kirchheim+bei+M&#252;nchen&amp;destination=48.21402487757531,11.997320130001427&amp;travelmode=car" TargetMode="External"/><Relationship Id="rId1489" Type="http://schemas.openxmlformats.org/officeDocument/2006/relationships/hyperlink" Target="https://www.google.com/maps/dir/?api=1&amp;origin=Gymnasium+Kirchheim,+Heimstettner+Str.+3,+85551+Kirchheim+bei+M&#252;nchen&amp;destination=48.15971913501247,12.158928183084447&amp;travelmode=car" TargetMode="External"/><Relationship Id="rId1696" Type="http://schemas.openxmlformats.org/officeDocument/2006/relationships/hyperlink" Target="https://www.google.com/maps/dir/?api=1&amp;origin=Gymnasium+Kirchheim,+Heimstettner+Str.+3,+85551+Kirchheim+bei+M&#252;nchen&amp;destination=48.14037938323544,11.500916160110199&amp;travelmode=car" TargetMode="External"/><Relationship Id="rId1349" Type="http://schemas.openxmlformats.org/officeDocument/2006/relationships/hyperlink" Target="https://www.google.com/maps/dir/?api=1&amp;origin=Gymnasium+Kirchheim,+Heimstettner+Str.+3,+85551+Kirchheim+bei+M&#252;nchen&amp;destination=48.170581668483294,11.55863951211732&amp;travelmode=car" TargetMode="External"/><Relationship Id="rId2747" Type="http://schemas.openxmlformats.org/officeDocument/2006/relationships/hyperlink" Target="https://www.google.com/maps/dir/?api=1&amp;origin=Gymnasium+Kirchheim,+Heimstettner+Str.+3,+85551+Kirchheim+bei+M&#252;nchen&amp;destination=48.04944322429231,11.44319250119349&amp;travelmode=car" TargetMode="External"/><Relationship Id="rId2954" Type="http://schemas.openxmlformats.org/officeDocument/2006/relationships/hyperlink" Target="https://www.google.com/maps/dir/?api=1&amp;origin=Gymnasium+Kirchheim,+Heimstettner+Str.+3,+85551+Kirchheim+bei+M&#252;nchen&amp;destination=48.033049144156,11.801072765593279&amp;travelmode=car" TargetMode="External"/><Relationship Id="rId719" Type="http://schemas.openxmlformats.org/officeDocument/2006/relationships/hyperlink" Target="https://www.google.com/maps/dir/?api=1&amp;origin=Gymnasium+Kirchheim,+Heimstettner+Str.+3,+85551+Kirchheim+bei+M&#252;nchen&amp;destination=48.22404632450599,11.397013396964736&amp;travelmode=car" TargetMode="External"/><Relationship Id="rId926" Type="http://schemas.openxmlformats.org/officeDocument/2006/relationships/hyperlink" Target="https://www.google.com/maps/dir/?api=1&amp;origin=Gymnasium+Kirchheim,+Heimstettner+Str.+3,+85551+Kirchheim+bei+M&#252;nchen&amp;destination=48.2077955149256,11.754895734161472&amp;travelmode=car" TargetMode="External"/><Relationship Id="rId1556" Type="http://schemas.openxmlformats.org/officeDocument/2006/relationships/hyperlink" Target="https://www.google.com/maps/dir/?api=1&amp;origin=Gymnasium+Kirchheim,+Heimstettner+Str.+3,+85551+Kirchheim+bei+M&#252;nchen&amp;destination=48.153829419705765,11.916513461151142&amp;travelmode=car" TargetMode="External"/><Relationship Id="rId1763" Type="http://schemas.openxmlformats.org/officeDocument/2006/relationships/hyperlink" Target="https://www.google.com/maps/dir/?api=1&amp;origin=Gymnasium+Kirchheim,+Heimstettner+Str.+3,+85551+Kirchheim+bei+M&#252;nchen&amp;destination=48.13310669976909,11.258475490819581&amp;travelmode=car" TargetMode="External"/><Relationship Id="rId1970" Type="http://schemas.openxmlformats.org/officeDocument/2006/relationships/hyperlink" Target="https://www.google.com/maps/dir/?api=1&amp;origin=Gymnasium+Kirchheim,+Heimstettner+Str.+3,+85551+Kirchheim+bei+M&#252;nchen&amp;destination=48.11728570992504,11.616362491920484&amp;travelmode=car" TargetMode="External"/><Relationship Id="rId2607" Type="http://schemas.openxmlformats.org/officeDocument/2006/relationships/hyperlink" Target="https://www.google.com/maps/dir/?api=1&amp;origin=Gymnasium+Kirchheim,+Heimstettner+Str.+3,+85551+Kirchheim+bei+M&#252;nchen&amp;destination=48.06310122945769,11.858793469207484&amp;travelmode=car" TargetMode="External"/><Relationship Id="rId2814" Type="http://schemas.openxmlformats.org/officeDocument/2006/relationships/hyperlink" Target="https://www.google.com/maps/dir/?api=1&amp;origin=Gymnasium+Kirchheim,+Heimstettner+Str.+3,+85551+Kirchheim+bei+M&#252;nchen&amp;destination=48.04551601736109,12.205100461762754&amp;travelmode=car" TargetMode="External"/><Relationship Id="rId55" Type="http://schemas.openxmlformats.org/officeDocument/2006/relationships/hyperlink" Target="https://www.google.com/maps/dir/?api=1&amp;origin=Gymnasium+Kirchheim,+Heimstettner+Str.+3,+85551+Kirchheim+bei+M&#252;nchen&amp;destination=48.28315681031197,11.858793469207484&amp;travelmode=car" TargetMode="External"/><Relationship Id="rId1209" Type="http://schemas.openxmlformats.org/officeDocument/2006/relationships/hyperlink" Target="https://www.google.com/maps/dir/?api=1&amp;origin=Gymnasium+Kirchheim,+Heimstettner+Str.+3,+85551+Kirchheim+bei+M&#252;nchen&amp;destination=48.18382373996304,11.97423267615872&amp;travelmode=car" TargetMode="External"/><Relationship Id="rId1416" Type="http://schemas.openxmlformats.org/officeDocument/2006/relationships/hyperlink" Target="https://www.google.com/maps/dir/?api=1&amp;origin=Gymnasium+Kirchheim,+Heimstettner+Str.+3,+85551+Kirchheim+bei+M&#252;nchen&amp;destination=48.16343030712958,11.316199693041677&amp;travelmode=car" TargetMode="External"/><Relationship Id="rId1623" Type="http://schemas.openxmlformats.org/officeDocument/2006/relationships/hyperlink" Target="https://www.google.com/maps/dir/?api=1&amp;origin=Gymnasium+Kirchheim,+Heimstettner+Str.+3,+85551+Kirchheim+bei+M&#252;nchen&amp;destination=48.147385162397214,11.685629484445332&amp;travelmode=car" TargetMode="External"/><Relationship Id="rId1830" Type="http://schemas.openxmlformats.org/officeDocument/2006/relationships/hyperlink" Target="https://www.google.com/maps/dir/?api=1&amp;origin=Gymnasium+Kirchheim,+Heimstettner+Str.+3,+85551+Kirchheim+bei+M&#252;nchen&amp;destination=48.13031982056495,12.031951048971356&amp;travelmode=car" TargetMode="External"/><Relationship Id="rId3588" Type="http://schemas.openxmlformats.org/officeDocument/2006/relationships/hyperlink" Target="https://www.google.com/maps/dir/?api=1&amp;origin=Gymnasium+Kirchheim,+Heimstettner+Str.+3,+85551+Kirchheim+bei+M&#252;nchen&amp;destination=47.978715638748135,12.00886380508597&amp;travelmode=car" TargetMode="External"/><Relationship Id="rId2397" Type="http://schemas.openxmlformats.org/officeDocument/2006/relationships/hyperlink" Target="https://www.google.com/maps/dir/?api=1&amp;origin=Gymnasium+Kirchheim,+Heimstettner+Str.+3,+85551+Kirchheim+bei+M&#252;nchen&amp;destination=48.07972639085021,11.477826729716085&amp;travelmode=car" TargetMode="External"/><Relationship Id="rId3448" Type="http://schemas.openxmlformats.org/officeDocument/2006/relationships/hyperlink" Target="https://www.google.com/maps/dir/?api=1&amp;origin=Gymnasium+Kirchheim,+Heimstettner+Str.+3,+85551+Kirchheim+bei+M&#252;nchen&amp;destination=47.988797164814095,11.408558185690326&amp;travelmode=car" TargetMode="External"/><Relationship Id="rId369" Type="http://schemas.openxmlformats.org/officeDocument/2006/relationships/hyperlink" Target="https://www.google.com/maps/dir/?api=1&amp;origin=Gymnasium+Kirchheim,+Heimstettner+Str.+3,+85551+Kirchheim+bei+M&#252;nchen&amp;destination=48.254362999202016,11.420102966318577&amp;travelmode=car" TargetMode="External"/><Relationship Id="rId576" Type="http://schemas.openxmlformats.org/officeDocument/2006/relationships/hyperlink" Target="https://www.google.com/maps/dir/?api=1&amp;origin=Gymnasium+Kirchheim,+Heimstettner+Str.+3,+85551+Kirchheim+bei+M&#252;nchen&amp;destination=48.238094859169344,11.766440028975659&amp;travelmode=car" TargetMode="External"/><Relationship Id="rId783" Type="http://schemas.openxmlformats.org/officeDocument/2006/relationships/hyperlink" Target="https://www.google.com/maps/dir/?api=1&amp;origin=Gymnasium+Kirchheim,+Heimstettner+Str.+3,+85551+Kirchheim+bei+M&#252;nchen&amp;destination=48.22060782476242,12.135841789424584&amp;travelmode=car" TargetMode="External"/><Relationship Id="rId990" Type="http://schemas.openxmlformats.org/officeDocument/2006/relationships/hyperlink" Target="https://www.google.com/maps/dir/?api=1&amp;origin=Gymnasium+Kirchheim,+Heimstettner+Str.+3,+85551+Kirchheim+bei+M&#252;nchen&amp;destination=48.20113636649396,11.477826729716085&amp;travelmode=car" TargetMode="External"/><Relationship Id="rId2257" Type="http://schemas.openxmlformats.org/officeDocument/2006/relationships/hyperlink" Target="https://www.google.com/maps/dir/?api=1&amp;origin=Gymnasium+Kirchheim,+Heimstettner+Str.+3,+85551+Kirchheim+bei+M&#252;nchen&amp;destination=48.09332547268162,11.881881555040426&amp;travelmode=car" TargetMode="External"/><Relationship Id="rId2464" Type="http://schemas.openxmlformats.org/officeDocument/2006/relationships/hyperlink" Target="https://www.google.com/maps/dir/?api=1&amp;origin=Gymnasium+Kirchheim,+Heimstettner+Str.+3,+85551+Kirchheim+bei+M&#252;nchen&amp;destination=48.075670947845566,12.228186338432307&amp;travelmode=car" TargetMode="External"/><Relationship Id="rId2671" Type="http://schemas.openxmlformats.org/officeDocument/2006/relationships/hyperlink" Target="https://www.google.com/maps/dir/?api=1&amp;origin=Gymnasium+Kirchheim,+Heimstettner+Str.+3,+85551+Kirchheim+bei+M&#252;nchen&amp;destination=48.05669164487763,11.581728752359444&amp;travelmode=car" TargetMode="External"/><Relationship Id="rId3308" Type="http://schemas.openxmlformats.org/officeDocument/2006/relationships/hyperlink" Target="https://www.google.com/maps/dir/?api=1&amp;origin=Gymnasium+Kirchheim,+Heimstettner+Str.+3,+85551+Kirchheim+bei+M&#252;nchen&amp;destination=48.00257995278908,11.824161128262173&amp;travelmode=car" TargetMode="External"/><Relationship Id="rId3515" Type="http://schemas.openxmlformats.org/officeDocument/2006/relationships/hyperlink" Target="https://www.google.com/maps/dir/?api=1&amp;origin=Gymnasium+Kirchheim,+Heimstettner+Str.+3,+85551+Kirchheim+bei+M&#252;nchen&amp;destination=47.9850039725319,12.182014408588692&amp;travelmode=car" TargetMode="External"/><Relationship Id="rId229" Type="http://schemas.openxmlformats.org/officeDocument/2006/relationships/hyperlink" Target="https://www.google.com/maps/dir/?api=1&amp;origin=Gymnasium+Kirchheim,+Heimstettner+Str.+3,+85551+Kirchheim+bei+M&#252;nchen&amp;destination=48.268104192782765,11.835705269507187&amp;travelmode=car" TargetMode="External"/><Relationship Id="rId436" Type="http://schemas.openxmlformats.org/officeDocument/2006/relationships/hyperlink" Target="https://www.google.com/maps/dir/?api=1&amp;origin=Gymnasium+Kirchheim,+Heimstettner+Str.+3,+85551+Kirchheim+bei+M&#252;nchen&amp;destination=48.250492400314634,12.193557456977898&amp;travelmode=car" TargetMode="External"/><Relationship Id="rId643" Type="http://schemas.openxmlformats.org/officeDocument/2006/relationships/hyperlink" Target="https://www.google.com/maps/dir/?api=1&amp;origin=Gymnasium+Kirchheim,+Heimstettner+Str.+3,+85551+Kirchheim+bei+M&#252;nchen&amp;destination=48.23135020605597,11.535550212322528&amp;travelmode=car" TargetMode="External"/><Relationship Id="rId1066" Type="http://schemas.openxmlformats.org/officeDocument/2006/relationships/hyperlink" Target="https://www.google.com/maps/dir/?api=1&amp;origin=Gymnasium+Kirchheim,+Heimstettner+Str.+3,+85551+Kirchheim+bei+M&#252;nchen&amp;destination=48.193763158198045,11.339289350160644&amp;travelmode=car" TargetMode="External"/><Relationship Id="rId1273" Type="http://schemas.openxmlformats.org/officeDocument/2006/relationships/hyperlink" Target="https://www.google.com/maps/dir/?api=1&amp;origin=Gymnasium+Kirchheim,+Heimstettner+Str.+3,+85551+Kirchheim+bei+M&#252;nchen&amp;destination=48.17769143886505,11.69717391402856&amp;travelmode=car" TargetMode="External"/><Relationship Id="rId1480" Type="http://schemas.openxmlformats.org/officeDocument/2006/relationships/hyperlink" Target="https://www.google.com/maps/dir/?api=1&amp;origin=Gymnasium+Kirchheim,+Heimstettner+Str.+3,+85551+Kirchheim+bei+M&#252;nchen&amp;destination=48.16050940584617,12.055038147665204&amp;travelmode=car" TargetMode="External"/><Relationship Id="rId2117" Type="http://schemas.openxmlformats.org/officeDocument/2006/relationships/hyperlink" Target="https://www.google.com/maps/dir/?api=1&amp;origin=Gymnasium+Kirchheim,+Heimstettner+Str.+3,+85551+Kirchheim+bei+M&#252;nchen&amp;destination=48.10274611762194,11.281565179283442&amp;travelmode=car" TargetMode="External"/><Relationship Id="rId2324" Type="http://schemas.openxmlformats.org/officeDocument/2006/relationships/hyperlink" Target="https://www.google.com/maps/dir/?api=1&amp;origin=Gymnasium+Kirchheim,+Heimstettner+Str.+3,+85551+Kirchheim+bei+M&#252;nchen&amp;destination=48.08685349045819,11.639451564999296&amp;travelmode=car" TargetMode="External"/><Relationship Id="rId850" Type="http://schemas.openxmlformats.org/officeDocument/2006/relationships/hyperlink" Target="https://www.google.com/maps/dir/?api=1&amp;origin=Gymnasium+Kirchheim,+Heimstettner+Str.+3,+85551+Kirchheim+bei+M&#252;nchen&amp;destination=48.21466959002276,11.893425553951282&amp;travelmode=car" TargetMode="External"/><Relationship Id="rId1133" Type="http://schemas.openxmlformats.org/officeDocument/2006/relationships/hyperlink" Target="https://www.google.com/maps/dir/?api=1&amp;origin=Gymnasium+Kirchheim,+Heimstettner+Str.+3,+85551+Kirchheim+bei+M&#252;nchen&amp;destination=48.19034544908401,12.12429853084091&amp;travelmode=car" TargetMode="External"/><Relationship Id="rId2531" Type="http://schemas.openxmlformats.org/officeDocument/2006/relationships/hyperlink" Target="https://www.google.com/maps/dir/?api=1&amp;origin=Gymnasium+Kirchheim,+Heimstettner+Str.+3,+85551+Kirchheim+bei+M&#252;nchen&amp;destination=48.06985053149836,11.997320130001427&amp;travelmode=car" TargetMode="External"/><Relationship Id="rId503" Type="http://schemas.openxmlformats.org/officeDocument/2006/relationships/hyperlink" Target="https://www.google.com/maps/dir/?api=1&amp;origin=Gymnasium+Kirchheim,+Heimstettner+Str.+3,+85551+Kirchheim+bei+M&#252;nchen&amp;destination=48.24467546305885,11.95114508756474&amp;travelmode=car" TargetMode="External"/><Relationship Id="rId710" Type="http://schemas.openxmlformats.org/officeDocument/2006/relationships/hyperlink" Target="https://www.google.com/maps/dir/?api=1&amp;origin=Gymnasium+Kirchheim,+Heimstettner+Str.+3,+85551+Kirchheim+bei+M&#252;nchen&amp;destination=48.22415031595509,11.293110020250275&amp;travelmode=car" TargetMode="External"/><Relationship Id="rId1340" Type="http://schemas.openxmlformats.org/officeDocument/2006/relationships/hyperlink" Target="https://www.google.com/maps/dir/?api=1&amp;origin=Gymnasium+Kirchheim,+Heimstettner+Str.+3,+85551+Kirchheim+bei+M&#252;nchen&amp;destination=48.170831246261365,11.454737254395377&amp;travelmode=car" TargetMode="External"/><Relationship Id="rId3098" Type="http://schemas.openxmlformats.org/officeDocument/2006/relationships/hyperlink" Target="https://www.google.com/maps/dir/?api=1&amp;origin=Gymnasium+Kirchheim,+Heimstettner+Str.+3,+85551+Kirchheim+bei+M&#252;nchen&amp;destination=48.01911152861048,11.431647738327094&amp;travelmode=car" TargetMode="External"/><Relationship Id="rId1200" Type="http://schemas.openxmlformats.org/officeDocument/2006/relationships/hyperlink" Target="https://www.google.com/maps/dir/?api=1&amp;origin=Gymnasium+Kirchheim,+Heimstettner+Str.+3,+85551+Kirchheim+bei+M&#252;nchen&amp;destination=48.18444765741281,11.870337526618448&amp;travelmode=car" TargetMode="External"/><Relationship Id="rId3165" Type="http://schemas.openxmlformats.org/officeDocument/2006/relationships/hyperlink" Target="https://www.google.com/maps/dir/?api=1&amp;origin=Gymnasium+Kirchheim,+Heimstettner+Str.+3,+85551+Kirchheim+bei+M&#252;nchen&amp;destination=48.01516352345015,12.205100461762754&amp;travelmode=car" TargetMode="External"/><Relationship Id="rId3372" Type="http://schemas.openxmlformats.org/officeDocument/2006/relationships/hyperlink" Target="https://www.google.com/maps/dir/?api=1&amp;origin=Gymnasium+Kirchheim,+Heimstettner+Str.+3,+85551+Kirchheim+bei+M&#252;nchen&amp;destination=47.99608718108333,11.547094869402834&amp;travelmode=car" TargetMode="External"/><Relationship Id="rId293" Type="http://schemas.openxmlformats.org/officeDocument/2006/relationships/hyperlink" Target="https://www.google.com/maps/dir/?api=1&amp;origin=Gymnasium+Kirchheim,+Heimstettner+Str.+3,+85551+Kirchheim+bei+M&#252;nchen&amp;destination=48.261639150216105,11.55863951211732&amp;travelmode=car" TargetMode="External"/><Relationship Id="rId2181" Type="http://schemas.openxmlformats.org/officeDocument/2006/relationships/hyperlink" Target="https://www.google.com/maps/dir/?api=1&amp;origin=Gymnasium+Kirchheim,+Heimstettner+Str.+3,+85551+Kirchheim+bei+M&#252;nchen&amp;destination=48.10004704813787,12.02040744491661&amp;travelmode=car" TargetMode="External"/><Relationship Id="rId3025" Type="http://schemas.openxmlformats.org/officeDocument/2006/relationships/hyperlink" Target="https://www.google.com/maps/dir/?api=1&amp;origin=Gymnasium+Kirchheim,+Heimstettner+Str.+3,+85551+Kirchheim+bei+M&#252;nchen&amp;destination=48.026266357861594,11.604817928870196&amp;travelmode=car" TargetMode="External"/><Relationship Id="rId3232" Type="http://schemas.openxmlformats.org/officeDocument/2006/relationships/hyperlink" Target="https://www.google.com/maps/dir/?api=1&amp;origin=Gymnasium+Kirchheim,+Heimstettner+Str.+3,+85551+Kirchheim+bei+M&#252;nchen&amp;destination=48.00944363524909,11.95114508756474&amp;travelmode=car" TargetMode="External"/><Relationship Id="rId153" Type="http://schemas.openxmlformats.org/officeDocument/2006/relationships/hyperlink" Target="https://www.google.com/maps/dir/?api=1&amp;origin=Gymnasium+Kirchheim,+Heimstettner+Str.+3,+85551+Kirchheim+bei+M&#252;nchen&amp;destination=48.27488122169585,11.97423267615872&amp;travelmode=car" TargetMode="External"/><Relationship Id="rId360" Type="http://schemas.openxmlformats.org/officeDocument/2006/relationships/hyperlink" Target="https://www.google.com/maps/dir/?api=1&amp;origin=Gymnasium+Kirchheim,+Heimstettner+Str.+3,+85551+Kirchheim+bei+M&#252;nchen&amp;destination=48.25448778886239,11.316199693041677&amp;travelmode=car" TargetMode="External"/><Relationship Id="rId2041" Type="http://schemas.openxmlformats.org/officeDocument/2006/relationships/hyperlink" Target="https://www.google.com/maps/dir/?api=1&amp;origin=Gymnasium+Kirchheim,+Heimstettner+Str.+3,+85551+Kirchheim+bei+M&#252;nchen&amp;destination=48.11018865312507,11.420102966318577&amp;travelmode=car" TargetMode="External"/><Relationship Id="rId220" Type="http://schemas.openxmlformats.org/officeDocument/2006/relationships/hyperlink" Target="https://www.google.com/maps/dir/?api=1&amp;origin=Gymnasium+Kirchheim,+Heimstettner+Str.+3,+85551+Kirchheim+bei+M&#252;nchen&amp;destination=48.268653019572156,11.720262709205143&amp;travelmode=car" TargetMode="External"/><Relationship Id="rId2998" Type="http://schemas.openxmlformats.org/officeDocument/2006/relationships/hyperlink" Target="https://www.google.com/maps/dir/?api=1&amp;origin=Gymnasium+Kirchheim,+Heimstettner+Str.+3,+85551+Kirchheim+bei+M&#252;nchen&amp;destination=48.02685910553402,11.293110020250275&amp;travelmode=car" TargetMode="External"/><Relationship Id="rId2858" Type="http://schemas.openxmlformats.org/officeDocument/2006/relationships/hyperlink" Target="https://www.google.com/maps/dir/?api=1&amp;origin=Gymnasium+Kirchheim,+Heimstettner+Str.+3,+85551+Kirchheim+bei+M&#252;nchen&amp;destination=48.04110521626583,11.69717391402856&amp;travelmode=car" TargetMode="External"/><Relationship Id="rId99" Type="http://schemas.openxmlformats.org/officeDocument/2006/relationships/hyperlink" Target="https://www.google.com/maps/dir/?api=1&amp;origin=Gymnasium+Kirchheim,+Heimstettner+Str.+3,+85551+Kirchheim+bei+M&#252;nchen&amp;destination=48.277220961844336,11.350834171536942&amp;travelmode=car" TargetMode="External"/><Relationship Id="rId1667" Type="http://schemas.openxmlformats.org/officeDocument/2006/relationships/hyperlink" Target="https://www.google.com/maps/dir/?api=1&amp;origin=Gymnasium+Kirchheim,+Heimstettner+Str.+3,+85551+Kirchheim+bei+M&#252;nchen&amp;destination=48.144354565564306,12.182014408588692&amp;travelmode=car" TargetMode="External"/><Relationship Id="rId1874" Type="http://schemas.openxmlformats.org/officeDocument/2006/relationships/hyperlink" Target="https://www.google.com/maps/dir/?api=1&amp;origin=Gymnasium+Kirchheim,+Heimstettner+Str.+3,+85551+Kirchheim+bei+M&#252;nchen&amp;destination=48.12514651910288,11.524005541398747&amp;travelmode=car" TargetMode="External"/><Relationship Id="rId2718" Type="http://schemas.openxmlformats.org/officeDocument/2006/relationships/hyperlink" Target="https://www.google.com/maps/dir/?api=1&amp;origin=Gymnasium+Kirchheim,+Heimstettner+Str.+3,+85551+Kirchheim+bei+M&#252;nchen&amp;destination=48.0537592264848,12.12429853084091&amp;travelmode=car" TargetMode="External"/><Relationship Id="rId2925" Type="http://schemas.openxmlformats.org/officeDocument/2006/relationships/hyperlink" Target="https://www.google.com/maps/dir/?api=1&amp;origin=Gymnasium+Kirchheim,+Heimstettner+Str.+3,+85551+Kirchheim+bei+M&#252;nchen&amp;destination=48.034221914543835,11.466281997410366&amp;travelmode=car" TargetMode="External"/><Relationship Id="rId1527" Type="http://schemas.openxmlformats.org/officeDocument/2006/relationships/hyperlink" Target="https://www.google.com/maps/dir/?api=1&amp;origin=Gymnasium+Kirchheim,+Heimstettner+Str.+3,+85551+Kirchheim+bei+M&#252;nchen&amp;destination=48.15533725008817,11.581728752359444&amp;travelmode=car" TargetMode="External"/><Relationship Id="rId1734" Type="http://schemas.openxmlformats.org/officeDocument/2006/relationships/hyperlink" Target="https://www.google.com/maps/dir/?api=1&amp;origin=Gymnasium+Kirchheim,+Heimstettner+Str.+3,+85551+Kirchheim+bei+M&#252;nchen&amp;destination=48.13851336910746,11.939601244041153&amp;travelmode=car" TargetMode="External"/><Relationship Id="rId1941" Type="http://schemas.openxmlformats.org/officeDocument/2006/relationships/hyperlink" Target="https://www.google.com/maps/dir/?api=1&amp;origin=Gymnasium+Kirchheim,+Heimstettner+Str.+3,+85551+Kirchheim+bei+M&#252;nchen&amp;destination=48.11792236457742,11.281565179283442&amp;travelmode=car" TargetMode="External"/><Relationship Id="rId26" Type="http://schemas.openxmlformats.org/officeDocument/2006/relationships/hyperlink" Target="https://www.google.com/maps/dir/?api=1&amp;origin=Gymnasium+Kirchheim,+Heimstettner+Str.+3,+85551+Kirchheim+bei+M&#252;nchen&amp;destination=48.28449711213529,11.524005541398747&amp;travelmode=car" TargetMode="External"/><Relationship Id="rId1801" Type="http://schemas.openxmlformats.org/officeDocument/2006/relationships/hyperlink" Target="https://www.google.com/maps/dir/?api=1&amp;origin=Gymnasium+Kirchheim,+Heimstettner+Str.+3,+85551+Kirchheim+bei+M&#252;nchen&amp;destination=48.13216269799862,11.69717391402856&amp;travelmode=car" TargetMode="External"/><Relationship Id="rId3559" Type="http://schemas.openxmlformats.org/officeDocument/2006/relationships/hyperlink" Target="https://www.google.com/maps/dir/?api=1&amp;origin=Gymnasium+Kirchheim,+Heimstettner+Str.+3,+85551+Kirchheim+bei+M&#252;nchen&amp;destination=47.98049150794504,11.67408503422851&amp;travelmode=car" TargetMode="External"/><Relationship Id="rId687" Type="http://schemas.openxmlformats.org/officeDocument/2006/relationships/hyperlink" Target="https://www.google.com/maps/dir/?api=1&amp;origin=Gymnasium+Kirchheim,+Heimstettner+Str.+3,+85551+Kirchheim+bei+M&#252;nchen&amp;destination=48.22888454906865,12.043494616728212&amp;travelmode=car" TargetMode="External"/><Relationship Id="rId2368" Type="http://schemas.openxmlformats.org/officeDocument/2006/relationships/hyperlink" Target="https://www.google.com/maps/dir/?api=1&amp;origin=Gymnasium+Kirchheim,+Heimstettner+Str.+3,+85551+Kirchheim+bei+M&#252;nchen&amp;destination=48.08393032877374,12.147385007013046&amp;travelmode=car" TargetMode="External"/><Relationship Id="rId894" Type="http://schemas.openxmlformats.org/officeDocument/2006/relationships/hyperlink" Target="https://www.google.com/maps/dir/?api=1&amp;origin=Gymnasium+Kirchheim,+Heimstettner+Str.+3,+85551+Kirchheim+bei+M&#252;nchen&amp;destination=48.20888625398056,11.385468600664204&amp;travelmode=car" TargetMode="External"/><Relationship Id="rId1177" Type="http://schemas.openxmlformats.org/officeDocument/2006/relationships/hyperlink" Target="https://www.google.com/maps/dir/?api=1&amp;origin=Gymnasium+Kirchheim,+Heimstettner+Str.+3,+85551+Kirchheim+bei+M&#252;nchen&amp;destination=48.185616950894,11.604817928870196&amp;travelmode=car" TargetMode="External"/><Relationship Id="rId2575" Type="http://schemas.openxmlformats.org/officeDocument/2006/relationships/hyperlink" Target="https://www.google.com/maps/dir/?api=1&amp;origin=Gymnasium+Kirchheim,+Heimstettner+Str.+3,+85551+Kirchheim+bei+M&#252;nchen&amp;destination=48.06452472389514,11.489371450790154&amp;travelmode=car" TargetMode="External"/><Relationship Id="rId2782" Type="http://schemas.openxmlformats.org/officeDocument/2006/relationships/hyperlink" Target="https://www.google.com/maps/dir/?api=1&amp;origin=Gymnasium+Kirchheim,+Heimstettner+Str.+3,+85551+Kirchheim+bei+M&#252;nchen&amp;destination=48.04798737487566,11.847249383329679&amp;travelmode=car" TargetMode="External"/><Relationship Id="rId3419" Type="http://schemas.openxmlformats.org/officeDocument/2006/relationships/hyperlink" Target="https://www.google.com/maps/dir/?api=1&amp;origin=Gymnasium+Kirchheim,+Heimstettner+Str.+3,+85551+Kirchheim+bei+M&#252;nchen&amp;destination=47.993317662341994,12.089668514337413&amp;travelmode=car" TargetMode="External"/><Relationship Id="rId547" Type="http://schemas.openxmlformats.org/officeDocument/2006/relationships/hyperlink" Target="https://www.google.com/maps/dir/?api=1&amp;origin=Gymnasium+Kirchheim,+Heimstettner+Str.+3,+85551+Kirchheim+bei+M&#252;nchen&amp;destination=48.23914631123565,11.44319250119349&amp;travelmode=car" TargetMode="External"/><Relationship Id="rId754" Type="http://schemas.openxmlformats.org/officeDocument/2006/relationships/hyperlink" Target="https://www.google.com/maps/dir/?api=1&amp;origin=Gymnasium+Kirchheim,+Heimstettner+Str.+3,+85551+Kirchheim+bei+M&#252;nchen&amp;destination=48.22275223109935,11.801072765593279&amp;travelmode=car" TargetMode="External"/><Relationship Id="rId961" Type="http://schemas.openxmlformats.org/officeDocument/2006/relationships/hyperlink" Target="https://www.google.com/maps/dir/?api=1&amp;origin=Gymnasium+Kirchheim,+Heimstettner+Str.+3,+85551+Kirchheim+bei+M&#252;nchen&amp;destination=48.20524787587887,12.158928183084447&amp;travelmode=car" TargetMode="External"/><Relationship Id="rId1384" Type="http://schemas.openxmlformats.org/officeDocument/2006/relationships/hyperlink" Target="https://www.google.com/maps/dir/?api=1&amp;origin=Gymnasium+Kirchheim,+Heimstettner+Str.+3,+85551+Kirchheim+bei+M&#252;nchen&amp;destination=48.16872143827582,11.962688898444616&amp;travelmode=car" TargetMode="External"/><Relationship Id="rId1591" Type="http://schemas.openxmlformats.org/officeDocument/2006/relationships/hyperlink" Target="https://www.google.com/maps/dir/?api=1&amp;origin=Gymnasium+Kirchheim,+Heimstettner+Str.+3,+85551+Kirchheim+bei+M&#252;nchen&amp;destination=48.148262148406154,11.304654858343824&amp;travelmode=car" TargetMode="External"/><Relationship Id="rId2228" Type="http://schemas.openxmlformats.org/officeDocument/2006/relationships/hyperlink" Target="https://www.google.com/maps/dir/?api=1&amp;origin=Gymnasium+Kirchheim,+Heimstettner+Str.+3,+85551+Kirchheim+bei+M&#252;nchen&amp;destination=48.094732786293875,11.547094869402834&amp;travelmode=car" TargetMode="External"/><Relationship Id="rId2435" Type="http://schemas.openxmlformats.org/officeDocument/2006/relationships/hyperlink" Target="https://www.google.com/maps/dir/?api=1&amp;origin=Gymnasium+Kirchheim,+Heimstettner+Str.+3,+85551+Kirchheim+bei+M&#252;nchen&amp;destination=48.07801635382238,11.90496952282889&amp;travelmode=car" TargetMode="External"/><Relationship Id="rId2642" Type="http://schemas.openxmlformats.org/officeDocument/2006/relationships/hyperlink" Target="https://www.google.com/maps/dir/?api=1&amp;origin=Gymnasium+Kirchheim,+Heimstettner+Str.+3,+85551+Kirchheim+bei+M&#252;nchen&amp;destination=48.057227775916665,11.246930644367383&amp;travelmode=car" TargetMode="External"/><Relationship Id="rId90" Type="http://schemas.openxmlformats.org/officeDocument/2006/relationships/hyperlink" Target="https://www.google.com/maps/dir/?api=1&amp;origin=Gymnasium+Kirchheim,+Heimstettner+Str.+3,+85551+Kirchheim+bei+M&#252;nchen&amp;destination=48.27728335677095,11.246930644367383&amp;travelmode=car" TargetMode="External"/><Relationship Id="rId407" Type="http://schemas.openxmlformats.org/officeDocument/2006/relationships/hyperlink" Target="https://www.google.com/maps/dir/?api=1&amp;origin=Gymnasium+Kirchheim,+Heimstettner+Str.+3,+85551+Kirchheim+bei+M&#252;nchen&amp;destination=48.25280431640104,11.858793469207484&amp;travelmode=car" TargetMode="External"/><Relationship Id="rId614" Type="http://schemas.openxmlformats.org/officeDocument/2006/relationships/hyperlink" Target="https://www.google.com/maps/dir/?api=1&amp;origin=Gymnasium+Kirchheim,+Heimstettner+Str.+3,+85551+Kirchheim+bei+M&#252;nchen&amp;destination=48.235120900141204,12.21664342242148&amp;travelmode=car" TargetMode="External"/><Relationship Id="rId821" Type="http://schemas.openxmlformats.org/officeDocument/2006/relationships/hyperlink" Target="https://www.google.com/maps/dir/?api=1&amp;origin=Gymnasium+Kirchheim,+Heimstettner+Str.+3,+85551+Kirchheim+bei+M&#252;nchen&amp;destination=48.216110409349696,11.55863951211732&amp;travelmode=car" TargetMode="External"/><Relationship Id="rId1037" Type="http://schemas.openxmlformats.org/officeDocument/2006/relationships/hyperlink" Target="https://www.google.com/maps/dir/?api=1&amp;origin=Gymnasium+Kirchheim,+Heimstettner+Str.+3,+85551+Kirchheim+bei+M&#252;nchen&amp;destination=48.19869265334841,12.02040744491661&amp;travelmode=car" TargetMode="External"/><Relationship Id="rId1244" Type="http://schemas.openxmlformats.org/officeDocument/2006/relationships/hyperlink" Target="https://www.google.com/maps/dir/?api=1&amp;origin=Gymnasium+Kirchheim,+Heimstettner+Str.+3,+85551+Kirchheim+bei+M&#252;nchen&amp;destination=48.178562646567975,11.362378987427904&amp;travelmode=car" TargetMode="External"/><Relationship Id="rId1451" Type="http://schemas.openxmlformats.org/officeDocument/2006/relationships/hyperlink" Target="https://www.google.com/maps/dir/?api=1&amp;origin=Gymnasium+Kirchheim,+Heimstettner+Str.+3,+85551+Kirchheim+bei+M&#252;nchen&amp;destination=48.16241929088389,11.720262709205143&amp;travelmode=car" TargetMode="External"/><Relationship Id="rId2502" Type="http://schemas.openxmlformats.org/officeDocument/2006/relationships/hyperlink" Target="https://www.google.com/maps/dir/?api=1&amp;origin=Gymnasium+Kirchheim,+Heimstettner+Str.+3,+85551+Kirchheim+bei+M&#252;nchen&amp;destination=48.0715928963468,11.66254056390037&amp;travelmode=car" TargetMode="External"/><Relationship Id="rId1104" Type="http://schemas.openxmlformats.org/officeDocument/2006/relationships/hyperlink" Target="https://www.google.com/maps/dir/?api=1&amp;origin=Gymnasium+Kirchheim,+Heimstettner+Str.+3,+85551+Kirchheim+bei+M&#252;nchen&amp;destination=48.19251181328048,11.777984299500497&amp;travelmode=car" TargetMode="External"/><Relationship Id="rId1311" Type="http://schemas.openxmlformats.org/officeDocument/2006/relationships/hyperlink" Target="https://www.google.com/maps/dir/?api=1&amp;origin=Gymnasium+Kirchheim,+Heimstettner+Str.+3,+85551+Kirchheim+bei+M&#252;nchen&amp;destination=48.17507908389602,12.135841789424584&amp;travelmode=car" TargetMode="External"/><Relationship Id="rId3069" Type="http://schemas.openxmlformats.org/officeDocument/2006/relationships/hyperlink" Target="https://www.google.com/maps/dir/?api=1&amp;origin=Gymnasium+Kirchheim,+Heimstettner+Str.+3,+85551+Kirchheim+bei+M&#252;nchen&amp;destination=48.023495695641735,12.112755231783899&amp;travelmode=car" TargetMode="External"/><Relationship Id="rId3276" Type="http://schemas.openxmlformats.org/officeDocument/2006/relationships/hyperlink" Target="https://www.google.com/maps/dir/?api=1&amp;origin=Gymnasium+Kirchheim,+Heimstettner+Str.+3,+85551+Kirchheim+bei+M&#252;nchen&amp;destination=48.00389252975123,11.454737254395377&amp;travelmode=car" TargetMode="External"/><Relationship Id="rId3483" Type="http://schemas.openxmlformats.org/officeDocument/2006/relationships/hyperlink" Target="https://www.google.com/maps/dir/?api=1&amp;origin=Gymnasium+Kirchheim,+Heimstettner+Str.+3,+85551+Kirchheim+bei+M&#252;nchen&amp;destination=47.987462632229644,11.81261696011681&amp;travelmode=car" TargetMode="External"/><Relationship Id="rId197" Type="http://schemas.openxmlformats.org/officeDocument/2006/relationships/hyperlink" Target="https://www.google.com/maps/dir/?api=1&amp;origin=Gymnasium+Kirchheim,+Heimstettner+Str.+3,+85551+Kirchheim+bei+M&#252;nchen&amp;destination=48.269453742353576,11.466281997410366&amp;travelmode=car" TargetMode="External"/><Relationship Id="rId2085" Type="http://schemas.openxmlformats.org/officeDocument/2006/relationships/hyperlink" Target="https://www.google.com/maps/dir/?api=1&amp;origin=Gymnasium+Kirchheim,+Heimstettner+Str.+3,+85551+Kirchheim+bei+M&#252;nchen&amp;destination=48.10823135465842,11.928057368395926&amp;travelmode=car" TargetMode="External"/><Relationship Id="rId2292" Type="http://schemas.openxmlformats.org/officeDocument/2006/relationships/hyperlink" Target="https://www.google.com/maps/dir/?api=1&amp;origin=Gymnasium+Kirchheim,+Heimstettner+Str.+3,+85551+Kirchheim+bei+M&#252;nchen&amp;destination=48.08757795890268,11.258475490819581&amp;travelmode=car" TargetMode="External"/><Relationship Id="rId3136" Type="http://schemas.openxmlformats.org/officeDocument/2006/relationships/hyperlink" Target="https://www.google.com/maps/dir/?api=1&amp;origin=Gymnasium+Kirchheim,+Heimstettner+Str.+3,+85551+Kirchheim+bei+M&#252;nchen&amp;destination=48.017508940902665,11.870337526618448&amp;travelmode=car" TargetMode="External"/><Relationship Id="rId3343" Type="http://schemas.openxmlformats.org/officeDocument/2006/relationships/hyperlink" Target="https://www.google.com/maps/dir/?api=1&amp;origin=Gymnasium+Kirchheim,+Heimstettner+Str.+3,+85551+Kirchheim+bei+M&#252;nchen&amp;destination=47.999789713068225,12.228186338432307&amp;travelmode=car" TargetMode="External"/><Relationship Id="rId264" Type="http://schemas.openxmlformats.org/officeDocument/2006/relationships/hyperlink" Target="https://www.google.com/maps/dir/?api=1&amp;origin=Gymnasium+Kirchheim,+Heimstettner+Str.+3,+85551+Kirchheim+bei+M&#252;nchen&amp;destination=48.26527352043416,12.239729209273484&amp;travelmode=car" TargetMode="External"/><Relationship Id="rId471" Type="http://schemas.openxmlformats.org/officeDocument/2006/relationships/hyperlink" Target="https://www.google.com/maps/dir/?api=1&amp;origin=Gymnasium+Kirchheim,+Heimstettner+Str.+3,+85551+Kirchheim+bei+M&#252;nchen&amp;destination=48.246394731820985,11.581728752359444&amp;travelmode=car" TargetMode="External"/><Relationship Id="rId2152" Type="http://schemas.openxmlformats.org/officeDocument/2006/relationships/hyperlink" Target="https://www.google.com/maps/dir/?api=1&amp;origin=Gymnasium+Kirchheim,+Heimstettner+Str.+3,+85551+Kirchheim+bei+M&#252;nchen&amp;destination=48.10185642153081,11.685629484445332&amp;travelmode=car" TargetMode="External"/><Relationship Id="rId3550" Type="http://schemas.openxmlformats.org/officeDocument/2006/relationships/hyperlink" Target="https://www.google.com/maps/dir/?api=1&amp;origin=Gymnasium+Kirchheim,+Heimstettner+Str.+3,+85551+Kirchheim+bei+M&#252;nchen&amp;destination=47.98087858153996,11.55863951211732&amp;travelmode=car" TargetMode="External"/><Relationship Id="rId124" Type="http://schemas.openxmlformats.org/officeDocument/2006/relationships/hyperlink" Target="https://www.google.com/maps/dir/?api=1&amp;origin=Gymnasium+Kirchheim,+Heimstettner+Str.+3,+85551+Kirchheim+bei+M&#252;nchen&amp;destination=48.27655657740153,11.639451564999296&amp;travelmode=car" TargetMode="External"/><Relationship Id="rId3203" Type="http://schemas.openxmlformats.org/officeDocument/2006/relationships/hyperlink" Target="https://www.google.com/maps/dir/?api=1&amp;origin=Gymnasium+Kirchheim,+Heimstettner+Str.+3,+85551+Kirchheim+bei+M&#252;nchen&amp;destination=48.01101269616055,11.627907037470955&amp;travelmode=car" TargetMode="External"/><Relationship Id="rId3410" Type="http://schemas.openxmlformats.org/officeDocument/2006/relationships/hyperlink" Target="https://www.google.com/maps/dir/?api=1&amp;origin=Gymnasium+Kirchheim,+Heimstettner+Str.+3,+85551+Kirchheim+bei+M&#252;nchen&amp;destination=47.99404555249525,11.985776420185003&amp;travelmode=car" TargetMode="External"/><Relationship Id="rId331" Type="http://schemas.openxmlformats.org/officeDocument/2006/relationships/hyperlink" Target="https://www.google.com/maps/dir/?api=1&amp;origin=Gymnasium+Kirchheim,+Heimstettner+Str.+3,+85551+Kirchheim+bei+M&#252;nchen&amp;destination=48.25955361844172,11.997320130001427&amp;travelmode=car" TargetMode="External"/><Relationship Id="rId2012" Type="http://schemas.openxmlformats.org/officeDocument/2006/relationships/hyperlink" Target="https://www.google.com/maps/dir/?api=1&amp;origin=Gymnasium+Kirchheim,+Heimstettner+Str.+3,+85551+Kirchheim+bei+M&#252;nchen&amp;destination=48.11464098527007,12.101211892775435&amp;travelmode=car" TargetMode="External"/><Relationship Id="rId2969" Type="http://schemas.openxmlformats.org/officeDocument/2006/relationships/hyperlink" Target="https://www.google.com/maps/dir/?api=1&amp;origin=Gymnasium+Kirchheim,+Heimstettner+Str.+3,+85551+Kirchheim+bei+M&#252;nchen&amp;destination=48.03198616988393,11.985776420185003&amp;travelmode=car" TargetMode="External"/><Relationship Id="rId1778" Type="http://schemas.openxmlformats.org/officeDocument/2006/relationships/hyperlink" Target="https://www.google.com/maps/dir/?api=1&amp;origin=Gymnasium+Kirchheim,+Heimstettner+Str.+3,+85551+Kirchheim+bei+M&#252;nchen&amp;destination=48.132933380776485,11.431647738327094&amp;travelmode=car" TargetMode="External"/><Relationship Id="rId1985" Type="http://schemas.openxmlformats.org/officeDocument/2006/relationships/hyperlink" Target="https://www.google.com/maps/dir/?api=1&amp;origin=Gymnasium+Kirchheim,+Heimstettner+Str.+3,+85551+Kirchheim+bei+M&#252;nchen&amp;destination=48.116575118130044,11.789528545213775&amp;travelmode=car" TargetMode="External"/><Relationship Id="rId2829" Type="http://schemas.openxmlformats.org/officeDocument/2006/relationships/hyperlink" Target="https://www.google.com/maps/dir/?api=1&amp;origin=Gymnasium+Kirchheim,+Heimstettner+Str.+3,+85551+Kirchheim+bei+M&#252;nchen&amp;destination=48.04196255844699,11.373923797311125&amp;travelmode=car" TargetMode="External"/><Relationship Id="rId1638" Type="http://schemas.openxmlformats.org/officeDocument/2006/relationships/hyperlink" Target="https://www.google.com/maps/dir/?api=1&amp;origin=Gymnasium+Kirchheim,+Heimstettner+Str.+3,+85551+Kirchheim+bei+M&#252;nchen&amp;destination=48.14663298008619,11.847249383329679&amp;travelmode=car" TargetMode="External"/><Relationship Id="rId1845" Type="http://schemas.openxmlformats.org/officeDocument/2006/relationships/hyperlink" Target="https://www.google.com/maps/dir/?api=1&amp;origin=Gymnasium+Kirchheim,+Heimstettner+Str.+3,+85551+Kirchheim+bei+M&#252;nchen&amp;destination=48.128985375616146,12.205100461762754&amp;travelmode=car" TargetMode="External"/><Relationship Id="rId3060" Type="http://schemas.openxmlformats.org/officeDocument/2006/relationships/hyperlink" Target="https://www.google.com/maps/dir/?api=1&amp;origin=Gymnasium+Kirchheim,+Heimstettner+Str.+3,+85551+Kirchheim+bei+M&#252;nchen&amp;destination=48.02424437961454,12.00886380508597&amp;travelmode=car" TargetMode="External"/><Relationship Id="rId1705" Type="http://schemas.openxmlformats.org/officeDocument/2006/relationships/hyperlink" Target="https://www.google.com/maps/dir/?api=1&amp;origin=Gymnasium+Kirchheim,+Heimstettner+Str.+3,+85551+Kirchheim+bei+M&#252;nchen&amp;destination=48.140088210027606,11.604817928870196&amp;travelmode=car" TargetMode="External"/><Relationship Id="rId1912" Type="http://schemas.openxmlformats.org/officeDocument/2006/relationships/hyperlink" Target="https://www.google.com/maps/dir/?api=1&amp;origin=Gymnasium+Kirchheim,+Heimstettner+Str.+3,+85551+Kirchheim+bei+M&#252;nchen&amp;destination=48.123192697409415,11.962688898444616&amp;travelmode=car" TargetMode="External"/><Relationship Id="rId798" Type="http://schemas.openxmlformats.org/officeDocument/2006/relationships/hyperlink" Target="https://www.google.com/maps/dir/?api=1&amp;origin=Gymnasium+Kirchheim,+Heimstettner+Str.+3,+85551+Kirchheim+bei+M&#252;nchen&amp;destination=48.216562192477355,11.293110020250275&amp;travelmode=car" TargetMode="External"/><Relationship Id="rId2479" Type="http://schemas.openxmlformats.org/officeDocument/2006/relationships/hyperlink" Target="https://www.google.com/maps/dir/?api=1&amp;origin=Gymnasium+Kirchheim,+Heimstettner+Str.+3,+85551+Kirchheim+bei+M&#252;nchen&amp;destination=48.07228385495131,11.397013396964736&amp;travelmode=car" TargetMode="External"/><Relationship Id="rId2686" Type="http://schemas.openxmlformats.org/officeDocument/2006/relationships/hyperlink" Target="https://www.google.com/maps/dir/?api=1&amp;origin=Gymnasium+Kirchheim,+Heimstettner+Str.+3,+85551+Kirchheim+bei+M&#252;nchen&amp;destination=48.05603304537092,11.754895734161472&amp;travelmode=car" TargetMode="External"/><Relationship Id="rId2893" Type="http://schemas.openxmlformats.org/officeDocument/2006/relationships/hyperlink" Target="https://www.google.com/maps/dir/?api=1&amp;origin=Gymnasium+Kirchheim,+Heimstettner+Str.+3,+85551+Kirchheim+bei+M&#252;nchen&amp;destination=48.0386719425972,12.112755231783899&amp;travelmode=car" TargetMode="External"/><Relationship Id="rId658" Type="http://schemas.openxmlformats.org/officeDocument/2006/relationships/hyperlink" Target="https://www.google.com/maps/dir/?api=1&amp;origin=Gymnasium+Kirchheim,+Heimstettner+Str.+3,+85551+Kirchheim+bei+M&#252;nchen&amp;destination=48.23076093038487,11.708718322455919&amp;travelmode=car" TargetMode="External"/><Relationship Id="rId865" Type="http://schemas.openxmlformats.org/officeDocument/2006/relationships/hyperlink" Target="https://www.google.com/maps/dir/?api=1&amp;origin=Gymnasium+Kirchheim,+Heimstettner+Str.+3,+85551+Kirchheim+bei+M&#252;nchen&amp;destination=48.213543083058426,12.066581641260367&amp;travelmode=car" TargetMode="External"/><Relationship Id="rId1288" Type="http://schemas.openxmlformats.org/officeDocument/2006/relationships/hyperlink" Target="https://www.google.com/maps/dir/?api=1&amp;origin=Gymnasium+Kirchheim,+Heimstettner+Str.+3,+85551+Kirchheim+bei+M&#252;nchen&amp;destination=48.176923081623706,11.858793469207484&amp;travelmode=car" TargetMode="External"/><Relationship Id="rId1495" Type="http://schemas.openxmlformats.org/officeDocument/2006/relationships/hyperlink" Target="https://www.google.com/maps/dir/?api=1&amp;origin=Gymnasium+Kirchheim,+Heimstettner+Str.+3,+85551+Kirchheim+bei+M&#252;nchen&amp;destination=48.15914030610064,12.228186338432307&amp;travelmode=car" TargetMode="External"/><Relationship Id="rId2339" Type="http://schemas.openxmlformats.org/officeDocument/2006/relationships/hyperlink" Target="https://www.google.com/maps/dir/?api=1&amp;origin=Gymnasium+Kirchheim,+Heimstettner+Str.+3,+85551+Kirchheim+bei+M&#252;nchen&amp;destination=48.08610823744018,11.81261696011681&amp;travelmode=car" TargetMode="External"/><Relationship Id="rId2546" Type="http://schemas.openxmlformats.org/officeDocument/2006/relationships/hyperlink" Target="https://www.google.com/maps/dir/?api=1&amp;origin=Gymnasium+Kirchheim,+Heimstettner+Str.+3,+85551+Kirchheim+bei+M&#252;nchen&amp;destination=48.0685680695999,12.170471317116936&amp;travelmode=car" TargetMode="External"/><Relationship Id="rId2753" Type="http://schemas.openxmlformats.org/officeDocument/2006/relationships/hyperlink" Target="https://www.google.com/maps/dir/?api=1&amp;origin=Gymnasium+Kirchheim,+Heimstettner+Str.+3,+85551+Kirchheim+bei+M&#252;nchen&amp;destination=48.04929417063047,11.512460857153851&amp;travelmode=car" TargetMode="External"/><Relationship Id="rId2960" Type="http://schemas.openxmlformats.org/officeDocument/2006/relationships/hyperlink" Target="https://www.google.com/maps/dir/?api=1&amp;origin=Gymnasium+Kirchheim,+Heimstettner+Str.+3,+85551+Kirchheim+bei+M&#252;nchen&amp;destination=48.03274873554676,11.858793469207484&amp;travelmode=car" TargetMode="External"/><Relationship Id="rId518" Type="http://schemas.openxmlformats.org/officeDocument/2006/relationships/hyperlink" Target="https://www.google.com/maps/dir/?api=1&amp;origin=Gymnasium+Kirchheim,+Heimstettner+Str.+3,+85551+Kirchheim+bei+M&#252;nchen&amp;destination=48.243462313428154,12.12429853084091&amp;travelmode=car" TargetMode="External"/><Relationship Id="rId725" Type="http://schemas.openxmlformats.org/officeDocument/2006/relationships/hyperlink" Target="https://www.google.com/maps/dir/?api=1&amp;origin=Gymnasium+Kirchheim,+Heimstettner+Str.+3,+85551+Kirchheim+bei+M&#252;nchen&amp;destination=48.223925001487174,11.466281997410366&amp;travelmode=car" TargetMode="External"/><Relationship Id="rId932" Type="http://schemas.openxmlformats.org/officeDocument/2006/relationships/hyperlink" Target="https://www.google.com/maps/dir/?api=1&amp;origin=Gymnasium+Kirchheim,+Heimstettner+Str.+3,+85551+Kirchheim+bei+M&#252;nchen&amp;destination=48.2074592866879,11.824161128262173&amp;travelmode=car" TargetMode="External"/><Relationship Id="rId1148" Type="http://schemas.openxmlformats.org/officeDocument/2006/relationships/hyperlink" Target="https://www.google.com/maps/dir/?api=1&amp;origin=Gymnasium+Kirchheim,+Heimstettner+Str.+3,+85551+Kirchheim+bei+M&#252;nchen&amp;destination=48.18622009772608,11.27002033596574&amp;travelmode=car" TargetMode="External"/><Relationship Id="rId1355" Type="http://schemas.openxmlformats.org/officeDocument/2006/relationships/hyperlink" Target="https://www.google.com/maps/dir/?api=1&amp;origin=Gymnasium+Kirchheim,+Heimstettner+Str.+3,+85551+Kirchheim+bei+M&#252;nchen&amp;destination=48.17036328919295,11.627907037470955&amp;travelmode=car" TargetMode="External"/><Relationship Id="rId1562" Type="http://schemas.openxmlformats.org/officeDocument/2006/relationships/hyperlink" Target="https://www.google.com/maps/dir/?api=1&amp;origin=Gymnasium+Kirchheim,+Heimstettner+Str.+3,+85551+Kirchheim+bei+M&#252;nchen&amp;destination=48.15339614552766,11.985776420185003&amp;travelmode=car" TargetMode="External"/><Relationship Id="rId2406" Type="http://schemas.openxmlformats.org/officeDocument/2006/relationships/hyperlink" Target="https://www.google.com/maps/dir/?api=1&amp;origin=Gymnasium+Kirchheim,+Heimstettner+Str.+3,+85551+Kirchheim+bei+M&#252;nchen&amp;destination=48.07949067874034,11.570184139943638&amp;travelmode=car" TargetMode="External"/><Relationship Id="rId2613" Type="http://schemas.openxmlformats.org/officeDocument/2006/relationships/hyperlink" Target="https://www.google.com/maps/dir/?api=1&amp;origin=Gymnasium+Kirchheim,+Heimstettner+Str.+3,+85551+Kirchheim+bei+M&#252;nchen&amp;destination=48.06270261379203,11.928057368395926&amp;travelmode=car" TargetMode="External"/><Relationship Id="rId1008" Type="http://schemas.openxmlformats.org/officeDocument/2006/relationships/hyperlink" Target="https://www.google.com/maps/dir/?api=1&amp;origin=Gymnasium+Kirchheim,+Heimstettner+Str.+3,+85551+Kirchheim+bei+M&#252;nchen&amp;destination=48.20050202674134,11.685629484445332&amp;travelmode=car" TargetMode="External"/><Relationship Id="rId1215" Type="http://schemas.openxmlformats.org/officeDocument/2006/relationships/hyperlink" Target="https://www.google.com/maps/dir/?api=1&amp;origin=Gymnasium+Kirchheim,+Heimstettner+Str.+3,+85551+Kirchheim+bei+M&#252;nchen&amp;destination=48.18327377627938,12.055038147665204&amp;travelmode=car" TargetMode="External"/><Relationship Id="rId1422" Type="http://schemas.openxmlformats.org/officeDocument/2006/relationships/hyperlink" Target="https://www.google.com/maps/dir/?api=1&amp;origin=Gymnasium+Kirchheim,+Heimstettner+Str.+3,+85551+Kirchheim+bei+M&#252;nchen&amp;destination=48.163357513114164,11.385468600664204&amp;travelmode=car" TargetMode="External"/><Relationship Id="rId2820" Type="http://schemas.openxmlformats.org/officeDocument/2006/relationships/hyperlink" Target="https://www.google.com/maps/dir/?api=1&amp;origin=Gymnasium+Kirchheim,+Heimstettner+Str.+3,+85551+Kirchheim+bei+M&#252;nchen&amp;destination=48.042045751649134,11.27002033596574&amp;travelmode=car" TargetMode="External"/><Relationship Id="rId61" Type="http://schemas.openxmlformats.org/officeDocument/2006/relationships/hyperlink" Target="https://www.google.com/maps/dir/?api=1&amp;origin=Gymnasium+Kirchheim,+Heimstettner+Str.+3,+85551+Kirchheim+bei+M&#252;nchen&amp;destination=48.28275819464631,11.928057368395926&amp;travelmode=car" TargetMode="External"/><Relationship Id="rId3387" Type="http://schemas.openxmlformats.org/officeDocument/2006/relationships/hyperlink" Target="https://www.google.com/maps/dir/?api=1&amp;origin=Gymnasium+Kirchheim,+Heimstettner+Str.+3,+85551+Kirchheim+bei+M&#252;nchen&amp;destination=47.995480574373744,11.720262709205143&amp;travelmode=car" TargetMode="External"/><Relationship Id="rId2196" Type="http://schemas.openxmlformats.org/officeDocument/2006/relationships/hyperlink" Target="https://www.google.com/maps/dir/?api=1&amp;origin=Gymnasium+Kirchheim,+Heimstettner+Str.+3,+85551+Kirchheim+bei+M&#252;nchen&amp;destination=48.098729930759966,12.193557456977898&amp;travelmode=car" TargetMode="External"/><Relationship Id="rId3594" Type="http://schemas.openxmlformats.org/officeDocument/2006/relationships/hyperlink" Target="https://www.google.com/maps/dir/?api=1&amp;origin=Gymnasium+Kirchheim,+Heimstettner+Str.+3,+85551+Kirchheim+bei+M&#252;nchen&amp;destination=47.97822691291492,12.078125096991752&amp;travelmode=car" TargetMode="External"/><Relationship Id="rId168" Type="http://schemas.openxmlformats.org/officeDocument/2006/relationships/hyperlink" Target="https://www.google.com/maps/dir/?api=1&amp;origin=Gymnasium+Kirchheim,+Heimstettner+Str.+3,+85551+Kirchheim+bei+M&#252;nchen&amp;destination=48.27363341571708,12.147385007013046&amp;travelmode=car" TargetMode="External"/><Relationship Id="rId3247" Type="http://schemas.openxmlformats.org/officeDocument/2006/relationships/hyperlink" Target="https://www.google.com/maps/dir/?api=1&amp;origin=Gymnasium+Kirchheim,+Heimstettner+Str.+3,+85551+Kirchheim+bei+M&#252;nchen&amp;destination=48.00814036738587,12.135841789424584&amp;travelmode=car" TargetMode="External"/><Relationship Id="rId3454" Type="http://schemas.openxmlformats.org/officeDocument/2006/relationships/hyperlink" Target="https://www.google.com/maps/dir/?api=1&amp;origin=Gymnasium+Kirchheim,+Heimstettner+Str.+3,+85551+Kirchheim+bei+M&#252;nchen&amp;destination=47.98866890911742,11.477826729716085&amp;travelmode=car" TargetMode="External"/><Relationship Id="rId375" Type="http://schemas.openxmlformats.org/officeDocument/2006/relationships/hyperlink" Target="https://www.google.com/maps/dir/?api=1&amp;origin=Gymnasium+Kirchheim,+Heimstettner+Str.+3,+85551+Kirchheim+bei+M&#252;nchen&amp;destination=48.254227810838486,11.489371450790154&amp;travelmode=car" TargetMode="External"/><Relationship Id="rId582" Type="http://schemas.openxmlformats.org/officeDocument/2006/relationships/hyperlink" Target="https://www.google.com/maps/dir/?api=1&amp;origin=Gymnasium+Kirchheim,+Heimstettner+Str.+3,+85551+Kirchheim+bei+M&#252;nchen&amp;destination=48.23775169887182,11.835705269507187&amp;travelmode=car" TargetMode="External"/><Relationship Id="rId2056" Type="http://schemas.openxmlformats.org/officeDocument/2006/relationships/hyperlink" Target="https://www.google.com/maps/dir/?api=1&amp;origin=Gymnasium+Kirchheim,+Heimstettner+Str.+3,+85551+Kirchheim+bei+M&#252;nchen&amp;destination=48.10977269037588,11.593273348842407&amp;travelmode=car" TargetMode="External"/><Relationship Id="rId2263" Type="http://schemas.openxmlformats.org/officeDocument/2006/relationships/hyperlink" Target="https://www.google.com/maps/dir/?api=1&amp;origin=Gymnasium+Kirchheim,+Heimstettner+Str.+3,+85551+Kirchheim+bei+M&#252;nchen&amp;destination=48.092912993504164,11.95114508756474&amp;travelmode=car" TargetMode="External"/><Relationship Id="rId2470" Type="http://schemas.openxmlformats.org/officeDocument/2006/relationships/hyperlink" Target="https://www.google.com/maps/dir/?api=1&amp;origin=Gymnasium+Kirchheim,+Heimstettner+Str.+3,+85551+Kirchheim+bei+M&#252;nchen&amp;destination=48.07238784640042,11.293110020250275&amp;travelmode=car" TargetMode="External"/><Relationship Id="rId3107" Type="http://schemas.openxmlformats.org/officeDocument/2006/relationships/hyperlink" Target="https://www.google.com/maps/dir/?api=1&amp;origin=Gymnasium+Kirchheim,+Heimstettner+Str.+3,+85551+Kirchheim+bei+M&#252;nchen&amp;destination=48.01888274867943,11.535550212322528&amp;travelmode=car" TargetMode="External"/><Relationship Id="rId3314" Type="http://schemas.openxmlformats.org/officeDocument/2006/relationships/hyperlink" Target="https://www.google.com/maps/dir/?api=1&amp;origin=Gymnasium+Kirchheim,+Heimstettner+Str.+3,+85551+Kirchheim+bei+M&#252;nchen&amp;destination=48.00220213264621,11.893425553951282&amp;travelmode=car" TargetMode="External"/><Relationship Id="rId3521" Type="http://schemas.openxmlformats.org/officeDocument/2006/relationships/hyperlink" Target="https://www.google.com/maps/dir/?api=1&amp;origin=Gymnasium+Kirchheim,+Heimstettner+Str.+3,+85551+Kirchheim+bei+M&#252;nchen&amp;destination=47.981347696601865,11.235385797131558&amp;travelmode=car" TargetMode="External"/><Relationship Id="rId235" Type="http://schemas.openxmlformats.org/officeDocument/2006/relationships/hyperlink" Target="https://www.google.com/maps/dir/?api=1&amp;origin=Gymnasium+Kirchheim,+Heimstettner+Str.+3,+85551+Kirchheim+bei+M&#252;nchen&amp;destination=48.267719440765724,11.90496952282889&amp;travelmode=car" TargetMode="External"/><Relationship Id="rId442" Type="http://schemas.openxmlformats.org/officeDocument/2006/relationships/hyperlink" Target="https://www.google.com/maps/dir/?api=1&amp;origin=Gymnasium+Kirchheim,+Heimstettner+Str.+3,+85551+Kirchheim+bei+M&#252;nchen&amp;destination=48.24693086286001,11.246930644367383&amp;travelmode=car" TargetMode="External"/><Relationship Id="rId1072" Type="http://schemas.openxmlformats.org/officeDocument/2006/relationships/hyperlink" Target="https://www.google.com/maps/dir/?api=1&amp;origin=Gymnasium+Kirchheim,+Heimstettner+Str.+3,+85551+Kirchheim+bei+M&#252;nchen&amp;destination=48.1936764987129,11.408558185690326&amp;travelmode=car" TargetMode="External"/><Relationship Id="rId2123" Type="http://schemas.openxmlformats.org/officeDocument/2006/relationships/hyperlink" Target="https://www.google.com/maps/dir/?api=1&amp;origin=Gymnasium+Kirchheim,+Heimstettner+Str.+3,+85551+Kirchheim+bei+M&#252;nchen&amp;destination=48.10269412185646,11.350834171536942&amp;travelmode=car" TargetMode="External"/><Relationship Id="rId2330" Type="http://schemas.openxmlformats.org/officeDocument/2006/relationships/hyperlink" Target="https://www.google.com/maps/dir/?api=1&amp;origin=Gymnasium+Kirchheim,+Heimstettner+Str.+3,+85551+Kirchheim+bei+M&#252;nchen&amp;destination=48.086586584307945,11.708718322455919&amp;travelmode=car" TargetMode="External"/><Relationship Id="rId302" Type="http://schemas.openxmlformats.org/officeDocument/2006/relationships/hyperlink" Target="https://www.google.com/maps/dir/?api=1&amp;origin=Gymnasium+Kirchheim,+Heimstettner+Str.+3,+85551+Kirchheim+bei+M&#252;nchen&amp;destination=48.26129598329015,11.66254056390037&amp;travelmode=car" TargetMode="External"/><Relationship Id="rId1889" Type="http://schemas.openxmlformats.org/officeDocument/2006/relationships/hyperlink" Target="https://www.google.com/maps/dir/?api=1&amp;origin=Gymnasium+Kirchheim,+Heimstettner+Str.+3,+85551+Kirchheim+bei+M&#252;nchen&amp;destination=48.1245745745209,11.69717391402856&amp;travelmode=car" TargetMode="External"/><Relationship Id="rId1749" Type="http://schemas.openxmlformats.org/officeDocument/2006/relationships/hyperlink" Target="https://www.google.com/maps/dir/?api=1&amp;origin=Gymnasium+Kirchheim,+Heimstettner+Str.+3,+85551+Kirchheim+bei+M&#252;nchen&amp;destination=48.13722858473988,12.12429853084091&amp;travelmode=car" TargetMode="External"/><Relationship Id="rId1956" Type="http://schemas.openxmlformats.org/officeDocument/2006/relationships/hyperlink" Target="https://www.google.com/maps/dir/?api=1&amp;origin=Gymnasium+Kirchheim,+Heimstettner+Str.+3,+85551+Kirchheim+bei+M&#252;nchen&amp;destination=48.11771438191724,11.454737254395377&amp;travelmode=car" TargetMode="External"/><Relationship Id="rId3171" Type="http://schemas.openxmlformats.org/officeDocument/2006/relationships/hyperlink" Target="https://www.google.com/maps/dir/?api=1&amp;origin=Gymnasium+Kirchheim,+Heimstettner+Str.+3,+85551+Kirchheim+bei+M&#252;nchen&amp;destination=48.01169672412534,11.258475490819581&amp;travelmode=car" TargetMode="External"/><Relationship Id="rId1609" Type="http://schemas.openxmlformats.org/officeDocument/2006/relationships/hyperlink" Target="https://www.google.com/maps/dir/?api=1&amp;origin=Gymnasium+Kirchheim,+Heimstettner+Str.+3,+85551+Kirchheim+bei+M&#252;nchen&amp;destination=48.14793977584102,11.512460857153851&amp;travelmode=car" TargetMode="External"/><Relationship Id="rId1816" Type="http://schemas.openxmlformats.org/officeDocument/2006/relationships/hyperlink" Target="https://www.google.com/maps/dir/?api=1&amp;origin=Gymnasium+Kirchheim,+Heimstettner+Str.+3,+85551+Kirchheim+bei+M&#252;nchen&amp;destination=48.13133079306867,11.870337526618448&amp;travelmode=car" TargetMode="External"/><Relationship Id="rId3031" Type="http://schemas.openxmlformats.org/officeDocument/2006/relationships/hyperlink" Target="https://www.google.com/maps/dir/?api=1&amp;origin=Gymnasium+Kirchheim,+Heimstettner+Str.+3,+85551+Kirchheim+bei+M&#252;nchen&amp;destination=48.026020248811434,11.67408503422851&amp;travelmode=car" TargetMode="External"/><Relationship Id="rId2797" Type="http://schemas.openxmlformats.org/officeDocument/2006/relationships/hyperlink" Target="https://www.google.com/maps/dir/?api=1&amp;origin=Gymnasium+Kirchheim,+Heimstettner+Str.+3,+85551+Kirchheim+bei+M&#252;nchen&amp;destination=48.04693018379372,12.02040744491661&amp;travelmode=car" TargetMode="External"/><Relationship Id="rId769" Type="http://schemas.openxmlformats.org/officeDocument/2006/relationships/hyperlink" Target="https://www.google.com/maps/dir/?api=1&amp;origin=Gymnasium+Kirchheim,+Heimstettner+Str.+3,+85551+Kirchheim+bei+M&#252;nchen&amp;destination=48.221689256827254,11.985776420185003&amp;travelmode=car" TargetMode="External"/><Relationship Id="rId976" Type="http://schemas.openxmlformats.org/officeDocument/2006/relationships/hyperlink" Target="https://www.google.com/maps/dir/?api=1&amp;origin=Gymnasium+Kirchheim,+Heimstettner+Str.+3,+85551+Kirchheim+bei+M&#252;nchen&amp;destination=48.20137092451826,11.316199693041677&amp;travelmode=car" TargetMode="External"/><Relationship Id="rId1399" Type="http://schemas.openxmlformats.org/officeDocument/2006/relationships/hyperlink" Target="https://www.google.com/maps/dir/?api=1&amp;origin=Gymnasium+Kirchheim,+Heimstettner+Str.+3,+85551+Kirchheim+bei+M&#252;nchen&amp;destination=48.167490960418284,12.135841789424584&amp;travelmode=car" TargetMode="External"/><Relationship Id="rId2657" Type="http://schemas.openxmlformats.org/officeDocument/2006/relationships/hyperlink" Target="https://www.google.com/maps/dir/?api=1&amp;origin=Gymnasium+Kirchheim,+Heimstettner+Str.+3,+85551+Kirchheim+bei+M&#252;nchen&amp;destination=48.05707178878094,11.420102966318577&amp;travelmode=car" TargetMode="External"/><Relationship Id="rId629" Type="http://schemas.openxmlformats.org/officeDocument/2006/relationships/hyperlink" Target="https://www.google.com/maps/dir/?api=1&amp;origin=Gymnasium+Kirchheim,+Heimstettner+Str.+3,+85551+Kirchheim+bei+M&#252;nchen&amp;destination=48.23166564539032,11.373923797311125&amp;travelmode=car" TargetMode="External"/><Relationship Id="rId1259" Type="http://schemas.openxmlformats.org/officeDocument/2006/relationships/hyperlink" Target="https://www.google.com/maps/dir/?api=1&amp;origin=Gymnasium+Kirchheim,+Heimstettner+Str.+3,+85551+Kirchheim+bei+M&#252;nchen&amp;destination=48.178233341711845,11.535550212322528&amp;travelmode=car" TargetMode="External"/><Relationship Id="rId1466" Type="http://schemas.openxmlformats.org/officeDocument/2006/relationships/hyperlink" Target="https://www.google.com/maps/dir/?api=1&amp;origin=Gymnasium+Kirchheim,+Heimstettner+Str.+3,+85551+Kirchheim+bei+M&#252;nchen&amp;destination=48.16155272567862,11.893425553951282&amp;travelmode=car" TargetMode="External"/><Relationship Id="rId2864" Type="http://schemas.openxmlformats.org/officeDocument/2006/relationships/hyperlink" Target="https://www.google.com/maps/dir/?api=1&amp;origin=Gymnasium+Kirchheim,+Heimstettner+Str.+3,+85551+Kirchheim+bei+M&#252;nchen&amp;destination=48.040803648748266,11.766440028975659&amp;travelmode=car" TargetMode="External"/><Relationship Id="rId836" Type="http://schemas.openxmlformats.org/officeDocument/2006/relationships/hyperlink" Target="https://www.google.com/maps/dir/?api=1&amp;origin=Gymnasium+Kirchheim,+Heimstettner+Str.+3,+85551+Kirchheim+bei+M&#252;nchen&amp;destination=48.21548647165367,11.731807073753979&amp;travelmode=car" TargetMode="External"/><Relationship Id="rId1119" Type="http://schemas.openxmlformats.org/officeDocument/2006/relationships/hyperlink" Target="https://www.google.com/maps/dir/?api=1&amp;origin=Gymnasium+Kirchheim,+Heimstettner+Str.+3,+85551+Kirchheim+bei+M&#252;nchen&amp;destination=48.19148580870902,11.962688898444616&amp;travelmode=car" TargetMode="External"/><Relationship Id="rId1673" Type="http://schemas.openxmlformats.org/officeDocument/2006/relationships/hyperlink" Target="https://www.google.com/maps/dir/?api=1&amp;origin=Gymnasium+Kirchheim,+Heimstettner+Str.+3,+85551+Kirchheim+bei+M&#252;nchen&amp;destination=48.140698289634265,11.235385797131558&amp;travelmode=car" TargetMode="External"/><Relationship Id="rId1880" Type="http://schemas.openxmlformats.org/officeDocument/2006/relationships/hyperlink" Target="https://www.google.com/maps/dir/?api=1&amp;origin=Gymnasium+Kirchheim,+Heimstettner+Str.+3,+85551+Kirchheim+bei+M&#252;nchen&amp;destination=48.12494893733134,11.593273348842407&amp;travelmode=car" TargetMode="External"/><Relationship Id="rId2517" Type="http://schemas.openxmlformats.org/officeDocument/2006/relationships/hyperlink" Target="https://www.google.com/maps/dir/?api=1&amp;origin=Gymnasium+Kirchheim,+Heimstettner+Str.+3,+85551+Kirchheim+bei+M&#252;nchen&amp;destination=48.07081298236169,11.835705269507187&amp;travelmode=car" TargetMode="External"/><Relationship Id="rId2724" Type="http://schemas.openxmlformats.org/officeDocument/2006/relationships/hyperlink" Target="https://www.google.com/maps/dir/?api=1&amp;origin=Gymnasium+Kirchheim,+Heimstettner+Str.+3,+85551+Kirchheim+bei+M&#252;nchen&amp;destination=48.05320118989356,12.193557456977898&amp;travelmode=car" TargetMode="External"/><Relationship Id="rId2931" Type="http://schemas.openxmlformats.org/officeDocument/2006/relationships/hyperlink" Target="https://www.google.com/maps/dir/?api=1&amp;origin=Gymnasium+Kirchheim,+Heimstettner+Str.+3,+85551+Kirchheim+bei+M&#252;nchen&amp;destination=48.034058995634894,11.535550212322528&amp;travelmode=car" TargetMode="External"/><Relationship Id="rId903" Type="http://schemas.openxmlformats.org/officeDocument/2006/relationships/hyperlink" Target="https://www.google.com/maps/dir/?api=1&amp;origin=Gymnasium+Kirchheim,+Heimstettner+Str.+3,+85551+Kirchheim+bei+M&#252;nchen&amp;destination=48.20869906997208,11.489371450790154&amp;travelmode=car" TargetMode="External"/><Relationship Id="rId1326" Type="http://schemas.openxmlformats.org/officeDocument/2006/relationships/hyperlink" Target="https://www.google.com/maps/dir/?api=1&amp;origin=Gymnasium+Kirchheim,+Heimstettner+Str.+3,+85551+Kirchheim+bei+M&#252;nchen&amp;destination=48.17103345161096,11.293110020250275&amp;travelmode=car" TargetMode="External"/><Relationship Id="rId1533" Type="http://schemas.openxmlformats.org/officeDocument/2006/relationships/hyperlink" Target="https://www.google.com/maps/dir/?api=1&amp;origin=Gymnasium+Kirchheim,+Heimstettner+Str.+3,+85551+Kirchheim+bei+M&#252;nchen&amp;destination=48.15510500587805,11.650996073983201&amp;travelmode=car" TargetMode="External"/><Relationship Id="rId1740" Type="http://schemas.openxmlformats.org/officeDocument/2006/relationships/hyperlink" Target="https://www.google.com/maps/dir/?api=1&amp;origin=Gymnasium+Kirchheim,+Heimstettner+Str.+3,+85551+Kirchheim+bei+M&#252;nchen&amp;destination=48.138066231780535,12.00886380508597&amp;travelmode=car" TargetMode="External"/><Relationship Id="rId32" Type="http://schemas.openxmlformats.org/officeDocument/2006/relationships/hyperlink" Target="https://www.google.com/maps/dir/?api=1&amp;origin=Gymnasium+Kirchheim,+Heimstettner+Str.+3,+85551+Kirchheim+bei+M&#252;nchen&amp;destination=48.284299530363754,11.593273348842407&amp;travelmode=car" TargetMode="External"/><Relationship Id="rId1600" Type="http://schemas.openxmlformats.org/officeDocument/2006/relationships/hyperlink" Target="https://www.google.com/maps/dir/?api=1&amp;origin=Gymnasium+Kirchheim,+Heimstettner+Str.+3,+85551+Kirchheim+bei+M&#252;nchen&amp;destination=48.1481477578465,11.408558185690326&amp;travelmode=car" TargetMode="External"/><Relationship Id="rId3498" Type="http://schemas.openxmlformats.org/officeDocument/2006/relationships/hyperlink" Target="https://www.google.com/maps/dir/?api=1&amp;origin=Gymnasium+Kirchheim,+Heimstettner+Str.+3,+85551+Kirchheim+bei+M&#252;nchen&amp;destination=47.98645742901752,11.985776420185003&amp;travelmode=car" TargetMode="External"/><Relationship Id="rId3358" Type="http://schemas.openxmlformats.org/officeDocument/2006/relationships/hyperlink" Target="https://www.google.com/maps/dir/?api=1&amp;origin=Gymnasium+Kirchheim,+Heimstettner+Str.+3,+85551+Kirchheim+bei+M&#252;nchen&amp;destination=47.99641879660402,11.385468600664204&amp;travelmode=car" TargetMode="External"/><Relationship Id="rId3565" Type="http://schemas.openxmlformats.org/officeDocument/2006/relationships/hyperlink" Target="https://www.google.com/maps/dir/?api=1&amp;origin=Gymnasium+Kirchheim,+Heimstettner+Str.+3,+85551+Kirchheim+bei+M&#252;nchen&amp;destination=47.98020380490092,11.743351415580166&amp;travelmode=car" TargetMode="External"/><Relationship Id="rId279" Type="http://schemas.openxmlformats.org/officeDocument/2006/relationships/hyperlink" Target="https://www.google.com/maps/dir/?api=1&amp;origin=Gymnasium+Kirchheim,+Heimstettner+Str.+3,+85551+Kirchheim+bei+M&#252;nchen&amp;destination=48.261969610012514,11.408558185690326&amp;travelmode=car" TargetMode="External"/><Relationship Id="rId486" Type="http://schemas.openxmlformats.org/officeDocument/2006/relationships/hyperlink" Target="https://www.google.com/maps/dir/?api=1&amp;origin=Gymnasium+Kirchheim,+Heimstettner+Str.+3,+85551+Kirchheim+bei+M&#252;nchen&amp;destination=48.24573613231426,11.754895734161472&amp;travelmode=car" TargetMode="External"/><Relationship Id="rId693" Type="http://schemas.openxmlformats.org/officeDocument/2006/relationships/hyperlink" Target="https://www.google.com/maps/dir/?api=1&amp;origin=Gymnasium+Kirchheim,+Heimstettner+Str.+3,+85551+Kirchheim+bei+M&#252;nchen&amp;destination=48.228375029540544,12.112755231783899&amp;travelmode=car" TargetMode="External"/><Relationship Id="rId2167" Type="http://schemas.openxmlformats.org/officeDocument/2006/relationships/hyperlink" Target="https://www.google.com/maps/dir/?api=1&amp;origin=Gymnasium+Kirchheim,+Heimstettner+Str.+3,+85551+Kirchheim+bei+M&#252;nchen&amp;destination=48.101041846846364,11.858793469207484&amp;travelmode=car" TargetMode="External"/><Relationship Id="rId2374" Type="http://schemas.openxmlformats.org/officeDocument/2006/relationships/hyperlink" Target="https://www.google.com/maps/dir/?api=1&amp;origin=Gymnasium+Kirchheim,+Heimstettner+Str.+3,+85551+Kirchheim+bei+M&#252;nchen&amp;destination=48.08335843058654,12.21664342242148&amp;travelmode=car" TargetMode="External"/><Relationship Id="rId2581" Type="http://schemas.openxmlformats.org/officeDocument/2006/relationships/hyperlink" Target="https://www.google.com/maps/dir/?api=1&amp;origin=Gymnasium+Kirchheim,+Heimstettner+Str.+3,+85551+Kirchheim+bei+M&#252;nchen&amp;destination=48.06434793979503,11.55863951211732&amp;travelmode=car" TargetMode="External"/><Relationship Id="rId3218" Type="http://schemas.openxmlformats.org/officeDocument/2006/relationships/hyperlink" Target="https://www.google.com/maps/dir/?api=1&amp;origin=Gymnasium+Kirchheim,+Heimstettner+Str.+3,+85551+Kirchheim+bei+M&#252;nchen&amp;destination=48.0102847737228,11.801072765593279&amp;travelmode=car" TargetMode="External"/><Relationship Id="rId3425" Type="http://schemas.openxmlformats.org/officeDocument/2006/relationships/hyperlink" Target="https://www.google.com/maps/dir/?api=1&amp;origin=Gymnasium+Kirchheim,+Heimstettner+Str.+3,+85551+Kirchheim+bei+M&#252;nchen&amp;destination=47.99268683482257,12.170471317116936&amp;travelmode=car" TargetMode="External"/><Relationship Id="rId139" Type="http://schemas.openxmlformats.org/officeDocument/2006/relationships/hyperlink" Target="https://www.google.com/maps/dir/?api=1&amp;origin=Gymnasium+Kirchheim,+Heimstettner+Str.+3,+85551+Kirchheim+bei+M&#252;nchen&amp;destination=48.275811324383525,11.81261696011681&amp;travelmode=car" TargetMode="External"/><Relationship Id="rId346" Type="http://schemas.openxmlformats.org/officeDocument/2006/relationships/hyperlink" Target="https://www.google.com/maps/dir/?api=1&amp;origin=Gymnasium+Kirchheim,+Heimstettner+Str.+3,+85551+Kirchheim+bei+M&#252;nchen&amp;destination=48.258271156543245,12.170471317116936&amp;travelmode=car" TargetMode="External"/><Relationship Id="rId553" Type="http://schemas.openxmlformats.org/officeDocument/2006/relationships/hyperlink" Target="https://www.google.com/maps/dir/?api=1&amp;origin=Gymnasium+Kirchheim,+Heimstettner+Str.+3,+85551+Kirchheim+bei+M&#252;nchen&amp;destination=48.23899725757381,11.512460857153851&amp;travelmode=car" TargetMode="External"/><Relationship Id="rId760" Type="http://schemas.openxmlformats.org/officeDocument/2006/relationships/hyperlink" Target="https://www.google.com/maps/dir/?api=1&amp;origin=Gymnasium+Kirchheim,+Heimstettner+Str.+3,+85551+Kirchheim+bei+M&#252;nchen&amp;destination=48.22245182249011,11.858793469207484&amp;travelmode=car" TargetMode="External"/><Relationship Id="rId1183" Type="http://schemas.openxmlformats.org/officeDocument/2006/relationships/hyperlink" Target="https://www.google.com/maps/dir/?api=1&amp;origin=Gymnasium+Kirchheim,+Heimstettner+Str.+3,+85551+Kirchheim+bei+M&#252;nchen&amp;destination=48.18537084184385,11.67408503422851&amp;travelmode=car" TargetMode="External"/><Relationship Id="rId1390" Type="http://schemas.openxmlformats.org/officeDocument/2006/relationships/hyperlink" Target="https://www.google.com/maps/dir/?api=1&amp;origin=Gymnasium+Kirchheim,+Heimstettner+Str.+3,+85551+Kirchheim+bei+M&#252;nchen&amp;destination=48.16826043795363,12.031951048971356&amp;travelmode=car" TargetMode="External"/><Relationship Id="rId2027" Type="http://schemas.openxmlformats.org/officeDocument/2006/relationships/hyperlink" Target="https://www.google.com/maps/dir/?api=1&amp;origin=Gymnasium+Kirchheim,+Heimstettner+Str.+3,+85551+Kirchheim+bei+M&#252;nchen&amp;destination=48.11033886294874,11.27002033596574&amp;travelmode=car" TargetMode="External"/><Relationship Id="rId2234" Type="http://schemas.openxmlformats.org/officeDocument/2006/relationships/hyperlink" Target="https://www.google.com/maps/dir/?api=1&amp;origin=Gymnasium+Kirchheim,+Heimstettner+Str.+3,+85551+Kirchheim+bei+M&#252;nchen&amp;destination=48.094521339491834,11.616362491920484&amp;travelmode=car" TargetMode="External"/><Relationship Id="rId2441" Type="http://schemas.openxmlformats.org/officeDocument/2006/relationships/hyperlink" Target="https://www.google.com/maps/dir/?api=1&amp;origin=Gymnasium+Kirchheim,+Heimstettner+Str.+3,+85551+Kirchheim+bei+M&#252;nchen&amp;destination=48.07759001127477,11.97423267615872&amp;travelmode=car" TargetMode="External"/><Relationship Id="rId206" Type="http://schemas.openxmlformats.org/officeDocument/2006/relationships/hyperlink" Target="https://www.google.com/maps/dir/?api=1&amp;origin=Gymnasium+Kirchheim,+Heimstettner+Str.+3,+85551+Kirchheim+bei+M&#252;nchen&amp;destination=48.26919376568369,11.570184139943638&amp;travelmode=car" TargetMode="External"/><Relationship Id="rId413" Type="http://schemas.openxmlformats.org/officeDocument/2006/relationships/hyperlink" Target="https://www.google.com/maps/dir/?api=1&amp;origin=Gymnasium+Kirchheim,+Heimstettner+Str.+3,+85551+Kirchheim+bei+M&#252;nchen&amp;destination=48.25240570073538,11.928057368395926&amp;travelmode=car" TargetMode="External"/><Relationship Id="rId1043" Type="http://schemas.openxmlformats.org/officeDocument/2006/relationships/hyperlink" Target="https://www.google.com/maps/dir/?api=1&amp;origin=Gymnasium+Kirchheim,+Heimstettner+Str.+3,+85551+Kirchheim+bei+M&#252;nchen&amp;destination=48.19819699624081,12.089668514337413&amp;travelmode=car" TargetMode="External"/><Relationship Id="rId620" Type="http://schemas.openxmlformats.org/officeDocument/2006/relationships/hyperlink" Target="https://www.google.com/maps/dir/?api=1&amp;origin=Gymnasium+Kirchheim,+Heimstettner+Str.+3,+85551+Kirchheim+bei+M&#252;nchen&amp;destination=48.23175230497962,11.258475490819581&amp;travelmode=car" TargetMode="External"/><Relationship Id="rId1250" Type="http://schemas.openxmlformats.org/officeDocument/2006/relationships/hyperlink" Target="https://www.google.com/maps/dir/?api=1&amp;origin=Gymnasium+Kirchheim,+Heimstettner+Str.+3,+85551+Kirchheim+bei+M&#252;nchen&amp;destination=48.1784621216429,11.431647738327094&amp;travelmode=car" TargetMode="External"/><Relationship Id="rId2301" Type="http://schemas.openxmlformats.org/officeDocument/2006/relationships/hyperlink" Target="https://www.google.com/maps/dir/?api=1&amp;origin=Gymnasium+Kirchheim,+Heimstettner+Str.+3,+85551+Kirchheim+bei+M&#252;nchen&amp;destination=48.0874912993134,11.373923797311125&amp;travelmode=car" TargetMode="External"/><Relationship Id="rId1110" Type="http://schemas.openxmlformats.org/officeDocument/2006/relationships/hyperlink" Target="https://www.google.com/maps/dir/?api=1&amp;origin=Gymnasium+Kirchheim,+Heimstettner+Str.+3,+85551+Kirchheim+bei+M&#252;nchen&amp;destination=48.1921617209526,11.847249383329679&amp;travelmode=car" TargetMode="External"/><Relationship Id="rId1927" Type="http://schemas.openxmlformats.org/officeDocument/2006/relationships/hyperlink" Target="https://www.google.com/maps/dir/?api=1&amp;origin=Gymnasium+Kirchheim,+Heimstettner+Str.+3,+85551+Kirchheim+bei+M&#252;nchen&amp;destination=48.121962219551875,12.135841789424584&amp;travelmode=car" TargetMode="External"/><Relationship Id="rId3075" Type="http://schemas.openxmlformats.org/officeDocument/2006/relationships/hyperlink" Target="https://www.google.com/maps/dir/?api=1&amp;origin=Gymnasium+Kirchheim,+Heimstettner+Str.+3,+85551+Kirchheim+bei+M&#252;nchen&amp;destination=48.02294458992056,12.182014408588692&amp;travelmode=car" TargetMode="External"/><Relationship Id="rId3282" Type="http://schemas.openxmlformats.org/officeDocument/2006/relationships/hyperlink" Target="https://www.google.com/maps/dir/?api=1&amp;origin=Gymnasium+Kirchheim,+Heimstettner+Str.+3,+85551+Kirchheim+bei+M&#252;nchen&amp;destination=48.00373654345915,11.524005541398747&amp;travelmode=car" TargetMode="External"/><Relationship Id="rId2091" Type="http://schemas.openxmlformats.org/officeDocument/2006/relationships/hyperlink" Target="https://www.google.com/maps/dir/?api=1&amp;origin=Gymnasium+Kirchheim,+Heimstettner+Str.+3,+85551+Kirchheim+bei+M&#252;nchen&amp;destination=48.107791148887046,11.997320130001427&amp;travelmode=car" TargetMode="External"/><Relationship Id="rId3142" Type="http://schemas.openxmlformats.org/officeDocument/2006/relationships/hyperlink" Target="https://www.google.com/maps/dir/?api=1&amp;origin=Gymnasium+Kirchheim,+Heimstettner+Str.+3,+85551+Kirchheim+bei+M&#252;nchen&amp;destination=48.017103393463714,11.939601244041153&amp;travelmode=car" TargetMode="External"/><Relationship Id="rId270" Type="http://schemas.openxmlformats.org/officeDocument/2006/relationships/hyperlink" Target="https://www.google.com/maps/dir/?api=1&amp;origin=Gymnasium+Kirchheim,+Heimstettner+Str.+3,+85551+Kirchheim+bei+M&#252;nchen&amp;destination=48.262090933343764,11.293110020250275&amp;travelmode=car" TargetMode="External"/><Relationship Id="rId3002" Type="http://schemas.openxmlformats.org/officeDocument/2006/relationships/hyperlink" Target="https://www.google.com/maps/dir/?api=1&amp;origin=Gymnasium+Kirchheim,+Heimstettner+Str.+3,+85551+Kirchheim+bei+M&#252;nchen&amp;destination=48.0268244416879,11.339289350160644&amp;travelmode=car" TargetMode="External"/><Relationship Id="rId130" Type="http://schemas.openxmlformats.org/officeDocument/2006/relationships/hyperlink" Target="https://www.google.com/maps/dir/?api=1&amp;origin=Gymnasium+Kirchheim,+Heimstettner+Str.+3,+85551+Kirchheim+bei+M&#252;nchen&amp;destination=48.27628967125129,11.708718322455919&amp;travelmode=car" TargetMode="External"/><Relationship Id="rId2768" Type="http://schemas.openxmlformats.org/officeDocument/2006/relationships/hyperlink" Target="https://www.google.com/maps/dir/?api=1&amp;origin=Gymnasium+Kirchheim,+Heimstettner+Str.+3,+85551+Kirchheim+bei+M&#252;nchen&amp;destination=48.04873955718668,11.685629484445332&amp;travelmode=car" TargetMode="External"/><Relationship Id="rId2975" Type="http://schemas.openxmlformats.org/officeDocument/2006/relationships/hyperlink" Target="https://www.google.com/maps/dir/?api=1&amp;origin=Gymnasium+Kirchheim,+Heimstettner+Str.+3,+85551+Kirchheim+bei+M&#252;nchen&amp;destination=48.031593338647575,12.043494616728212&amp;travelmode=car" TargetMode="External"/><Relationship Id="rId947" Type="http://schemas.openxmlformats.org/officeDocument/2006/relationships/hyperlink" Target="https://www.google.com/maps/dir/?api=1&amp;origin=Gymnasium+Kirchheim,+Heimstettner+Str.+3,+85551+Kirchheim+bei+M&#252;nchen&amp;destination=48.206436754097574,11.997320130001427&amp;travelmode=car" TargetMode="External"/><Relationship Id="rId1577" Type="http://schemas.openxmlformats.org/officeDocument/2006/relationships/hyperlink" Target="https://www.google.com/maps/dir/?api=1&amp;origin=Gymnasium+Kirchheim,+Heimstettner+Str.+3,+85551+Kirchheim+bei+M&#252;nchen&amp;destination=48.15203742785497,12.170471317116936&amp;travelmode=car" TargetMode="External"/><Relationship Id="rId1784" Type="http://schemas.openxmlformats.org/officeDocument/2006/relationships/hyperlink" Target="https://www.google.com/maps/dir/?api=1&amp;origin=Gymnasium+Kirchheim,+Heimstettner+Str.+3,+85551+Kirchheim+bei+M&#252;nchen&amp;destination=48.1327912597577,11.500916160110199&amp;travelmode=car" TargetMode="External"/><Relationship Id="rId1991" Type="http://schemas.openxmlformats.org/officeDocument/2006/relationships/hyperlink" Target="https://www.google.com/maps/dir/?api=1&amp;origin=Gymnasium+Kirchheim,+Heimstettner+Str.+3,+85551+Kirchheim+bei+M&#252;nchen&amp;destination=48.116218093801834,11.858793469207484&amp;travelmode=car" TargetMode="External"/><Relationship Id="rId2628" Type="http://schemas.openxmlformats.org/officeDocument/2006/relationships/hyperlink" Target="https://www.google.com/maps/dir/?api=1&amp;origin=Gymnasium+Kirchheim,+Heimstettner+Str.+3,+85551+Kirchheim+bei+M&#252;nchen&amp;destination=48.061610773641604,12.089668514337413&amp;travelmode=car" TargetMode="External"/><Relationship Id="rId2835" Type="http://schemas.openxmlformats.org/officeDocument/2006/relationships/hyperlink" Target="https://www.google.com/maps/dir/?api=1&amp;origin=Gymnasium+Kirchheim,+Heimstettner+Str.+3,+85551+Kirchheim+bei+M&#252;nchen&amp;destination=48.04185510081457,11.44319250119349&amp;travelmode=car" TargetMode="External"/><Relationship Id="rId76" Type="http://schemas.openxmlformats.org/officeDocument/2006/relationships/hyperlink" Target="https://www.google.com/maps/dir/?api=1&amp;origin=Gymnasium+Kirchheim,+Heimstettner+Str.+3,+85551+Kirchheim+bei+M&#252;nchen&amp;destination=48.281666354495876,12.089668514337413&amp;travelmode=car" TargetMode="External"/><Relationship Id="rId807" Type="http://schemas.openxmlformats.org/officeDocument/2006/relationships/hyperlink" Target="https://www.google.com/maps/dir/?api=1&amp;origin=Gymnasium+Kirchheim,+Heimstettner+Str.+3,+85551+Kirchheim+bei+M&#252;nchen&amp;destination=48.216458201028246,11.397013396964736&amp;travelmode=car" TargetMode="External"/><Relationship Id="rId1437" Type="http://schemas.openxmlformats.org/officeDocument/2006/relationships/hyperlink" Target="https://www.google.com/maps/dir/?api=1&amp;origin=Gymnasium+Kirchheim,+Heimstettner+Str.+3,+85551+Kirchheim+bei+M&#252;nchen&amp;destination=48.16299354500557,11.55863951211732&amp;travelmode=car" TargetMode="External"/><Relationship Id="rId1644" Type="http://schemas.openxmlformats.org/officeDocument/2006/relationships/hyperlink" Target="https://www.google.com/maps/dir/?api=1&amp;origin=Gymnasium+Kirchheim,+Heimstettner+Str.+3,+85551+Kirchheim+bei+M&#252;nchen&amp;destination=48.14624129622802,11.916513461151142&amp;travelmode=car" TargetMode="External"/><Relationship Id="rId1851" Type="http://schemas.openxmlformats.org/officeDocument/2006/relationships/hyperlink" Target="https://www.google.com/maps/dir/?api=1&amp;origin=Gymnasium+Kirchheim,+Heimstettner+Str.+3,+85551+Kirchheim+bei+M&#252;nchen&amp;destination=48.125518576291356,11.258475490819581&amp;travelmode=car" TargetMode="External"/><Relationship Id="rId2902" Type="http://schemas.openxmlformats.org/officeDocument/2006/relationships/hyperlink" Target="https://www.google.com/maps/dir/?api=1&amp;origin=Gymnasium+Kirchheim,+Heimstettner+Str.+3,+85551+Kirchheim+bei+M&#252;nchen&amp;destination=48.03782968972014,12.21664342242148&amp;travelmode=car" TargetMode="External"/><Relationship Id="rId1504" Type="http://schemas.openxmlformats.org/officeDocument/2006/relationships/hyperlink" Target="https://www.google.com/maps/dir/?api=1&amp;origin=Gymnasium+Kirchheim,+Heimstettner+Str.+3,+85551+Kirchheim+bei+M&#252;nchen&amp;destination=48.15584218365185,11.316199693041677&amp;travelmode=car" TargetMode="External"/><Relationship Id="rId1711" Type="http://schemas.openxmlformats.org/officeDocument/2006/relationships/hyperlink" Target="https://www.google.com/maps/dir/?api=1&amp;origin=Gymnasium+Kirchheim,+Heimstettner+Str.+3,+85551+Kirchheim+bei+M&#252;nchen&amp;destination=48.13984210097744,11.67408503422851&amp;travelmode=car" TargetMode="External"/><Relationship Id="rId3469" Type="http://schemas.openxmlformats.org/officeDocument/2006/relationships/hyperlink" Target="https://www.google.com/maps/dir/?api=1&amp;origin=Gymnasium+Kirchheim,+Heimstettner+Str.+3,+85551+Kirchheim+bei+M&#252;nchen&amp;destination=47.98816628936792,11.650996073983201&amp;travelmode=car" TargetMode="External"/><Relationship Id="rId597" Type="http://schemas.openxmlformats.org/officeDocument/2006/relationships/hyperlink" Target="https://www.google.com/maps/dir/?api=1&amp;origin=Gymnasium+Kirchheim,+Heimstettner+Str.+3,+85551+Kirchheim+bei+M&#252;nchen&amp;destination=48.236633270737066,12.02040744491661&amp;travelmode=car" TargetMode="External"/><Relationship Id="rId2278" Type="http://schemas.openxmlformats.org/officeDocument/2006/relationships/hyperlink" Target="https://www.google.com/maps/dir/?api=1&amp;origin=Gymnasium+Kirchheim,+Heimstettner+Str.+3,+85551+Kirchheim+bei+M&#252;nchen&amp;destination=48.091699843873485,12.12429853084091&amp;travelmode=car" TargetMode="External"/><Relationship Id="rId2485" Type="http://schemas.openxmlformats.org/officeDocument/2006/relationships/hyperlink" Target="https://www.google.com/maps/dir/?api=1&amp;origin=Gymnasium+Kirchheim,+Heimstettner+Str.+3,+85551+Kirchheim+bei+M&#252;nchen&amp;destination=48.07213826737249,11.477826729716085&amp;travelmode=car" TargetMode="External"/><Relationship Id="rId3329" Type="http://schemas.openxmlformats.org/officeDocument/2006/relationships/hyperlink" Target="https://www.google.com/maps/dir/?api=1&amp;origin=Gymnasium+Kirchheim,+Heimstettner+Str.+3,+85551+Kirchheim+bei+M&#252;nchen&amp;destination=48.00107562568189,12.066581641260367&amp;travelmode=car" TargetMode="External"/><Relationship Id="rId457" Type="http://schemas.openxmlformats.org/officeDocument/2006/relationships/hyperlink" Target="https://www.google.com/maps/dir/?api=1&amp;origin=Gymnasium+Kirchheim,+Heimstettner+Str.+3,+85551+Kirchheim+bei+M&#252;nchen&amp;destination=48.24677487572429,11.420102966318577&amp;travelmode=car" TargetMode="External"/><Relationship Id="rId1087" Type="http://schemas.openxmlformats.org/officeDocument/2006/relationships/hyperlink" Target="https://www.google.com/maps/dir/?api=1&amp;origin=Gymnasium+Kirchheim,+Heimstettner+Str.+3,+85551+Kirchheim+bei+M&#252;nchen&amp;destination=48.193277867476844,11.581728752359444&amp;travelmode=car" TargetMode="External"/><Relationship Id="rId1294" Type="http://schemas.openxmlformats.org/officeDocument/2006/relationships/hyperlink" Target="https://www.google.com/maps/dir/?api=1&amp;origin=Gymnasium+Kirchheim,+Heimstettner+Str.+3,+85551+Kirchheim+bei+M&#252;nchen&amp;destination=48.17645398649611,11.939601244041153&amp;travelmode=car" TargetMode="External"/><Relationship Id="rId2138" Type="http://schemas.openxmlformats.org/officeDocument/2006/relationships/hyperlink" Target="https://www.google.com/maps/dir/?api=1&amp;origin=Gymnasium+Kirchheim,+Heimstettner+Str.+3,+85551+Kirchheim+bei+M&#252;nchen&amp;destination=48.10238214866968,11.524005541398747&amp;travelmode=car" TargetMode="External"/><Relationship Id="rId2692" Type="http://schemas.openxmlformats.org/officeDocument/2006/relationships/hyperlink" Target="https://www.google.com/maps/dir/?api=1&amp;origin=Gymnasium+Kirchheim,+Heimstettner+Str.+3,+85551+Kirchheim+bei+M&#252;nchen&amp;destination=48.055696817133224,11.824161128262173&amp;travelmode=car" TargetMode="External"/><Relationship Id="rId3536" Type="http://schemas.openxmlformats.org/officeDocument/2006/relationships/hyperlink" Target="https://www.google.com/maps/dir/?api=1&amp;origin=Gymnasium+Kirchheim,+Heimstettner+Str.+3,+85551+Kirchheim+bei+M&#252;nchen&amp;destination=47.98120904133636,11.408558185690326&amp;travelmode=car" TargetMode="External"/><Relationship Id="rId664" Type="http://schemas.openxmlformats.org/officeDocument/2006/relationships/hyperlink" Target="https://www.google.com/maps/dir/?api=1&amp;origin=Gymnasium+Kirchheim,+Heimstettner+Str.+3,+85551+Kirchheim+bei+M&#252;nchen&amp;destination=48.23050673569161,11.766440028975659&amp;travelmode=car" TargetMode="External"/><Relationship Id="rId871" Type="http://schemas.openxmlformats.org/officeDocument/2006/relationships/hyperlink" Target="https://www.google.com/maps/dir/?api=1&amp;origin=Gymnasium+Kirchheim,+Heimstettner+Str.+3,+85551+Kirchheim+bei+M&#252;nchen&amp;destination=48.21301970128468,12.135841789424584&amp;travelmode=car" TargetMode="External"/><Relationship Id="rId2345" Type="http://schemas.openxmlformats.org/officeDocument/2006/relationships/hyperlink" Target="https://www.google.com/maps/dir/?api=1&amp;origin=Gymnasium+Kirchheim,+Heimstettner+Str.+3,+85551+Kirchheim+bei+M&#252;nchen&amp;destination=48.08573734920389,11.881881555040426&amp;travelmode=car" TargetMode="External"/><Relationship Id="rId2552" Type="http://schemas.openxmlformats.org/officeDocument/2006/relationships/hyperlink" Target="https://www.google.com/maps/dir/?api=1&amp;origin=Gymnasium+Kirchheim,+Heimstettner+Str.+3,+85551+Kirchheim+bei+M&#252;nchen&amp;destination=48.068082824367835,12.228186338432307&amp;travelmode=car" TargetMode="External"/><Relationship Id="rId3603" Type="http://schemas.openxmlformats.org/officeDocument/2006/relationships/hyperlink" Target="https://www.google.com/maps/dir/?api=1&amp;origin=Gymnasium+Kirchheim,+Heimstettner+Str.+3,+85551+Kirchheim+bei+M&#252;nchen&amp;destination=47.97741584905417,12.182014408588692&amp;travelmode=car" TargetMode="External"/><Relationship Id="rId317" Type="http://schemas.openxmlformats.org/officeDocument/2006/relationships/hyperlink" Target="https://www.google.com/maps/dir/?api=1&amp;origin=Gymnasium+Kirchheim,+Heimstettner+Str.+3,+85551+Kirchheim+bei+M&#252;nchen&amp;destination=48.260454832252194,11.847249383329679&amp;travelmode=car" TargetMode="External"/><Relationship Id="rId524" Type="http://schemas.openxmlformats.org/officeDocument/2006/relationships/hyperlink" Target="https://www.google.com/maps/dir/?api=1&amp;origin=Gymnasium+Kirchheim,+Heimstettner+Str.+3,+85551+Kirchheim+bei+M&#252;nchen&amp;destination=48.2429042768369,12.193557456977898&amp;travelmode=car" TargetMode="External"/><Relationship Id="rId731" Type="http://schemas.openxmlformats.org/officeDocument/2006/relationships/hyperlink" Target="https://www.google.com/maps/dir/?api=1&amp;origin=Gymnasium+Kirchheim,+Heimstettner+Str.+3,+85551+Kirchheim+bei+M&#252;nchen&amp;destination=48.22376208257825,11.535550212322528&amp;travelmode=car" TargetMode="External"/><Relationship Id="rId1154" Type="http://schemas.openxmlformats.org/officeDocument/2006/relationships/hyperlink" Target="https://www.google.com/maps/dir/?api=1&amp;origin=Gymnasium+Kirchheim,+Heimstettner+Str.+3,+85551+Kirchheim+bei+M&#252;nchen&amp;destination=48.18617503472031,11.339289350160644&amp;travelmode=car" TargetMode="External"/><Relationship Id="rId1361" Type="http://schemas.openxmlformats.org/officeDocument/2006/relationships/hyperlink" Target="https://www.google.com/maps/dir/?api=1&amp;origin=Gymnasium+Kirchheim,+Heimstettner+Str.+3,+85551+Kirchheim+bei+M&#252;nchen&amp;destination=48.17005594256301,11.708718322455919&amp;travelmode=car" TargetMode="External"/><Relationship Id="rId2205" Type="http://schemas.openxmlformats.org/officeDocument/2006/relationships/hyperlink" Target="https://www.google.com/maps/dir/?api=1&amp;origin=Gymnasium+Kirchheim,+Heimstettner+Str.+3,+85551+Kirchheim+bei+M&#252;nchen&amp;destination=48.095157994144216,11.281565179283442&amp;travelmode=car" TargetMode="External"/><Relationship Id="rId2412" Type="http://schemas.openxmlformats.org/officeDocument/2006/relationships/hyperlink" Target="https://www.google.com/maps/dir/?api=1&amp;origin=Gymnasium+Kirchheim,+Heimstettner+Str.+3,+85551+Kirchheim+bei+M&#252;nchen&amp;destination=48.07926536698045,11.639451564999296&amp;travelmode=car" TargetMode="External"/><Relationship Id="rId1014" Type="http://schemas.openxmlformats.org/officeDocument/2006/relationships/hyperlink" Target="https://www.google.com/maps/dir/?api=1&amp;origin=Gymnasium+Kirchheim,+Heimstettner+Str.+3,+85551+Kirchheim+bei+M&#252;nchen&amp;destination=48.20020739144787,11.754895734161472&amp;travelmode=car" TargetMode="External"/><Relationship Id="rId1221" Type="http://schemas.openxmlformats.org/officeDocument/2006/relationships/hyperlink" Target="https://www.google.com/maps/dir/?api=1&amp;origin=Gymnasium+Kirchheim,+Heimstettner+Str.+3,+85551+Kirchheim+bei+M&#252;nchen&amp;destination=48.18284628867415,12.112755231783899&amp;travelmode=car" TargetMode="External"/><Relationship Id="rId3186" Type="http://schemas.openxmlformats.org/officeDocument/2006/relationships/hyperlink" Target="https://www.google.com/maps/dir/?api=1&amp;origin=Gymnasium+Kirchheim,+Heimstettner+Str.+3,+85551+Kirchheim+bei+M&#252;nchen&amp;destination=48.011523405132756,11.431647738327094&amp;travelmode=car" TargetMode="External"/><Relationship Id="rId3393" Type="http://schemas.openxmlformats.org/officeDocument/2006/relationships/hyperlink" Target="https://www.google.com/maps/dir/?api=1&amp;origin=Gymnasium+Kirchheim,+Heimstettner+Str.+3,+85551+Kirchheim+bei+M&#252;nchen&amp;destination=47.99516514248631,11.789528545213775&amp;travelmode=car" TargetMode="External"/><Relationship Id="rId3046" Type="http://schemas.openxmlformats.org/officeDocument/2006/relationships/hyperlink" Target="https://www.google.com/maps/dir/?api=1&amp;origin=Gymnasium+Kirchheim,+Heimstettner+Str.+3,+85551+Kirchheim+bei+M&#252;nchen&amp;destination=48.02522300444245,11.847249383329679&amp;travelmode=car" TargetMode="External"/><Relationship Id="rId3253" Type="http://schemas.openxmlformats.org/officeDocument/2006/relationships/hyperlink" Target="https://www.google.com/maps/dir/?api=1&amp;origin=Gymnasium+Kirchheim,+Heimstettner+Str.+3,+85551+Kirchheim+bei+M&#252;nchen&amp;destination=48.00757539997241,12.205100461762754&amp;travelmode=car" TargetMode="External"/><Relationship Id="rId3460" Type="http://schemas.openxmlformats.org/officeDocument/2006/relationships/hyperlink" Target="https://www.google.com/maps/dir/?api=1&amp;origin=Gymnasium+Kirchheim,+Heimstettner+Str.+3,+85551+Kirchheim+bei+M&#252;nchen&amp;destination=47.988499057605594,11.547094869402834&amp;travelmode=car" TargetMode="External"/><Relationship Id="rId174" Type="http://schemas.openxmlformats.org/officeDocument/2006/relationships/hyperlink" Target="https://www.google.com/maps/dir/?api=1&amp;origin=Gymnasium+Kirchheim,+Heimstettner+Str.+3,+85551+Kirchheim+bei+M&#252;nchen&amp;destination=48.27306151752988,12.21664342242148&amp;travelmode=car" TargetMode="External"/><Relationship Id="rId381" Type="http://schemas.openxmlformats.org/officeDocument/2006/relationships/hyperlink" Target="https://www.google.com/maps/dir/?api=1&amp;origin=Gymnasium+Kirchheim,+Heimstettner+Str.+3,+85551+Kirchheim+bei+M&#252;nchen&amp;destination=48.25405102673837,11.55863951211732&amp;travelmode=car" TargetMode="External"/><Relationship Id="rId2062" Type="http://schemas.openxmlformats.org/officeDocument/2006/relationships/hyperlink" Target="https://www.google.com/maps/dir/?api=1&amp;origin=Gymnasium+Kirchheim,+Heimstettner+Str.+3,+85551+Kirchheim+bei+M&#252;nchen&amp;destination=48.10953351373548,11.66254056390037&amp;travelmode=car" TargetMode="External"/><Relationship Id="rId3113" Type="http://schemas.openxmlformats.org/officeDocument/2006/relationships/hyperlink" Target="https://www.google.com/maps/dir/?api=1&amp;origin=Gymnasium+Kirchheim,+Heimstettner+Str.+3,+85551+Kirchheim+bei+M&#252;nchen&amp;destination=48.01867823438386,11.604817928870196&amp;travelmode=car" TargetMode="External"/><Relationship Id="rId241" Type="http://schemas.openxmlformats.org/officeDocument/2006/relationships/hyperlink" Target="https://www.google.com/maps/dir/?api=1&amp;origin=Gymnasium+Kirchheim,+Heimstettner+Str.+3,+85551+Kirchheim+bei+M&#252;nchen&amp;destination=48.267293098218126,11.97423267615872&amp;travelmode=car" TargetMode="External"/><Relationship Id="rId3320" Type="http://schemas.openxmlformats.org/officeDocument/2006/relationships/hyperlink" Target="https://www.google.com/maps/dir/?api=1&amp;origin=Gymnasium+Kirchheim,+Heimstettner+Str.+3,+85551+Kirchheim+bei+M&#252;nchen&amp;destination=48.001782721765665,11.962688898444616&amp;travelmode=car" TargetMode="External"/><Relationship Id="rId2879" Type="http://schemas.openxmlformats.org/officeDocument/2006/relationships/hyperlink" Target="https://www.google.com/maps/dir/?api=1&amp;origin=Gymnasium+Kirchheim,+Heimstettner+Str.+3,+85551+Kirchheim+bei+M&#252;nchen&amp;destination=48.03979612916004,11.95114508756474&amp;travelmode=car" TargetMode="External"/><Relationship Id="rId101" Type="http://schemas.openxmlformats.org/officeDocument/2006/relationships/hyperlink" Target="https://www.google.com/maps/dir/?api=1&amp;origin=Gymnasium+Kirchheim,+Heimstettner+Str.+3,+85551+Kirchheim+bei+M&#252;nchen&amp;destination=48.27719438625673,11.373923797311125&amp;travelmode=car" TargetMode="External"/><Relationship Id="rId1688" Type="http://schemas.openxmlformats.org/officeDocument/2006/relationships/hyperlink" Target="https://www.google.com/maps/dir/?api=1&amp;origin=Gymnasium+Kirchheim,+Heimstettner+Str.+3,+85551+Kirchheim+bei+M&#252;nchen&amp;destination=48.14055963436876,11.408558185690326&amp;travelmode=car" TargetMode="External"/><Relationship Id="rId1895" Type="http://schemas.openxmlformats.org/officeDocument/2006/relationships/hyperlink" Target="https://www.google.com/maps/dir/?api=1&amp;origin=Gymnasium+Kirchheim,+Heimstettner+Str.+3,+85551+Kirchheim+bei+M&#252;nchen&amp;destination=48.12427300700334,11.766440028975659&amp;travelmode=car" TargetMode="External"/><Relationship Id="rId2739" Type="http://schemas.openxmlformats.org/officeDocument/2006/relationships/hyperlink" Target="https://www.google.com/maps/dir/?api=1&amp;origin=Gymnasium+Kirchheim,+Heimstettner+Str.+3,+85551+Kirchheim+bei+M&#252;nchen&amp;destination=48.04957725751233,11.350834171536942&amp;travelmode=car" TargetMode="External"/><Relationship Id="rId2946" Type="http://schemas.openxmlformats.org/officeDocument/2006/relationships/hyperlink" Target="https://www.google.com/maps/dir/?api=1&amp;origin=Gymnasium+Kirchheim,+Heimstettner+Str.+3,+85551+Kirchheim+bei+M&#252;nchen&amp;destination=48.033517092788095,11.69717391402856&amp;travelmode=car" TargetMode="External"/><Relationship Id="rId918" Type="http://schemas.openxmlformats.org/officeDocument/2006/relationships/hyperlink" Target="https://www.google.com/maps/dir/?api=1&amp;origin=Gymnasium+Kirchheim,+Heimstettner+Str.+3,+85551+Kirchheim+bei+M&#252;nchen&amp;destination=48.20817911894602,11.66254056390037&amp;travelmode=car" TargetMode="External"/><Relationship Id="rId1548" Type="http://schemas.openxmlformats.org/officeDocument/2006/relationships/hyperlink" Target="https://www.google.com/maps/dir/?api=1&amp;origin=Gymnasium+Kirchheim,+Heimstettner+Str.+3,+85551+Kirchheim+bei+M&#252;nchen&amp;destination=48.15434242234375,11.824161128262173&amp;travelmode=car" TargetMode="External"/><Relationship Id="rId1755" Type="http://schemas.openxmlformats.org/officeDocument/2006/relationships/hyperlink" Target="https://www.google.com/maps/dir/?api=1&amp;origin=Gymnasium+Kirchheim,+Heimstettner+Str.+3,+85551+Kirchheim+bei+M&#252;nchen&amp;destination=48.13676644208658,12.182014408588692&amp;travelmode=car" TargetMode="External"/><Relationship Id="rId1408" Type="http://schemas.openxmlformats.org/officeDocument/2006/relationships/hyperlink" Target="https://www.google.com/maps/dir/?api=1&amp;origin=Gymnasium+Kirchheim,+Heimstettner+Str.+3,+85551+Kirchheim+bei+M&#252;nchen&amp;destination=48.16662791522361,12.239729209273484&amp;travelmode=car" TargetMode="External"/><Relationship Id="rId1962" Type="http://schemas.openxmlformats.org/officeDocument/2006/relationships/hyperlink" Target="https://www.google.com/maps/dir/?api=1&amp;origin=Gymnasium+Kirchheim,+Heimstettner+Str.+3,+85551+Kirchheim+bei+M&#252;nchen&amp;destination=48.11755839562515,11.524005541398747&amp;travelmode=car" TargetMode="External"/><Relationship Id="rId2806" Type="http://schemas.openxmlformats.org/officeDocument/2006/relationships/hyperlink" Target="https://www.google.com/maps/dir/?api=1&amp;origin=Gymnasium+Kirchheim,+Heimstettner+Str.+3,+85551+Kirchheim+bei+M&#252;nchen&amp;destination=48.046171103007076,12.12429853084091&amp;travelmode=car" TargetMode="External"/><Relationship Id="rId47" Type="http://schemas.openxmlformats.org/officeDocument/2006/relationships/hyperlink" Target="https://www.google.com/maps/dir/?api=1&amp;origin=Gymnasium+Kirchheim,+Heimstettner+Str.+3,+85551+Kirchheim+bei+M&#252;nchen&amp;destination=48.283569295013294,11.777984299500497&amp;travelmode=car" TargetMode="External"/><Relationship Id="rId1615" Type="http://schemas.openxmlformats.org/officeDocument/2006/relationships/hyperlink" Target="https://www.google.com/maps/dir/?api=1&amp;origin=Gymnasium+Kirchheim,+Heimstettner+Str.+3,+85551+Kirchheim+bei+M&#252;nchen&amp;destination=48.14774912661044,11.581728752359444&amp;travelmode=car" TargetMode="External"/><Relationship Id="rId1822" Type="http://schemas.openxmlformats.org/officeDocument/2006/relationships/hyperlink" Target="https://www.google.com/maps/dir/?api=1&amp;origin=Gymnasium+Kirchheim,+Heimstettner+Str.+3,+85551+Kirchheim+bei+M&#252;nchen&amp;destination=48.13099572509163,11.928057368395926&amp;travelmode=car" TargetMode="External"/><Relationship Id="rId2389" Type="http://schemas.openxmlformats.org/officeDocument/2006/relationships/hyperlink" Target="https://www.google.com/maps/dir/?api=1&amp;origin=Gymnasium+Kirchheim,+Heimstettner+Str.+3,+85551+Kirchheim+bei+M&#252;nchen&amp;destination=48.07990317583565,11.373923797311125&amp;travelmode=car" TargetMode="External"/><Relationship Id="rId2596" Type="http://schemas.openxmlformats.org/officeDocument/2006/relationships/hyperlink" Target="https://www.google.com/maps/dir/?api=1&amp;origin=Gymnasium+Kirchheim,+Heimstettner+Str.+3,+85551+Kirchheim+bei+M&#252;nchen&amp;destination=48.063724002099,11.731807073753979&amp;travelmode=car" TargetMode="External"/><Relationship Id="rId568" Type="http://schemas.openxmlformats.org/officeDocument/2006/relationships/hyperlink" Target="https://www.google.com/maps/dir/?api=1&amp;origin=Gymnasium+Kirchheim,+Heimstettner+Str.+3,+85551+Kirchheim+bei+M&#252;nchen&amp;destination=48.23844264413001,11.685629484445332&amp;travelmode=car" TargetMode="External"/><Relationship Id="rId775" Type="http://schemas.openxmlformats.org/officeDocument/2006/relationships/hyperlink" Target="https://www.google.com/maps/dir/?api=1&amp;origin=Gymnasium+Kirchheim,+Heimstettner+Str.+3,+85551+Kirchheim+bei+M&#252;nchen&amp;destination=48.221214393668035,12.055038147665204&amp;travelmode=car" TargetMode="External"/><Relationship Id="rId982" Type="http://schemas.openxmlformats.org/officeDocument/2006/relationships/hyperlink" Target="https://www.google.com/maps/dir/?api=1&amp;origin=Gymnasium+Kirchheim,+Heimstettner+Str.+3,+85551+Kirchheim+bei+M&#252;nchen&amp;destination=48.20129813050283,11.385468600664204&amp;travelmode=car" TargetMode="External"/><Relationship Id="rId1198" Type="http://schemas.openxmlformats.org/officeDocument/2006/relationships/hyperlink" Target="https://www.google.com/maps/dir/?api=1&amp;origin=Gymnasium+Kirchheim,+Heimstettner+Str.+3,+85551+Kirchheim+bei+M&#252;nchen&amp;destination=48.184634834527685,11.835705269507187&amp;travelmode=car" TargetMode="External"/><Relationship Id="rId2249" Type="http://schemas.openxmlformats.org/officeDocument/2006/relationships/hyperlink" Target="https://www.google.com/maps/dir/?api=1&amp;origin=Gymnasium+Kirchheim,+Heimstettner+Str.+3,+85551+Kirchheim+bei+M&#252;nchen&amp;destination=48.093810747696836,11.789528545213775&amp;travelmode=car" TargetMode="External"/><Relationship Id="rId2456" Type="http://schemas.openxmlformats.org/officeDocument/2006/relationships/hyperlink" Target="https://www.google.com/maps/dir/?api=1&amp;origin=Gymnasium+Kirchheim,+Heimstettner+Str.+3,+85551+Kirchheim+bei+M&#252;nchen&amp;destination=48.07634220529601,12.147385007013046&amp;travelmode=car" TargetMode="External"/><Relationship Id="rId2663" Type="http://schemas.openxmlformats.org/officeDocument/2006/relationships/hyperlink" Target="https://www.google.com/maps/dir/?api=1&amp;origin=Gymnasium+Kirchheim,+Heimstettner+Str.+3,+85551+Kirchheim+bei+M&#252;nchen&amp;destination=48.0569366004174,11.489371450790154&amp;travelmode=car" TargetMode="External"/><Relationship Id="rId2870" Type="http://schemas.openxmlformats.org/officeDocument/2006/relationships/hyperlink" Target="https://www.google.com/maps/dir/?api=1&amp;origin=Gymnasium+Kirchheim,+Heimstettner+Str.+3,+85551+Kirchheim+bei+M&#252;nchen&amp;destination=48.04039925139792,11.847249383329679&amp;travelmode=car" TargetMode="External"/><Relationship Id="rId3507" Type="http://schemas.openxmlformats.org/officeDocument/2006/relationships/hyperlink" Target="https://www.google.com/maps/dir/?api=1&amp;origin=Gymnasium+Kirchheim,+Heimstettner+Str.+3,+85551+Kirchheim+bei+M&#252;nchen&amp;destination=47.98572953886427,12.089668514337413&amp;travelmode=car" TargetMode="External"/><Relationship Id="rId428" Type="http://schemas.openxmlformats.org/officeDocument/2006/relationships/hyperlink" Target="https://www.google.com/maps/dir/?api=1&amp;origin=Gymnasium+Kirchheim,+Heimstettner+Str.+3,+85551+Kirchheim+bei+M&#252;nchen&amp;destination=48.25122720786927,12.101211892775435&amp;travelmode=car" TargetMode="External"/><Relationship Id="rId635" Type="http://schemas.openxmlformats.org/officeDocument/2006/relationships/hyperlink" Target="https://www.google.com/maps/dir/?api=1&amp;origin=Gymnasium+Kirchheim,+Heimstettner+Str.+3,+85551+Kirchheim+bei+M&#252;nchen&amp;destination=48.23153623408323,11.454737254395377&amp;travelmode=car" TargetMode="External"/><Relationship Id="rId842" Type="http://schemas.openxmlformats.org/officeDocument/2006/relationships/hyperlink" Target="https://www.google.com/maps/dir/?api=1&amp;origin=Gymnasium+Kirchheim,+Heimstettner+Str.+3,+85551+Kirchheim+bei+M&#252;nchen&amp;destination=48.215220723340586,11.789528545213775&amp;travelmode=car" TargetMode="External"/><Relationship Id="rId1058" Type="http://schemas.openxmlformats.org/officeDocument/2006/relationships/hyperlink" Target="https://www.google.com/maps/dir/?api=1&amp;origin=Gymnasium+Kirchheim,+Heimstettner+Str.+3,+85551+Kirchheim+bei+M&#252;nchen&amp;destination=48.1938151539784,11.235385797131558&amp;travelmode=car" TargetMode="External"/><Relationship Id="rId1265" Type="http://schemas.openxmlformats.org/officeDocument/2006/relationships/hyperlink" Target="https://www.google.com/maps/dir/?api=1&amp;origin=Gymnasium+Kirchheim,+Heimstettner+Str.+3,+85551+Kirchheim+bei+M&#252;nchen&amp;destination=48.17802882741626,11.604817928870196&amp;travelmode=car" TargetMode="External"/><Relationship Id="rId1472" Type="http://schemas.openxmlformats.org/officeDocument/2006/relationships/hyperlink" Target="https://www.google.com/maps/dir/?api=1&amp;origin=Gymnasium+Kirchheim,+Heimstettner+Str.+3,+85551+Kirchheim+bei+M&#252;nchen&amp;destination=48.16113331479807,11.962688898444616&amp;travelmode=car" TargetMode="External"/><Relationship Id="rId2109" Type="http://schemas.openxmlformats.org/officeDocument/2006/relationships/hyperlink" Target="https://www.google.com/maps/dir/?api=1&amp;origin=Gymnasium+Kirchheim,+Heimstettner+Str.+3,+85551+Kirchheim+bei+M&#252;nchen&amp;destination=48.10622100518295,12.205100461762754&amp;travelmode=car" TargetMode="External"/><Relationship Id="rId2316" Type="http://schemas.openxmlformats.org/officeDocument/2006/relationships/hyperlink" Target="https://www.google.com/maps/dir/?api=1&amp;origin=Gymnasium+Kirchheim,+Heimstettner+Str.+3,+85551+Kirchheim+bei+M&#252;nchen&amp;destination=48.08714466281614,11.547094869402834&amp;travelmode=car" TargetMode="External"/><Relationship Id="rId2523" Type="http://schemas.openxmlformats.org/officeDocument/2006/relationships/hyperlink" Target="https://www.google.com/maps/dir/?api=1&amp;origin=Gymnasium+Kirchheim,+Heimstettner+Str.+3,+85551+Kirchheim+bei+M&#252;nchen&amp;destination=48.070428230344646,11.90496952282889&amp;travelmode=car" TargetMode="External"/><Relationship Id="rId2730" Type="http://schemas.openxmlformats.org/officeDocument/2006/relationships/hyperlink" Target="https://www.google.com/maps/dir/?api=1&amp;origin=Gymnasium+Kirchheim,+Heimstettner+Str.+3,+85551+Kirchheim+bei+M&#252;nchen&amp;destination=48.04963965243894,11.246930644367383&amp;travelmode=car" TargetMode="External"/><Relationship Id="rId702" Type="http://schemas.openxmlformats.org/officeDocument/2006/relationships/hyperlink" Target="https://www.google.com/maps/dir/?api=1&amp;origin=Gymnasium+Kirchheim,+Heimstettner+Str.+3,+85551+Kirchheim+bei+M&#252;nchen&amp;destination=48.22753277666348,12.21664342242148&amp;travelmode=car" TargetMode="External"/><Relationship Id="rId1125" Type="http://schemas.openxmlformats.org/officeDocument/2006/relationships/hyperlink" Target="https://www.google.com/maps/dir/?api=1&amp;origin=Gymnasium+Kirchheim,+Heimstettner+Str.+3,+85551+Kirchheim+bei+M&#252;nchen&amp;destination=48.19110452987067,12.02040744491661&amp;travelmode=car" TargetMode="External"/><Relationship Id="rId1332" Type="http://schemas.openxmlformats.org/officeDocument/2006/relationships/hyperlink" Target="https://www.google.com/maps/dir/?api=1&amp;origin=Gymnasium+Kirchheim,+Heimstettner+Str.+3,+85551+Kirchheim+bei+M&#252;nchen&amp;destination=48.17097452309024,11.362378987427904&amp;travelmode=car" TargetMode="External"/><Relationship Id="rId3297" Type="http://schemas.openxmlformats.org/officeDocument/2006/relationships/hyperlink" Target="https://www.google.com/maps/dir/?api=1&amp;origin=Gymnasium+Kirchheim,+Heimstettner+Str.+3,+85551+Kirchheim+bei+M&#252;nchen&amp;destination=48.00316459887716,11.69717391402856&amp;travelmode=car" TargetMode="External"/><Relationship Id="rId3157" Type="http://schemas.openxmlformats.org/officeDocument/2006/relationships/hyperlink" Target="https://www.google.com/maps/dir/?api=1&amp;origin=Gymnasium+Kirchheim,+Heimstettner+Str.+3,+85551+Kirchheim+bei+M&#252;nchen&amp;destination=48.015907572164004,12.112755231783899&amp;travelmode=car" TargetMode="External"/><Relationship Id="rId285" Type="http://schemas.openxmlformats.org/officeDocument/2006/relationships/hyperlink" Target="https://www.google.com/maps/dir/?api=1&amp;origin=Gymnasium+Kirchheim,+Heimstettner+Str.+3,+85551+Kirchheim+bei+M&#252;nchen&amp;destination=48.26186561887584,11.466281997410366&amp;travelmode=car" TargetMode="External"/><Relationship Id="rId3364" Type="http://schemas.openxmlformats.org/officeDocument/2006/relationships/hyperlink" Target="https://www.google.com/maps/dir/?api=1&amp;origin=Gymnasium+Kirchheim,+Heimstettner+Str.+3,+85551+Kirchheim+bei+M&#252;nchen&amp;destination=47.99632635994817,11.44319250119349&amp;travelmode=car" TargetMode="External"/><Relationship Id="rId3571" Type="http://schemas.openxmlformats.org/officeDocument/2006/relationships/hyperlink" Target="https://www.google.com/maps/dir/?api=1&amp;origin=Gymnasium+Kirchheim,+Heimstettner+Str.+3,+85551+Kirchheim+bei+M&#252;nchen&amp;destination=47.979874508751905,11.81261696011681&amp;travelmode=car" TargetMode="External"/><Relationship Id="rId492" Type="http://schemas.openxmlformats.org/officeDocument/2006/relationships/hyperlink" Target="https://www.google.com/maps/dir/?api=1&amp;origin=Gymnasium+Kirchheim,+Heimstettner+Str.+3,+85551+Kirchheim+bei+M&#252;nchen&amp;destination=48.24539990407657,11.824161128262173&amp;travelmode=car" TargetMode="External"/><Relationship Id="rId2173" Type="http://schemas.openxmlformats.org/officeDocument/2006/relationships/hyperlink" Target="https://www.google.com/maps/dir/?api=1&amp;origin=Gymnasium+Kirchheim,+Heimstettner+Str.+3,+85551+Kirchheim+bei+M&#252;nchen&amp;destination=48.1006432311807,11.928057368395926&amp;travelmode=car" TargetMode="External"/><Relationship Id="rId2380" Type="http://schemas.openxmlformats.org/officeDocument/2006/relationships/hyperlink" Target="https://www.google.com/maps/dir/?api=1&amp;origin=Gymnasium+Kirchheim,+Heimstettner+Str.+3,+85551+Kirchheim+bei+M&#252;nchen&amp;destination=48.079986369037805,11.27002033596574&amp;travelmode=car" TargetMode="External"/><Relationship Id="rId3017" Type="http://schemas.openxmlformats.org/officeDocument/2006/relationships/hyperlink" Target="https://www.google.com/maps/dir/?api=1&amp;origin=Gymnasium+Kirchheim,+Heimstettner+Str.+3,+85551+Kirchheim+bei+M&#252;nchen&amp;destination=48.02652980019728,11.512460857153851&amp;travelmode=car" TargetMode="External"/><Relationship Id="rId3224" Type="http://schemas.openxmlformats.org/officeDocument/2006/relationships/hyperlink" Target="https://www.google.com/maps/dir/?api=1&amp;origin=Gymnasium+Kirchheim,+Heimstettner+Str.+3,+85551+Kirchheim+bei+M&#252;nchen&amp;destination=48.009920817424934,11.870337526618448&amp;travelmode=car" TargetMode="External"/><Relationship Id="rId3431" Type="http://schemas.openxmlformats.org/officeDocument/2006/relationships/hyperlink" Target="https://www.google.com/maps/dir/?api=1&amp;origin=Gymnasium+Kirchheim,+Heimstettner+Str.+3,+85551+Kirchheim+bei+M&#252;nchen&amp;destination=47.99220158959049,12.228186338432307&amp;travelmode=car" TargetMode="External"/><Relationship Id="rId145" Type="http://schemas.openxmlformats.org/officeDocument/2006/relationships/hyperlink" Target="https://www.google.com/maps/dir/?api=1&amp;origin=Gymnasium+Kirchheim,+Heimstettner+Str.+3,+85551+Kirchheim+bei+M&#252;nchen&amp;destination=48.27537457784463,11.893425553951282&amp;travelmode=car" TargetMode="External"/><Relationship Id="rId352" Type="http://schemas.openxmlformats.org/officeDocument/2006/relationships/hyperlink" Target="https://www.google.com/maps/dir/?api=1&amp;origin=Gymnasium+Kirchheim,+Heimstettner+Str.+3,+85551+Kirchheim+bei+M&#252;nchen&amp;destination=48.25768539695642,12.239729209273484&amp;travelmode=car" TargetMode="External"/><Relationship Id="rId2033" Type="http://schemas.openxmlformats.org/officeDocument/2006/relationships/hyperlink" Target="https://www.google.com/maps/dir/?api=1&amp;origin=Gymnasium+Kirchheim,+Heimstettner+Str.+3,+85551+Kirchheim+bei+M&#252;nchen&amp;destination=48.110304199093676,11.327744523821421&amp;travelmode=car" TargetMode="External"/><Relationship Id="rId2240" Type="http://schemas.openxmlformats.org/officeDocument/2006/relationships/hyperlink" Target="https://www.google.com/maps/dir/?api=1&amp;origin=Gymnasium+Kirchheim,+Heimstettner+Str.+3,+85551+Kirchheim+bei+M&#252;nchen&amp;destination=48.09426829805307,11.685629484445332&amp;travelmode=car" TargetMode="External"/><Relationship Id="rId212" Type="http://schemas.openxmlformats.org/officeDocument/2006/relationships/hyperlink" Target="https://www.google.com/maps/dir/?api=1&amp;origin=Gymnasium+Kirchheim,+Heimstettner+Str.+3,+85551+Kirchheim+bei+M&#252;nchen&amp;destination=48.2689684539238,11.639451564999296&amp;travelmode=car" TargetMode="External"/><Relationship Id="rId1799" Type="http://schemas.openxmlformats.org/officeDocument/2006/relationships/hyperlink" Target="https://www.google.com/maps/dir/?api=1&amp;origin=Gymnasium+Kirchheim,+Heimstettner+Str.+3,+85551+Kirchheim+bei+M&#252;nchen&amp;destination=48.13225397749971,11.67408503422851&amp;travelmode=car" TargetMode="External"/><Relationship Id="rId2100" Type="http://schemas.openxmlformats.org/officeDocument/2006/relationships/hyperlink" Target="https://www.google.com/maps/dir/?api=1&amp;origin=Gymnasium+Kirchheim,+Heimstettner+Str.+3,+85551+Kirchheim+bei+M&#252;nchen&amp;destination=48.107052861792326,12.101211892775435&amp;travelmode=car" TargetMode="External"/><Relationship Id="rId1659" Type="http://schemas.openxmlformats.org/officeDocument/2006/relationships/hyperlink" Target="https://www.google.com/maps/dir/?api=1&amp;origin=Gymnasium+Kirchheim,+Heimstettner+Str.+3,+85551+Kirchheim+bei+M&#252;nchen&amp;destination=48.14508013189668,12.089668514337413&amp;travelmode=car" TargetMode="External"/><Relationship Id="rId1866" Type="http://schemas.openxmlformats.org/officeDocument/2006/relationships/hyperlink" Target="https://www.google.com/maps/dir/?api=1&amp;origin=Gymnasium+Kirchheim,+Heimstettner+Str.+3,+85551+Kirchheim+bei+M&#252;nchen&amp;destination=48.12534525729876,11.431647738327094&amp;travelmode=car" TargetMode="External"/><Relationship Id="rId2917" Type="http://schemas.openxmlformats.org/officeDocument/2006/relationships/hyperlink" Target="https://www.google.com/maps/dir/?api=1&amp;origin=Gymnasium+Kirchheim,+Heimstettner+Str.+3,+85551+Kirchheim+bei+M&#252;nchen&amp;destination=48.03437443496926,11.373923797311125&amp;travelmode=car" TargetMode="External"/><Relationship Id="rId3081" Type="http://schemas.openxmlformats.org/officeDocument/2006/relationships/hyperlink" Target="https://www.google.com/maps/dir/?api=1&amp;origin=Gymnasium+Kirchheim,+Heimstettner+Str.+3,+85551+Kirchheim+bei+M&#252;nchen&amp;destination=48.01928831399052,11.235385797131558&amp;travelmode=car" TargetMode="External"/><Relationship Id="rId1519" Type="http://schemas.openxmlformats.org/officeDocument/2006/relationships/hyperlink" Target="https://www.google.com/maps/dir/?api=1&amp;origin=Gymnasium+Kirchheim,+Heimstettner+Str.+3,+85551+Kirchheim+bei+M&#252;nchen&amp;destination=48.15558220562794,11.489371450790154&amp;travelmode=car" TargetMode="External"/><Relationship Id="rId1726" Type="http://schemas.openxmlformats.org/officeDocument/2006/relationships/hyperlink" Target="https://www.google.com/maps/dir/?api=1&amp;origin=Gymnasium+Kirchheim,+Heimstettner+Str.+3,+85551+Kirchheim+bei+M&#252;nchen&amp;destination=48.139044856608464,11.847249383329679&amp;travelmode=car" TargetMode="External"/><Relationship Id="rId1933" Type="http://schemas.openxmlformats.org/officeDocument/2006/relationships/hyperlink" Target="https://www.google.com/maps/dir/?api=1&amp;origin=Gymnasium+Kirchheim,+Heimstettner+Str.+3,+85551+Kirchheim+bei+M&#252;nchen&amp;destination=48.121397252138415,12.205100461762754&amp;travelmode=car" TargetMode="External"/><Relationship Id="rId18" Type="http://schemas.openxmlformats.org/officeDocument/2006/relationships/hyperlink" Target="https://www.google.com/maps/dir/?api=1&amp;origin=Gymnasium+Kirchheim,+Heimstettner+Str.+3,+85551+Kirchheim+bei+M&#252;nchen&amp;destination=48.28471549311295,11.420102966318577&amp;travelmode=car" TargetMode="External"/><Relationship Id="rId679" Type="http://schemas.openxmlformats.org/officeDocument/2006/relationships/hyperlink" Target="https://www.google.com/maps/dir/?api=1&amp;origin=Gymnasium+Kirchheim,+Heimstettner+Str.+3,+85551+Kirchheim+bei+M&#252;nchen&amp;destination=48.22949921610337,11.95114508756474&amp;travelmode=car" TargetMode="External"/><Relationship Id="rId886" Type="http://schemas.openxmlformats.org/officeDocument/2006/relationships/hyperlink" Target="https://www.google.com/maps/dir/?api=1&amp;origin=Gymnasium+Kirchheim,+Heimstettner+Str.+3,+85551+Kirchheim+bei+M&#252;nchen&amp;destination=48.20897984631021,11.281565179283442&amp;travelmode=car" TargetMode="External"/><Relationship Id="rId2567" Type="http://schemas.openxmlformats.org/officeDocument/2006/relationships/hyperlink" Target="https://www.google.com/maps/dir/?api=1&amp;origin=Gymnasium+Kirchheim,+Heimstettner+Str.+3,+85551+Kirchheim+bei+M&#252;nchen&amp;destination=48.06469573147358,11.397013396964736&amp;travelmode=car" TargetMode="External"/><Relationship Id="rId2774" Type="http://schemas.openxmlformats.org/officeDocument/2006/relationships/hyperlink" Target="https://www.google.com/maps/dir/?api=1&amp;origin=Gymnasium+Kirchheim,+Heimstettner+Str.+3,+85551+Kirchheim+bei+M&#252;nchen&amp;destination=48.04844492189319,11.754895734161472&amp;travelmode=car" TargetMode="External"/><Relationship Id="rId2" Type="http://schemas.openxmlformats.org/officeDocument/2006/relationships/hyperlink" Target="https://www.google.com/maps/dir/?api=1&amp;origin=Gymnasium+Kirchheim,+Heimstettner+Str.+3,+85551+Kirchheim+bei+M&#252;nchen&amp;destination=48.28487148024868,11.246930644367383&amp;travelmode=car" TargetMode="External"/><Relationship Id="rId539" Type="http://schemas.openxmlformats.org/officeDocument/2006/relationships/hyperlink" Target="https://www.google.com/maps/dir/?api=1&amp;origin=Gymnasium+Kirchheim,+Heimstettner+Str.+3,+85551+Kirchheim+bei+M&#252;nchen&amp;destination=48.239280344455665,11.350834171536942&amp;travelmode=car" TargetMode="External"/><Relationship Id="rId746" Type="http://schemas.openxmlformats.org/officeDocument/2006/relationships/hyperlink" Target="https://www.google.com/maps/dir/?api=1&amp;origin=Gymnasium+Kirchheim,+Heimstettner+Str.+3,+85551+Kirchheim+bei+M&#252;nchen&amp;destination=48.223172806907144,11.708718322455919&amp;travelmode=car" TargetMode="External"/><Relationship Id="rId1169" Type="http://schemas.openxmlformats.org/officeDocument/2006/relationships/hyperlink" Target="https://www.google.com/maps/dir/?api=1&amp;origin=Gymnasium+Kirchheim,+Heimstettner+Str.+3,+85551+Kirchheim+bei+M&#252;nchen&amp;destination=48.185880393229674,11.512460857153851&amp;travelmode=car" TargetMode="External"/><Relationship Id="rId1376" Type="http://schemas.openxmlformats.org/officeDocument/2006/relationships/hyperlink" Target="https://www.google.com/maps/dir/?api=1&amp;origin=Gymnasium+Kirchheim,+Heimstettner+Str.+3,+85551+Kirchheim+bei+M&#252;nchen&amp;destination=48.16927141045734,11.870337526618448&amp;travelmode=car" TargetMode="External"/><Relationship Id="rId1583" Type="http://schemas.openxmlformats.org/officeDocument/2006/relationships/hyperlink" Target="https://www.google.com/maps/dir/?api=1&amp;origin=Gymnasium+Kirchheim,+Heimstettner+Str.+3,+85551+Kirchheim+bei+M&#252;nchen&amp;destination=48.15155218262291,12.228186338432307&amp;travelmode=car" TargetMode="External"/><Relationship Id="rId2427" Type="http://schemas.openxmlformats.org/officeDocument/2006/relationships/hyperlink" Target="https://www.google.com/maps/dir/?api=1&amp;origin=Gymnasium+Kirchheim,+Heimstettner+Str.+3,+85551+Kirchheim+bei+M&#252;nchen&amp;destination=48.078461187566425,11.824161128262173&amp;travelmode=car" TargetMode="External"/><Relationship Id="rId2981" Type="http://schemas.openxmlformats.org/officeDocument/2006/relationships/hyperlink" Target="https://www.google.com/maps/dir/?api=1&amp;origin=Gymnasium+Kirchheim,+Heimstettner+Str.+3,+85551+Kirchheim+bei+M&#252;nchen&amp;destination=48.031083819119466,12.112755231783899&amp;travelmode=car" TargetMode="External"/><Relationship Id="rId953" Type="http://schemas.openxmlformats.org/officeDocument/2006/relationships/hyperlink" Target="https://www.google.com/maps/dir/?api=1&amp;origin=Gymnasium+Kirchheim,+Heimstettner+Str.+3,+85551+Kirchheim+bei+M&#252;nchen&amp;destination=48.2059549595807,12.066581641260367&amp;travelmode=car" TargetMode="External"/><Relationship Id="rId1029" Type="http://schemas.openxmlformats.org/officeDocument/2006/relationships/hyperlink" Target="https://www.google.com/maps/dir/?api=1&amp;origin=Gymnasium+Kirchheim,+Heimstettner+Str.+3,+85551+Kirchheim+bei+M&#252;nchen&amp;destination=48.19928883639124,11.928057368395926&amp;travelmode=car" TargetMode="External"/><Relationship Id="rId1236" Type="http://schemas.openxmlformats.org/officeDocument/2006/relationships/hyperlink" Target="https://www.google.com/maps/dir/?api=1&amp;origin=Gymnasium+Kirchheim,+Heimstettner+Str.+3,+85551+Kirchheim+bei+M&#252;nchen&amp;destination=48.17863197424834,11.27002033596574&amp;travelmode=car" TargetMode="External"/><Relationship Id="rId1790" Type="http://schemas.openxmlformats.org/officeDocument/2006/relationships/hyperlink" Target="https://www.google.com/maps/dir/?api=1&amp;origin=Gymnasium+Kirchheim,+Heimstettner+Str.+3,+85551+Kirchheim+bei+M&#252;nchen&amp;destination=48.132607543084475,11.570184139943638&amp;travelmode=car" TargetMode="External"/><Relationship Id="rId2634" Type="http://schemas.openxmlformats.org/officeDocument/2006/relationships/hyperlink" Target="https://www.google.com/maps/dir/?api=1&amp;origin=Gymnasium+Kirchheim,+Heimstettner+Str.+3,+85551+Kirchheim+bei+M&#252;nchen&amp;destination=48.06097994612217,12.170471317116936&amp;travelmode=car" TargetMode="External"/><Relationship Id="rId2841" Type="http://schemas.openxmlformats.org/officeDocument/2006/relationships/hyperlink" Target="https://www.google.com/maps/dir/?api=1&amp;origin=Gymnasium+Kirchheim,+Heimstettner+Str.+3,+85551+Kirchheim+bei+M&#252;nchen&amp;destination=48.04170604715273,11.512460857153851&amp;travelmode=car" TargetMode="External"/><Relationship Id="rId82" Type="http://schemas.openxmlformats.org/officeDocument/2006/relationships/hyperlink" Target="https://www.google.com/maps/dir/?api=1&amp;origin=Gymnasium+Kirchheim,+Heimstettner+Str.+3,+85551+Kirchheim+bei+M&#252;nchen&amp;destination=48.28103552697645,12.170471317116936&amp;travelmode=car" TargetMode="External"/><Relationship Id="rId606" Type="http://schemas.openxmlformats.org/officeDocument/2006/relationships/hyperlink" Target="https://www.google.com/maps/dir/?api=1&amp;origin=Gymnasium+Kirchheim,+Heimstettner+Str.+3,+85551+Kirchheim+bei+M&#252;nchen&amp;destination=48.23587418995042,12.12429853084091&amp;travelmode=car" TargetMode="External"/><Relationship Id="rId813" Type="http://schemas.openxmlformats.org/officeDocument/2006/relationships/hyperlink" Target="https://www.google.com/maps/dir/?api=1&amp;origin=Gymnasium+Kirchheim,+Heimstettner+Str.+3,+85551+Kirchheim+bei+M&#252;nchen&amp;destination=48.216336878009436,11.466281997410366&amp;travelmode=car" TargetMode="External"/><Relationship Id="rId1443" Type="http://schemas.openxmlformats.org/officeDocument/2006/relationships/hyperlink" Target="https://www.google.com/maps/dir/?api=1&amp;origin=Gymnasium+Kirchheim,+Heimstettner+Str.+3,+85551+Kirchheim+bei+M&#252;nchen&amp;destination=48.16277516571522,11.627907037470955&amp;travelmode=car" TargetMode="External"/><Relationship Id="rId1650" Type="http://schemas.openxmlformats.org/officeDocument/2006/relationships/hyperlink" Target="https://www.google.com/maps/dir/?api=1&amp;origin=Gymnasium+Kirchheim,+Heimstettner+Str.+3,+85551+Kirchheim+bei+M&#252;nchen&amp;destination=48.145883122574375,11.97423267615872&amp;travelmode=car" TargetMode="External"/><Relationship Id="rId2701" Type="http://schemas.openxmlformats.org/officeDocument/2006/relationships/hyperlink" Target="https://www.google.com/maps/dir/?api=1&amp;origin=Gymnasium+Kirchheim,+Heimstettner+Str.+3,+85551+Kirchheim+bei+M&#252;nchen&amp;destination=48.05504401085237,11.939601244041153&amp;travelmode=car" TargetMode="External"/><Relationship Id="rId1303" Type="http://schemas.openxmlformats.org/officeDocument/2006/relationships/hyperlink" Target="https://www.google.com/maps/dir/?api=1&amp;origin=Gymnasium+Kirchheim,+Heimstettner+Str.+3,+85551+Kirchheim+bei+M&#252;nchen&amp;destination=48.17576768472451,12.043494616728212&amp;travelmode=car" TargetMode="External"/><Relationship Id="rId1510" Type="http://schemas.openxmlformats.org/officeDocument/2006/relationships/hyperlink" Target="https://www.google.com/maps/dir/?api=1&amp;origin=Gymnasium+Kirchheim,+Heimstettner+Str.+3,+85551+Kirchheim+bei+M&#252;nchen&amp;destination=48.155769389636426,11.385468600664204&amp;travelmode=car" TargetMode="External"/><Relationship Id="rId3268" Type="http://schemas.openxmlformats.org/officeDocument/2006/relationships/hyperlink" Target="https://www.google.com/maps/dir/?api=1&amp;origin=Gymnasium+Kirchheim,+Heimstettner+Str.+3,+85551+Kirchheim+bei+M&#252;nchen&amp;destination=48.004035806580106,11.362378987427904&amp;travelmode=car" TargetMode="External"/><Relationship Id="rId3475" Type="http://schemas.openxmlformats.org/officeDocument/2006/relationships/hyperlink" Target="https://www.google.com/maps/dir/?api=1&amp;origin=Gymnasium+Kirchheim,+Heimstettner+Str.+3,+85551+Kirchheim+bei+M&#252;nchen&amp;destination=47.98789245089602,11.720262709205143&amp;travelmode=car" TargetMode="External"/><Relationship Id="rId189" Type="http://schemas.openxmlformats.org/officeDocument/2006/relationships/hyperlink" Target="https://www.google.com/maps/dir/?api=1&amp;origin=Gymnasium+Kirchheim,+Heimstettner+Str.+3,+85551+Kirchheim+bei+M&#252;nchen&amp;destination=48.269606262779,11.373923797311125&amp;travelmode=car" TargetMode="External"/><Relationship Id="rId396" Type="http://schemas.openxmlformats.org/officeDocument/2006/relationships/hyperlink" Target="https://www.google.com/maps/dir/?api=1&amp;origin=Gymnasium+Kirchheim,+Heimstettner+Str.+3,+85551+Kirchheim+bei+M&#252;nchen&amp;destination=48.25342708904234,11.731807073753979&amp;travelmode=car" TargetMode="External"/><Relationship Id="rId2077" Type="http://schemas.openxmlformats.org/officeDocument/2006/relationships/hyperlink" Target="https://www.google.com/maps/dir/?api=1&amp;origin=Gymnasium+Kirchheim,+Heimstettner+Str.+3,+85551+Kirchheim+bei+M&#252;nchen&amp;destination=48.10875359975036,11.835705269507187&amp;travelmode=car" TargetMode="External"/><Relationship Id="rId2284" Type="http://schemas.openxmlformats.org/officeDocument/2006/relationships/hyperlink" Target="https://www.google.com/maps/dir/?api=1&amp;origin=Gymnasium+Kirchheim,+Heimstettner+Str.+3,+85551+Kirchheim+bei+M&#252;nchen&amp;destination=48.091237701220166,12.182014408588692&amp;travelmode=car" TargetMode="External"/><Relationship Id="rId2491" Type="http://schemas.openxmlformats.org/officeDocument/2006/relationships/hyperlink" Target="https://www.google.com/maps/dir/?api=1&amp;origin=Gymnasium+Kirchheim,+Heimstettner+Str.+3,+85551+Kirchheim+bei+M&#252;nchen&amp;destination=48.07199961302358,11.535550212322528&amp;travelmode=car" TargetMode="External"/><Relationship Id="rId3128" Type="http://schemas.openxmlformats.org/officeDocument/2006/relationships/hyperlink" Target="https://www.google.com/maps/dir/?api=1&amp;origin=Gymnasium+Kirchheim,+Heimstettner+Str.+3,+85551+Kirchheim+bei+M&#252;nchen&amp;destination=48.01798497329261,11.777984299500497&amp;travelmode=car" TargetMode="External"/><Relationship Id="rId3335" Type="http://schemas.openxmlformats.org/officeDocument/2006/relationships/hyperlink" Target="https://www.google.com/maps/dir/?api=1&amp;origin=Gymnasium+Kirchheim,+Heimstettner+Str.+3,+85551+Kirchheim+bei+M&#252;nchen&amp;destination=48.00055224390814,12.135841789424584&amp;travelmode=car" TargetMode="External"/><Relationship Id="rId3542" Type="http://schemas.openxmlformats.org/officeDocument/2006/relationships/hyperlink" Target="https://www.google.com/maps/dir/?api=1&amp;origin=Gymnasium+Kirchheim,+Heimstettner+Str.+3,+85551+Kirchheim+bei+M&#252;nchen&amp;destination=47.98108078563969,11.477826729716085&amp;travelmode=car" TargetMode="External"/><Relationship Id="rId256" Type="http://schemas.openxmlformats.org/officeDocument/2006/relationships/hyperlink" Target="https://www.google.com/maps/dir/?api=1&amp;origin=Gymnasium+Kirchheim,+Heimstettner+Str.+3,+85551+Kirchheim+bei+M&#252;nchen&amp;destination=48.26613656562883,12.135841789424584&amp;travelmode=car" TargetMode="External"/><Relationship Id="rId463" Type="http://schemas.openxmlformats.org/officeDocument/2006/relationships/hyperlink" Target="https://www.google.com/maps/dir/?api=1&amp;origin=Gymnasium+Kirchheim,+Heimstettner+Str.+3,+85551+Kirchheim+bei+M&#252;nchen&amp;destination=48.24663968736075,11.489371450790154&amp;travelmode=car" TargetMode="External"/><Relationship Id="rId670" Type="http://schemas.openxmlformats.org/officeDocument/2006/relationships/hyperlink" Target="https://www.google.com/maps/dir/?api=1&amp;origin=Gymnasium+Kirchheim,+Heimstettner+Str.+3,+85551+Kirchheim+bei+M&#252;nchen&amp;destination=48.230102338341254,11.847249383329679&amp;travelmode=car" TargetMode="External"/><Relationship Id="rId1093" Type="http://schemas.openxmlformats.org/officeDocument/2006/relationships/hyperlink" Target="https://www.google.com/maps/dir/?api=1&amp;origin=Gymnasium+Kirchheim,+Heimstettner+Str.+3,+85551+Kirchheim+bei+M&#252;nchen&amp;destination=48.19304562326673,11.650996073983201&amp;travelmode=car" TargetMode="External"/><Relationship Id="rId2144" Type="http://schemas.openxmlformats.org/officeDocument/2006/relationships/hyperlink" Target="https://www.google.com/maps/dir/?api=1&amp;origin=Gymnasium+Kirchheim,+Heimstettner+Str.+3,+85551+Kirchheim+bei+M&#252;nchen&amp;destination=48.102184566898146,11.593273348842407&amp;travelmode=car" TargetMode="External"/><Relationship Id="rId2351" Type="http://schemas.openxmlformats.org/officeDocument/2006/relationships/hyperlink" Target="https://www.google.com/maps/dir/?api=1&amp;origin=Gymnasium+Kirchheim,+Heimstettner+Str.+3,+85551+Kirchheim+bei+M&#252;nchen&amp;destination=48.08525208002075,11.962688898444616&amp;travelmode=car" TargetMode="External"/><Relationship Id="rId3402" Type="http://schemas.openxmlformats.org/officeDocument/2006/relationships/hyperlink" Target="https://www.google.com/maps/dir/?api=1&amp;origin=Gymnasium+Kirchheim,+Heimstettner+Str.+3,+85551+Kirchheim+bei+M&#252;nchen&amp;destination=47.99461400916848,11.893425553951282&amp;travelmode=car" TargetMode="External"/><Relationship Id="rId116" Type="http://schemas.openxmlformats.org/officeDocument/2006/relationships/hyperlink" Target="https://www.google.com/maps/dir/?api=1&amp;origin=Gymnasium+Kirchheim,+Heimstettner+Str.+3,+85551+Kirchheim+bei+M&#252;nchen&amp;destination=48.27684774975948,11.547094869402834&amp;travelmode=car" TargetMode="External"/><Relationship Id="rId323" Type="http://schemas.openxmlformats.org/officeDocument/2006/relationships/hyperlink" Target="https://www.google.com/maps/dir/?api=1&amp;origin=Gymnasium+Kirchheim,+Heimstettner+Str.+3,+85551+Kirchheim+bei+M&#252;nchen&amp;destination=48.260131317288,11.90496952282889&amp;travelmode=car" TargetMode="External"/><Relationship Id="rId530" Type="http://schemas.openxmlformats.org/officeDocument/2006/relationships/hyperlink" Target="https://www.google.com/maps/dir/?api=1&amp;origin=Gymnasium+Kirchheim,+Heimstettner+Str.+3,+85551+Kirchheim+bei+M&#252;nchen&amp;destination=48.23934273938228,11.246930644367383&amp;travelmode=car" TargetMode="External"/><Relationship Id="rId1160" Type="http://schemas.openxmlformats.org/officeDocument/2006/relationships/hyperlink" Target="https://www.google.com/maps/dir/?api=1&amp;origin=Gymnasium+Kirchheim,+Heimstettner+Str.+3,+85551+Kirchheim+bei+M&#252;nchen&amp;destination=48.186088375235165,11.408558185690326&amp;travelmode=car" TargetMode="External"/><Relationship Id="rId2004" Type="http://schemas.openxmlformats.org/officeDocument/2006/relationships/hyperlink" Target="https://www.google.com/maps/dir/?api=1&amp;origin=Gymnasium+Kirchheim,+Heimstettner+Str.+3,+85551+Kirchheim+bei+M&#252;nchen&amp;destination=48.11530186134734,12.00886380508597&amp;travelmode=car" TargetMode="External"/><Relationship Id="rId2211" Type="http://schemas.openxmlformats.org/officeDocument/2006/relationships/hyperlink" Target="https://www.google.com/maps/dir/?api=1&amp;origin=Gymnasium+Kirchheim,+Heimstettner+Str.+3,+85551+Kirchheim+bei+M&#252;nchen&amp;destination=48.09510599837873,11.350834171536942&amp;travelmode=car" TargetMode="External"/><Relationship Id="rId1020" Type="http://schemas.openxmlformats.org/officeDocument/2006/relationships/hyperlink" Target="https://www.google.com/maps/dir/?api=1&amp;origin=Gymnasium+Kirchheim,+Heimstettner+Str.+3,+85551+Kirchheim+bei+M&#252;nchen&amp;destination=48.19987116321016,11.824161128262173&amp;travelmode=car" TargetMode="External"/><Relationship Id="rId1977" Type="http://schemas.openxmlformats.org/officeDocument/2006/relationships/hyperlink" Target="https://www.google.com/maps/dir/?api=1&amp;origin=Gymnasium+Kirchheim,+Heimstettner+Str.+3,+85551+Kirchheim+bei+M&#252;nchen&amp;destination=48.11698645104317,11.69717391402856&amp;travelmode=car" TargetMode="External"/><Relationship Id="rId1837" Type="http://schemas.openxmlformats.org/officeDocument/2006/relationships/hyperlink" Target="https://www.google.com/maps/dir/?api=1&amp;origin=Gymnasium+Kirchheim,+Heimstettner+Str.+3,+85551+Kirchheim+bei+M&#252;nchen&amp;destination=48.129729424329994,12.112755231783899&amp;travelmode=car" TargetMode="External"/><Relationship Id="rId3192" Type="http://schemas.openxmlformats.org/officeDocument/2006/relationships/hyperlink" Target="https://www.google.com/maps/dir/?api=1&amp;origin=Gymnasium+Kirchheim,+Heimstettner+Str.+3,+85551+Kirchheim+bei+M&#252;nchen&amp;destination=48.01140785955099,11.489371450790154&amp;travelmode=car" TargetMode="External"/><Relationship Id="rId3052" Type="http://schemas.openxmlformats.org/officeDocument/2006/relationships/hyperlink" Target="https://www.google.com/maps/dir/?api=1&amp;origin=Gymnasium+Kirchheim,+Heimstettner+Str.+3,+85551+Kirchheim+bei+M&#252;nchen&amp;destination=48.02483132058428,11.916513461151142&amp;travelmode=car" TargetMode="External"/><Relationship Id="rId180" Type="http://schemas.openxmlformats.org/officeDocument/2006/relationships/hyperlink" Target="https://www.google.com/maps/dir/?api=1&amp;origin=Gymnasium+Kirchheim,+Heimstettner+Str.+3,+85551+Kirchheim+bei+M&#252;nchen&amp;destination=48.26968945598115,11.27002033596574&amp;travelmode=car" TargetMode="External"/><Relationship Id="rId1904" Type="http://schemas.openxmlformats.org/officeDocument/2006/relationships/hyperlink" Target="https://www.google.com/maps/dir/?api=1&amp;origin=Gymnasium+Kirchheim,+Heimstettner+Str.+3,+85551+Kirchheim+bei+M&#252;nchen&amp;destination=48.123742669590946,11.870337526618448&amp;travelmode=car" TargetMode="External"/><Relationship Id="rId997" Type="http://schemas.openxmlformats.org/officeDocument/2006/relationships/hyperlink" Target="https://www.google.com/maps/dir/?api=1&amp;origin=Gymnasium+Kirchheim,+Heimstettner+Str.+3,+85551+Kirchheim+bei+M&#252;nchen&amp;destination=48.20093416239423,11.55863951211732&amp;travelmode=car" TargetMode="External"/><Relationship Id="rId2678" Type="http://schemas.openxmlformats.org/officeDocument/2006/relationships/hyperlink" Target="https://www.google.com/maps/dir/?api=1&amp;origin=Gymnasium+Kirchheim,+Heimstettner+Str.+3,+85551+Kirchheim+bei+M&#252;nchen&amp;destination=48.05641664939134,11.66254056390037&amp;travelmode=car" TargetMode="External"/><Relationship Id="rId2885" Type="http://schemas.openxmlformats.org/officeDocument/2006/relationships/hyperlink" Target="https://www.google.com/maps/dir/?api=1&amp;origin=Gymnasium+Kirchheim,+Heimstettner+Str.+3,+85551+Kirchheim+bei+M&#252;nchen&amp;destination=48.03934206031599,12.02040744491661&amp;travelmode=car" TargetMode="External"/><Relationship Id="rId857" Type="http://schemas.openxmlformats.org/officeDocument/2006/relationships/hyperlink" Target="https://www.google.com/maps/dir/?api=1&amp;origin=Gymnasium+Kirchheim,+Heimstettner+Str.+3,+85551+Kirchheim+bei+M&#252;nchen&amp;destination=48.21417623387397,11.97423267615872&amp;travelmode=car" TargetMode="External"/><Relationship Id="rId1487" Type="http://schemas.openxmlformats.org/officeDocument/2006/relationships/hyperlink" Target="https://www.google.com/maps/dir/?api=1&amp;origin=Gymnasium+Kirchheim,+Heimstettner+Str.+3,+85551+Kirchheim+bei+M&#252;nchen&amp;destination=48.15990283694055,12.135841789424584&amp;travelmode=car" TargetMode="External"/><Relationship Id="rId1694" Type="http://schemas.openxmlformats.org/officeDocument/2006/relationships/hyperlink" Target="https://www.google.com/maps/dir/?api=1&amp;origin=Gymnasium+Kirchheim,+Heimstettner+Str.+3,+85551+Kirchheim+bei+M&#252;nchen&amp;destination=48.14043137867209,11.477826729716085&amp;travelmode=car" TargetMode="External"/><Relationship Id="rId2538" Type="http://schemas.openxmlformats.org/officeDocument/2006/relationships/hyperlink" Target="https://www.google.com/maps/dir/?api=1&amp;origin=Gymnasium+Kirchheim,+Heimstettner+Str.+3,+85551+Kirchheim+bei+M&#252;nchen&amp;destination=48.069284394647724,12.078125096991752&amp;travelmode=car" TargetMode="External"/><Relationship Id="rId2745" Type="http://schemas.openxmlformats.org/officeDocument/2006/relationships/hyperlink" Target="https://www.google.com/maps/dir/?api=1&amp;origin=Gymnasium+Kirchheim,+Heimstettner+Str.+3,+85551+Kirchheim+bei+M&#252;nchen&amp;destination=48.04948366530321,11.420102966318577&amp;travelmode=car" TargetMode="External"/><Relationship Id="rId2952" Type="http://schemas.openxmlformats.org/officeDocument/2006/relationships/hyperlink" Target="https://www.google.com/maps/dir/?api=1&amp;origin=Gymnasium+Kirchheim,+Heimstettner+Str.+3,+85551+Kirchheim+bei+M&#252;nchen&amp;destination=48.03321552527054,11.766440028975659&amp;travelmode=car" TargetMode="External"/><Relationship Id="rId717" Type="http://schemas.openxmlformats.org/officeDocument/2006/relationships/hyperlink" Target="https://www.google.com/maps/dir/?api=1&amp;origin=Gymnasium+Kirchheim,+Heimstettner+Str.+3,+85551+Kirchheim+bei+M&#252;nchen&amp;destination=48.22407752191259,11.373923797311125&amp;travelmode=car" TargetMode="External"/><Relationship Id="rId924" Type="http://schemas.openxmlformats.org/officeDocument/2006/relationships/hyperlink" Target="https://www.google.com/maps/dir/?api=1&amp;origin=Gymnasium+Kirchheim,+Heimstettner+Str.+3,+85551+Kirchheim+bei+M&#252;nchen&amp;destination=48.20789834817594,11.731807073753979&amp;travelmode=car" TargetMode="External"/><Relationship Id="rId1347" Type="http://schemas.openxmlformats.org/officeDocument/2006/relationships/hyperlink" Target="https://www.google.com/maps/dir/?api=1&amp;origin=Gymnasium+Kirchheim,+Heimstettner+Str.+3,+85551+Kirchheim+bei+M&#252;nchen&amp;destination=48.1706452182341,11.535550212322528&amp;travelmode=car" TargetMode="External"/><Relationship Id="rId1554" Type="http://schemas.openxmlformats.org/officeDocument/2006/relationships/hyperlink" Target="https://www.google.com/maps/dir/?api=1&amp;origin=Gymnasium+Kirchheim,+Heimstettner+Str.+3,+85551+Kirchheim+bei+M&#252;nchen&amp;destination=48.15403046050348,11.881881555040426&amp;travelmode=car" TargetMode="External"/><Relationship Id="rId1761" Type="http://schemas.openxmlformats.org/officeDocument/2006/relationships/hyperlink" Target="https://www.google.com/maps/dir/?api=1&amp;origin=Gymnasium+Kirchheim,+Heimstettner+Str.+3,+85551+Kirchheim+bei+M&#252;nchen&amp;destination=48.133110166156534,11.235385797131558&amp;travelmode=car" TargetMode="External"/><Relationship Id="rId2605" Type="http://schemas.openxmlformats.org/officeDocument/2006/relationships/hyperlink" Target="https://www.google.com/maps/dir/?api=1&amp;origin=Gymnasium+Kirchheim,+Heimstettner+Str.+3,+85551+Kirchheim+bei+M&#252;nchen&amp;destination=48.06316362183111,11.847249383329679&amp;travelmode=car" TargetMode="External"/><Relationship Id="rId2812" Type="http://schemas.openxmlformats.org/officeDocument/2006/relationships/hyperlink" Target="https://www.google.com/maps/dir/?api=1&amp;origin=Gymnasium+Kirchheim,+Heimstettner+Str.+3,+85551+Kirchheim+bei+M&#252;nchen&amp;destination=48.04561306641583,12.193557456977898&amp;travelmode=car" TargetMode="External"/><Relationship Id="rId53" Type="http://schemas.openxmlformats.org/officeDocument/2006/relationships/hyperlink" Target="https://www.google.com/maps/dir/?api=1&amp;origin=Gymnasium+Kirchheim,+Heimstettner+Str.+3,+85551+Kirchheim+bei+M&#252;nchen&amp;destination=48.28328043973823,11.835705269507187&amp;travelmode=car" TargetMode="External"/><Relationship Id="rId1207" Type="http://schemas.openxmlformats.org/officeDocument/2006/relationships/hyperlink" Target="https://www.google.com/maps/dir/?api=1&amp;origin=Gymnasium+Kirchheim,+Heimstettner+Str.+3,+85551+Kirchheim+bei+M&#252;nchen&amp;destination=48.18397047523697,11.95114508756474&amp;travelmode=car" TargetMode="External"/><Relationship Id="rId1414" Type="http://schemas.openxmlformats.org/officeDocument/2006/relationships/hyperlink" Target="https://www.google.com/maps/dir/?api=1&amp;origin=Gymnasium+Kirchheim,+Heimstettner+Str.+3,+85551+Kirchheim+bei+M&#252;nchen&amp;destination=48.16344532813322,11.293110020250275&amp;travelmode=car" TargetMode="External"/><Relationship Id="rId1621" Type="http://schemas.openxmlformats.org/officeDocument/2006/relationships/hyperlink" Target="https://www.google.com/maps/dir/?api=1&amp;origin=Gymnasium+Kirchheim,+Heimstettner+Str.+3,+85551+Kirchheim+bei+M&#252;nchen&amp;destination=48.14751688240032,11.650996073983201&amp;travelmode=car" TargetMode="External"/><Relationship Id="rId3379" Type="http://schemas.openxmlformats.org/officeDocument/2006/relationships/hyperlink" Target="https://www.google.com/maps/dir/?api=1&amp;origin=Gymnasium+Kirchheim,+Heimstettner+Str.+3,+85551+Kirchheim+bei+M&#252;nchen&amp;destination=47.99579600872538,11.639451564999296&amp;travelmode=car" TargetMode="External"/><Relationship Id="rId3586" Type="http://schemas.openxmlformats.org/officeDocument/2006/relationships/hyperlink" Target="https://www.google.com/maps/dir/?api=1&amp;origin=Gymnasium+Kirchheim,+Heimstettner+Str.+3,+85551+Kirchheim+bei+M&#252;nchen&amp;destination=47.978869305539796,11.985776420185003&amp;travelmode=car" TargetMode="External"/><Relationship Id="rId2188" Type="http://schemas.openxmlformats.org/officeDocument/2006/relationships/hyperlink" Target="https://www.google.com/maps/dir/?api=1&amp;origin=Gymnasium+Kirchheim,+Heimstettner+Str.+3,+85551+Kirchheim+bei+M&#252;nchen&amp;destination=48.09946473831459,12.101211892775435&amp;travelmode=car" TargetMode="External"/><Relationship Id="rId2395" Type="http://schemas.openxmlformats.org/officeDocument/2006/relationships/hyperlink" Target="https://www.google.com/maps/dir/?api=1&amp;origin=Gymnasium+Kirchheim,+Heimstettner+Str.+3,+85551+Kirchheim+bei+M&#252;nchen&amp;destination=48.07977376452856,11.454737254395377&amp;travelmode=car" TargetMode="External"/><Relationship Id="rId3239" Type="http://schemas.openxmlformats.org/officeDocument/2006/relationships/hyperlink" Target="https://www.google.com/maps/dir/?api=1&amp;origin=Gymnasium+Kirchheim,+Heimstettner+Str.+3,+85551+Kirchheim+bei+M&#252;nchen&amp;destination=48.00874693629149,12.055038147665204&amp;travelmode=car" TargetMode="External"/><Relationship Id="rId3446" Type="http://schemas.openxmlformats.org/officeDocument/2006/relationships/hyperlink" Target="https://www.google.com/maps/dir/?api=1&amp;origin=Gymnasium+Kirchheim,+Heimstettner+Str.+3,+85551+Kirchheim+bei+M&#252;nchen&amp;destination=47.98883067312628,11.385468600664204&amp;travelmode=car" TargetMode="External"/><Relationship Id="rId367" Type="http://schemas.openxmlformats.org/officeDocument/2006/relationships/hyperlink" Target="https://www.google.com/maps/dir/?api=1&amp;origin=Gymnasium+Kirchheim,+Heimstettner+Str.+3,+85551+Kirchheim+bei+M&#252;nchen&amp;destination=48.254398818416924,11.397013396964736&amp;travelmode=car" TargetMode="External"/><Relationship Id="rId574" Type="http://schemas.openxmlformats.org/officeDocument/2006/relationships/hyperlink" Target="https://www.google.com/maps/dir/?api=1&amp;origin=Gymnasium+Kirchheim,+Heimstettner+Str.+3,+85551+Kirchheim+bei+M&#252;nchen&amp;destination=48.238148008836525,11.754895734161472&amp;travelmode=car" TargetMode="External"/><Relationship Id="rId2048" Type="http://schemas.openxmlformats.org/officeDocument/2006/relationships/hyperlink" Target="https://www.google.com/maps/dir/?api=1&amp;origin=Gymnasium+Kirchheim,+Heimstettner+Str.+3,+85551+Kirchheim+bei+M&#252;nchen&amp;destination=48.110026889324494,11.500916160110199&amp;travelmode=car" TargetMode="External"/><Relationship Id="rId2255" Type="http://schemas.openxmlformats.org/officeDocument/2006/relationships/hyperlink" Target="https://www.google.com/maps/dir/?api=1&amp;origin=Gymnasium+Kirchheim,+Heimstettner+Str.+3,+85551+Kirchheim+bei+M&#252;nchen&amp;destination=48.093453723368626,11.858793469207484&amp;travelmode=car" TargetMode="External"/><Relationship Id="rId227" Type="http://schemas.openxmlformats.org/officeDocument/2006/relationships/hyperlink" Target="https://www.google.com/maps/dir/?api=1&amp;origin=Gymnasium+Kirchheim,+Heimstettner+Str.+3,+85551+Kirchheim+bei+M&#252;nchen&amp;destination=48.26816427450977,11.824161128262173&amp;travelmode=car" TargetMode="External"/><Relationship Id="rId781" Type="http://schemas.openxmlformats.org/officeDocument/2006/relationships/hyperlink" Target="https://www.google.com/maps/dir/?api=1&amp;origin=Gymnasium+Kirchheim,+Heimstettner+Str.+3,+85551+Kirchheim+bei+M&#252;nchen&amp;destination=48.2207869060628,12.112755231783899&amp;travelmode=car" TargetMode="External"/><Relationship Id="rId2462" Type="http://schemas.openxmlformats.org/officeDocument/2006/relationships/hyperlink" Target="https://www.google.com/maps/dir/?api=1&amp;origin=Gymnasium+Kirchheim,+Heimstettner+Str.+3,+85551+Kirchheim+bei+M&#252;nchen&amp;destination=48.0757703071088,12.21664342242148&amp;travelmode=car" TargetMode="External"/><Relationship Id="rId3306" Type="http://schemas.openxmlformats.org/officeDocument/2006/relationships/hyperlink" Target="https://www.google.com/maps/dir/?api=1&amp;origin=Gymnasium+Kirchheim,+Heimstettner+Str.+3,+85551+Kirchheim+bei+M&#252;nchen&amp;destination=48.00275326596403,11.789528545213775&amp;travelmode=car" TargetMode="External"/><Relationship Id="rId3513" Type="http://schemas.openxmlformats.org/officeDocument/2006/relationships/hyperlink" Target="https://www.google.com/maps/dir/?api=1&amp;origin=Gymnasium+Kirchheim,+Heimstettner+Str.+3,+85551+Kirchheim+bei+M&#252;nchen&amp;destination=47.98519229502461,12.158928183084447&amp;travelmode=car" TargetMode="External"/><Relationship Id="rId434" Type="http://schemas.openxmlformats.org/officeDocument/2006/relationships/hyperlink" Target="https://www.google.com/maps/dir/?api=1&amp;origin=Gymnasium+Kirchheim,+Heimstettner+Str.+3,+85551+Kirchheim+bei+M&#252;nchen&amp;destination=48.25068303306551,12.170471317116936&amp;travelmode=car" TargetMode="External"/><Relationship Id="rId641" Type="http://schemas.openxmlformats.org/officeDocument/2006/relationships/hyperlink" Target="https://www.google.com/maps/dir/?api=1&amp;origin=Gymnasium+Kirchheim,+Heimstettner+Str.+3,+85551+Kirchheim+bei+M&#252;nchen&amp;destination=48.23140913409608,11.512460857153851&amp;travelmode=car" TargetMode="External"/><Relationship Id="rId1064" Type="http://schemas.openxmlformats.org/officeDocument/2006/relationships/hyperlink" Target="https://www.google.com/maps/dir/?api=1&amp;origin=Gymnasium+Kirchheim,+Heimstettner+Str.+3,+85551+Kirchheim+bei+M&#252;nchen&amp;destination=48.19378280104052,11.316199693041677&amp;travelmode=car" TargetMode="External"/><Relationship Id="rId1271" Type="http://schemas.openxmlformats.org/officeDocument/2006/relationships/hyperlink" Target="https://www.google.com/maps/dir/?api=1&amp;origin=Gymnasium+Kirchheim,+Heimstettner+Str.+3,+85551+Kirchheim+bei+M&#252;nchen&amp;destination=48.17778271836611,11.67408503422851&amp;travelmode=car" TargetMode="External"/><Relationship Id="rId2115" Type="http://schemas.openxmlformats.org/officeDocument/2006/relationships/hyperlink" Target="https://www.google.com/maps/dir/?api=1&amp;origin=Gymnasium+Kirchheim,+Heimstettner+Str.+3,+85551+Kirchheim+bei+M&#252;nchen&amp;destination=48.102754205858155,11.258475490819581&amp;travelmode=car" TargetMode="External"/><Relationship Id="rId2322" Type="http://schemas.openxmlformats.org/officeDocument/2006/relationships/hyperlink" Target="https://www.google.com/maps/dir/?api=1&amp;origin=Gymnasium+Kirchheim,+Heimstettner+Str.+3,+85551+Kirchheim+bei+M&#252;nchen&amp;destination=48.0869332160141,11.616362491920484&amp;travelmode=car" TargetMode="External"/><Relationship Id="rId501" Type="http://schemas.openxmlformats.org/officeDocument/2006/relationships/hyperlink" Target="https://www.google.com/maps/dir/?api=1&amp;origin=Gymnasium+Kirchheim,+Heimstettner+Str.+3,+85551+Kirchheim+bei+M&#252;nchen&amp;destination=48.24481757725764,11.928057368395926&amp;travelmode=car" TargetMode="External"/><Relationship Id="rId1131" Type="http://schemas.openxmlformats.org/officeDocument/2006/relationships/hyperlink" Target="https://www.google.com/maps/dir/?api=1&amp;origin=Gymnasium+Kirchheim,+Heimstettner+Str.+3,+85551+Kirchheim+bei+M&#252;nchen&amp;destination=48.19060887276308,12.089668514337413&amp;travelmode=car" TargetMode="External"/><Relationship Id="rId3096" Type="http://schemas.openxmlformats.org/officeDocument/2006/relationships/hyperlink" Target="https://www.google.com/maps/dir/?api=1&amp;origin=Gymnasium+Kirchheim,+Heimstettner+Str.+3,+85551+Kirchheim+bei+M&#252;nchen&amp;destination=48.01914965872503,11.408558185690326&amp;travelmode=car" TargetMode="External"/><Relationship Id="rId1948" Type="http://schemas.openxmlformats.org/officeDocument/2006/relationships/hyperlink" Target="https://www.google.com/maps/dir/?api=1&amp;origin=Gymnasium+Kirchheim,+Heimstettner+Str.+3,+85551+Kirchheim+bei+M&#252;nchen&amp;destination=48.11785765874612,11.362378987427904&amp;travelmode=car" TargetMode="External"/><Relationship Id="rId3163" Type="http://schemas.openxmlformats.org/officeDocument/2006/relationships/hyperlink" Target="https://www.google.com/maps/dir/?api=1&amp;origin=Gymnasium+Kirchheim,+Heimstettner+Str.+3,+85551+Kirchheim+bei+M&#252;nchen&amp;destination=48.01535646644284,12.182014408588692&amp;travelmode=car" TargetMode="External"/><Relationship Id="rId3370" Type="http://schemas.openxmlformats.org/officeDocument/2006/relationships/hyperlink" Target="https://www.google.com/maps/dir/?api=1&amp;origin=Gymnasium+Kirchheim,+Heimstettner+Str.+3,+85551+Kirchheim+bei+M&#252;nchen&amp;destination=47.99614841998141,11.524005541398747&amp;travelmode=car" TargetMode="External"/><Relationship Id="rId291" Type="http://schemas.openxmlformats.org/officeDocument/2006/relationships/hyperlink" Target="https://www.google.com/maps/dir/?api=1&amp;origin=Gymnasium+Kirchheim,+Heimstettner+Str.+3,+85551+Kirchheim+bei+M&#252;nchen&amp;destination=48.26170269996692,11.535550212322528&amp;travelmode=car" TargetMode="External"/><Relationship Id="rId1808" Type="http://schemas.openxmlformats.org/officeDocument/2006/relationships/hyperlink" Target="https://www.google.com/maps/dir/?api=1&amp;origin=Gymnasium+Kirchheim,+Heimstettner+Str.+3,+85551+Kirchheim+bei+M&#252;nchen&amp;destination=48.131806825458604,11.777984299500497&amp;travelmode=car" TargetMode="External"/><Relationship Id="rId3023" Type="http://schemas.openxmlformats.org/officeDocument/2006/relationships/hyperlink" Target="https://www.google.com/maps/dir/?api=1&amp;origin=Gymnasium+Kirchheim,+Heimstettner+Str.+3,+85551+Kirchheim+bei+M&#252;nchen&amp;destination=48.0263391509667,11.581728752359444&amp;travelmode=car" TargetMode="External"/><Relationship Id="rId151" Type="http://schemas.openxmlformats.org/officeDocument/2006/relationships/hyperlink" Target="https://www.google.com/maps/dir/?api=1&amp;origin=Gymnasium+Kirchheim,+Heimstettner+Str.+3,+85551+Kirchheim+bei+M&#252;nchen&amp;destination=48.27502795696978,11.95114508756474&amp;travelmode=car" TargetMode="External"/><Relationship Id="rId3230" Type="http://schemas.openxmlformats.org/officeDocument/2006/relationships/hyperlink" Target="https://www.google.com/maps/dir/?api=1&amp;origin=Gymnasium+Kirchheim,+Heimstettner+Str.+3,+85551+Kirchheim+bei+M&#252;nchen&amp;destination=48.009515269985975,11.939601244041153&amp;travelmode=car" TargetMode="External"/><Relationship Id="rId2789" Type="http://schemas.openxmlformats.org/officeDocument/2006/relationships/hyperlink" Target="https://www.google.com/maps/dir/?api=1&amp;origin=Gymnasium+Kirchheim,+Heimstettner+Str.+3,+85551+Kirchheim+bei+M&#252;nchen&amp;destination=48.04752636683657,11.928057368395926&amp;travelmode=car" TargetMode="External"/><Relationship Id="rId2996" Type="http://schemas.openxmlformats.org/officeDocument/2006/relationships/hyperlink" Target="https://www.google.com/maps/dir/?api=1&amp;origin=Gymnasium+Kirchheim,+Heimstettner+Str.+3,+85551+Kirchheim+bei+M&#252;nchen&amp;destination=48.02686950469367,11.27002033596574&amp;travelmode=car" TargetMode="External"/><Relationship Id="rId968" Type="http://schemas.openxmlformats.org/officeDocument/2006/relationships/hyperlink" Target="https://www.google.com/maps/dir/?api=1&amp;origin=Gymnasium+Kirchheim,+Heimstettner+Str.+3,+85551+Kirchheim+bei+M&#252;nchen&amp;destination=48.204568532612285,12.239729209273484&amp;travelmode=car" TargetMode="External"/><Relationship Id="rId1598" Type="http://schemas.openxmlformats.org/officeDocument/2006/relationships/hyperlink" Target="https://www.google.com/maps/dir/?api=1&amp;origin=Gymnasium+Kirchheim,+Heimstettner+Str.+3,+85551+Kirchheim+bei+M&#252;nchen&amp;destination=48.14818126615869,11.385468600664204&amp;travelmode=car" TargetMode="External"/><Relationship Id="rId2649" Type="http://schemas.openxmlformats.org/officeDocument/2006/relationships/hyperlink" Target="https://www.google.com/maps/dir/?api=1&amp;origin=Gymnasium+Kirchheim,+Heimstettner+Str.+3,+85551+Kirchheim+bei+M&#252;nchen&amp;destination=48.057187334749536,11.327744523821421&amp;travelmode=car" TargetMode="External"/><Relationship Id="rId2856" Type="http://schemas.openxmlformats.org/officeDocument/2006/relationships/hyperlink" Target="https://www.google.com/maps/dir/?api=1&amp;origin=Gymnasium+Kirchheim,+Heimstettner+Str.+3,+85551+Kirchheim+bei+M&#252;nchen&amp;destination=48.04115143370894,11.685629484445332&amp;travelmode=car" TargetMode="External"/><Relationship Id="rId97" Type="http://schemas.openxmlformats.org/officeDocument/2006/relationships/hyperlink" Target="https://www.google.com/maps/dir/?api=1&amp;origin=Gymnasium+Kirchheim,+Heimstettner+Str.+3,+85551+Kirchheim+bei+M&#252;nchen&amp;destination=48.277242915603814,11.327744523821421&amp;travelmode=car" TargetMode="External"/><Relationship Id="rId828" Type="http://schemas.openxmlformats.org/officeDocument/2006/relationships/hyperlink" Target="https://www.google.com/maps/dir/?api=1&amp;origin=Gymnasium+Kirchheim,+Heimstettner+Str.+3,+85551+Kirchheim+bei+M&#252;nchen&amp;destination=48.21585158957966,11.639451564999296&amp;travelmode=car" TargetMode="External"/><Relationship Id="rId1458" Type="http://schemas.openxmlformats.org/officeDocument/2006/relationships/hyperlink" Target="https://www.google.com/maps/dir/?api=1&amp;origin=Gymnasium+Kirchheim,+Heimstettner+Str.+3,+85551+Kirchheim+bei+M&#252;nchen&amp;destination=48.162047243277485,11.801072765593279&amp;travelmode=car" TargetMode="External"/><Relationship Id="rId1665" Type="http://schemas.openxmlformats.org/officeDocument/2006/relationships/hyperlink" Target="https://www.google.com/maps/dir/?api=1&amp;origin=Gymnasium+Kirchheim,+Heimstettner+Str.+3,+85551+Kirchheim+bei+M&#252;nchen&amp;destination=48.144542888057,12.158928183084447&amp;travelmode=car" TargetMode="External"/><Relationship Id="rId1872" Type="http://schemas.openxmlformats.org/officeDocument/2006/relationships/hyperlink" Target="https://www.google.com/maps/dir/?api=1&amp;origin=Gymnasium+Kirchheim,+Heimstettner+Str.+3,+85551+Kirchheim+bei+M&#252;nchen&amp;destination=48.125203136279964,11.500916160110199&amp;travelmode=car" TargetMode="External"/><Relationship Id="rId2509" Type="http://schemas.openxmlformats.org/officeDocument/2006/relationships/hyperlink" Target="https://www.google.com/maps/dir/?api=1&amp;origin=Gymnasium+Kirchheim,+Heimstettner+Str.+3,+85551+Kirchheim+bei+M&#252;nchen&amp;destination=48.07120929232639,11.754895734161472&amp;travelmode=car" TargetMode="External"/><Relationship Id="rId2716" Type="http://schemas.openxmlformats.org/officeDocument/2006/relationships/hyperlink" Target="https://www.google.com/maps/dir/?api=1&amp;origin=Gymnasium+Kirchheim,+Heimstettner+Str.+3,+85551+Kirchheim+bei+M&#252;nchen&amp;destination=48.054022650163866,12.089668514337413&amp;travelmode=car" TargetMode="External"/><Relationship Id="rId1318" Type="http://schemas.openxmlformats.org/officeDocument/2006/relationships/hyperlink" Target="https://www.google.com/maps/dir/?api=1&amp;origin=Gymnasium+Kirchheim,+Heimstettner+Str.+3,+85551+Kirchheim+bei+M&#252;nchen&amp;destination=48.17441591231935,12.21664342242148&amp;travelmode=car" TargetMode="External"/><Relationship Id="rId1525" Type="http://schemas.openxmlformats.org/officeDocument/2006/relationships/hyperlink" Target="https://www.google.com/maps/dir/?api=1&amp;origin=Gymnasium+Kirchheim,+Heimstettner+Str.+3,+85551+Kirchheim+bei+M&#252;nchen&amp;destination=48.15540542152784,11.55863951211732&amp;travelmode=car" TargetMode="External"/><Relationship Id="rId2923" Type="http://schemas.openxmlformats.org/officeDocument/2006/relationships/hyperlink" Target="https://www.google.com/maps/dir/?api=1&amp;origin=Gymnasium+Kirchheim,+Heimstettner+Str.+3,+85551+Kirchheim+bei+M&#252;nchen&amp;destination=48.034266977336834,11.44319250119349&amp;travelmode=car" TargetMode="External"/><Relationship Id="rId1732" Type="http://schemas.openxmlformats.org/officeDocument/2006/relationships/hyperlink" Target="https://www.google.com/maps/dir/?api=1&amp;origin=Gymnasium+Kirchheim,+Heimstettner+Str.+3,+85551+Kirchheim+bei+M&#252;nchen&amp;destination=48.13865317275029,11.916513461151142&amp;travelmode=car" TargetMode="External"/><Relationship Id="rId24" Type="http://schemas.openxmlformats.org/officeDocument/2006/relationships/hyperlink" Target="https://www.google.com/maps/dir/?api=1&amp;origin=Gymnasium+Kirchheim,+Heimstettner+Str.+3,+85551+Kirchheim+bei+M&#252;nchen&amp;destination=48.284553729312385,11.500916160110199&amp;travelmode=car" TargetMode="External"/><Relationship Id="rId2299" Type="http://schemas.openxmlformats.org/officeDocument/2006/relationships/hyperlink" Target="https://www.google.com/maps/dir/?api=1&amp;origin=Gymnasium+Kirchheim,+Heimstettner+Str.+3,+85551+Kirchheim+bei+M&#252;nchen&amp;destination=48.08750516483517,11.362378987427904&amp;travelmode=car" TargetMode="External"/><Relationship Id="rId3557" Type="http://schemas.openxmlformats.org/officeDocument/2006/relationships/hyperlink" Target="https://www.google.com/maps/dir/?api=1&amp;origin=Gymnasium+Kirchheim,+Heimstettner+Str.+3,+85551+Kirchheim+bei+M&#252;nchen&amp;destination=47.980578165890186,11.650996073983201&amp;travelmode=car" TargetMode="External"/><Relationship Id="rId478" Type="http://schemas.openxmlformats.org/officeDocument/2006/relationships/hyperlink" Target="https://www.google.com/maps/dir/?api=1&amp;origin=Gymnasium+Kirchheim,+Heimstettner+Str.+3,+85551+Kirchheim+bei+M&#252;nchen&amp;destination=48.246119736334684,11.66254056390037&amp;travelmode=car" TargetMode="External"/><Relationship Id="rId685" Type="http://schemas.openxmlformats.org/officeDocument/2006/relationships/hyperlink" Target="https://www.google.com/maps/dir/?api=1&amp;origin=Gymnasium+Kirchheim,+Heimstettner+Str.+3,+85551+Kirchheim+bei+M&#252;nchen&amp;destination=48.22904514725933,12.02040744491661&amp;travelmode=car" TargetMode="External"/><Relationship Id="rId892" Type="http://schemas.openxmlformats.org/officeDocument/2006/relationships/hyperlink" Target="https://www.google.com/maps/dir/?api=1&amp;origin=Gymnasium+Kirchheim,+Heimstettner+Str.+3,+85551+Kirchheim+bei+M&#252;nchen&amp;destination=48.208915140478915,11.362378987427904&amp;travelmode=car" TargetMode="External"/><Relationship Id="rId2159" Type="http://schemas.openxmlformats.org/officeDocument/2006/relationships/hyperlink" Target="https://www.google.com/maps/dir/?api=1&amp;origin=Gymnasium+Kirchheim,+Heimstettner+Str.+3,+85551+Kirchheim+bei+M&#252;nchen&amp;destination=48.10150863657014,11.766440028975659&amp;travelmode=car" TargetMode="External"/><Relationship Id="rId2366" Type="http://schemas.openxmlformats.org/officeDocument/2006/relationships/hyperlink" Target="https://www.google.com/maps/dir/?api=1&amp;origin=Gymnasium+Kirchheim,+Heimstettner+Str.+3,+85551+Kirchheim+bei+M&#252;nchen&amp;destination=48.08411172039575,12.12429853084091&amp;travelmode=car" TargetMode="External"/><Relationship Id="rId2573" Type="http://schemas.openxmlformats.org/officeDocument/2006/relationships/hyperlink" Target="https://www.google.com/maps/dir/?api=1&amp;origin=Gymnasium+Kirchheim,+Heimstettner+Str.+3,+85551+Kirchheim+bei+M&#252;nchen&amp;destination=48.06457440845477,11.466281997410366&amp;travelmode=car" TargetMode="External"/><Relationship Id="rId2780" Type="http://schemas.openxmlformats.org/officeDocument/2006/relationships/hyperlink" Target="https://www.google.com/maps/dir/?api=1&amp;origin=Gymnasium+Kirchheim,+Heimstettner+Str.+3,+85551+Kirchheim+bei+M&#252;nchen&amp;destination=48.048167620051515,11.81261696011681&amp;travelmode=car" TargetMode="External"/><Relationship Id="rId3417" Type="http://schemas.openxmlformats.org/officeDocument/2006/relationships/hyperlink" Target="https://www.google.com/maps/dir/?api=1&amp;origin=Gymnasium+Kirchheim,+Heimstettner+Str.+3,+85551+Kirchheim+bei+M&#252;nchen&amp;destination=47.99348750220416,12.066581641260367&amp;travelmode=car" TargetMode="External"/><Relationship Id="rId338" Type="http://schemas.openxmlformats.org/officeDocument/2006/relationships/hyperlink" Target="https://www.google.com/maps/dir/?api=1&amp;origin=Gymnasium+Kirchheim,+Heimstettner+Str.+3,+85551+Kirchheim+bei+M&#252;nchen&amp;destination=48.25898748159107,12.078125096991752&amp;travelmode=car" TargetMode="External"/><Relationship Id="rId545" Type="http://schemas.openxmlformats.org/officeDocument/2006/relationships/hyperlink" Target="https://www.google.com/maps/dir/?api=1&amp;origin=Gymnasium+Kirchheim,+Heimstettner+Str.+3,+85551+Kirchheim+bei+M&#252;nchen&amp;destination=48.23918675224653,11.420102966318577&amp;travelmode=car" TargetMode="External"/><Relationship Id="rId752" Type="http://schemas.openxmlformats.org/officeDocument/2006/relationships/hyperlink" Target="https://www.google.com/maps/dir/?api=1&amp;origin=Gymnasium+Kirchheim,+Heimstettner+Str.+3,+85551+Kirchheim+bei+M&#252;nchen&amp;destination=48.22286430719142,11.777984299500497&amp;travelmode=car" TargetMode="External"/><Relationship Id="rId1175" Type="http://schemas.openxmlformats.org/officeDocument/2006/relationships/hyperlink" Target="https://www.google.com/maps/dir/?api=1&amp;origin=Gymnasium+Kirchheim,+Heimstettner+Str.+3,+85551+Kirchheim+bei+M&#252;nchen&amp;destination=48.18568974399911,11.581728752359444&amp;travelmode=car" TargetMode="External"/><Relationship Id="rId1382" Type="http://schemas.openxmlformats.org/officeDocument/2006/relationships/hyperlink" Target="https://www.google.com/maps/dir/?api=1&amp;origin=Gymnasium+Kirchheim,+Heimstettner+Str.+3,+85551+Kirchheim+bei+M&#252;nchen&amp;destination=48.16886586301838,11.939601244041153&amp;travelmode=car" TargetMode="External"/><Relationship Id="rId2019" Type="http://schemas.openxmlformats.org/officeDocument/2006/relationships/hyperlink" Target="https://www.google.com/maps/dir/?api=1&amp;origin=Gymnasium+Kirchheim,+Heimstettner+Str.+3,+85551+Kirchheim+bei+M&#252;nchen&amp;destination=48.11400207165337,12.182014408588692&amp;travelmode=car" TargetMode="External"/><Relationship Id="rId2226" Type="http://schemas.openxmlformats.org/officeDocument/2006/relationships/hyperlink" Target="https://www.google.com/maps/dir/?api=1&amp;origin=Gymnasium+Kirchheim,+Heimstettner+Str.+3,+85551+Kirchheim+bei+M&#252;nchen&amp;destination=48.09479402519195,11.524005541398747&amp;travelmode=car" TargetMode="External"/><Relationship Id="rId2433" Type="http://schemas.openxmlformats.org/officeDocument/2006/relationships/hyperlink" Target="https://www.google.com/maps/dir/?api=1&amp;origin=Gymnasium+Kirchheim,+Heimstettner+Str.+3,+85551+Kirchheim+bei+M&#252;nchen&amp;destination=48.07814922572615,11.881881555040426&amp;travelmode=car" TargetMode="External"/><Relationship Id="rId2640" Type="http://schemas.openxmlformats.org/officeDocument/2006/relationships/hyperlink" Target="https://www.google.com/maps/dir/?api=1&amp;origin=Gymnasium+Kirchheim,+Heimstettner+Str.+3,+85551+Kirchheim+bei+M&#252;nchen&amp;destination=48.06039418653535,12.239729209273484&amp;travelmode=car" TargetMode="External"/><Relationship Id="rId405" Type="http://schemas.openxmlformats.org/officeDocument/2006/relationships/hyperlink" Target="https://www.google.com/maps/dir/?api=1&amp;origin=Gymnasium+Kirchheim,+Heimstettner+Str.+3,+85551+Kirchheim+bei+M&#252;nchen&amp;destination=48.2529279458273,11.835705269507187&amp;travelmode=car" TargetMode="External"/><Relationship Id="rId612" Type="http://schemas.openxmlformats.org/officeDocument/2006/relationships/hyperlink" Target="https://www.google.com/maps/dir/?api=1&amp;origin=Gymnasium+Kirchheim,+Heimstettner+Str.+3,+85551+Kirchheim+bei+M&#252;nchen&amp;destination=48.23531615335916,12.193557456977898&amp;travelmode=car" TargetMode="External"/><Relationship Id="rId1035" Type="http://schemas.openxmlformats.org/officeDocument/2006/relationships/hyperlink" Target="https://www.google.com/maps/dir/?api=1&amp;origin=Gymnasium+Kirchheim,+Heimstettner+Str.+3,+85551+Kirchheim+bei+M&#252;nchen&amp;destination=48.19884863061985,11.997320130001427&amp;travelmode=car" TargetMode="External"/><Relationship Id="rId1242" Type="http://schemas.openxmlformats.org/officeDocument/2006/relationships/hyperlink" Target="https://www.google.com/maps/dir/?api=1&amp;origin=Gymnasium+Kirchheim,+Heimstettner+Str.+3,+85551+Kirchheim+bei+M&#252;nchen&amp;destination=48.17858691124257,11.339289350160644&amp;travelmode=car" TargetMode="External"/><Relationship Id="rId2500" Type="http://schemas.openxmlformats.org/officeDocument/2006/relationships/hyperlink" Target="https://www.google.com/maps/dir/?api=1&amp;origin=Gymnasium+Kirchheim,+Heimstettner+Str.+3,+85551+Kirchheim+bei+M&#252;nchen&amp;destination=48.07167724350272,11.639451564999296&amp;travelmode=car" TargetMode="External"/><Relationship Id="rId1102" Type="http://schemas.openxmlformats.org/officeDocument/2006/relationships/hyperlink" Target="https://www.google.com/maps/dir/?api=1&amp;origin=Gymnasium+Kirchheim,+Heimstettner+Str.+3,+85551+Kirchheim+bei+M&#252;nchen&amp;destination=48.19261926797012,11.754895734161472&amp;travelmode=car" TargetMode="External"/><Relationship Id="rId3067" Type="http://schemas.openxmlformats.org/officeDocument/2006/relationships/hyperlink" Target="https://www.google.com/maps/dir/?api=1&amp;origin=Gymnasium+Kirchheim,+Heimstettner+Str.+3,+85551+Kirchheim+bei+M&#252;nchen&amp;destination=48.02367015625294,12.089668514337413&amp;travelmode=car" TargetMode="External"/><Relationship Id="rId3274" Type="http://schemas.openxmlformats.org/officeDocument/2006/relationships/hyperlink" Target="https://www.google.com/maps/dir/?api=1&amp;origin=Gymnasium+Kirchheim,+Heimstettner+Str.+3,+85551+Kirchheim+bei+M&#252;nchen&amp;destination=48.00393528165502,11.431647738327094&amp;travelmode=car" TargetMode="External"/><Relationship Id="rId195" Type="http://schemas.openxmlformats.org/officeDocument/2006/relationships/hyperlink" Target="https://www.google.com/maps/dir/?api=1&amp;origin=Gymnasium+Kirchheim,+Heimstettner+Str.+3,+85551+Kirchheim+bei+M&#252;nchen&amp;destination=48.26949880514658,11.44319250119349&amp;travelmode=car" TargetMode="External"/><Relationship Id="rId1919" Type="http://schemas.openxmlformats.org/officeDocument/2006/relationships/hyperlink" Target="https://www.google.com/maps/dir/?api=1&amp;origin=Gymnasium+Kirchheim,+Heimstettner+Str.+3,+85551+Kirchheim+bei+M&#252;nchen&amp;destination=48.12265082038038,12.043494616728212&amp;travelmode=car" TargetMode="External"/><Relationship Id="rId3481" Type="http://schemas.openxmlformats.org/officeDocument/2006/relationships/hyperlink" Target="https://www.google.com/maps/dir/?api=1&amp;origin=Gymnasium+Kirchheim,+Heimstettner+Str.+3,+85551+Kirchheim+bei+M&#252;nchen&amp;destination=47.98757701900857,11.789528545213775&amp;travelmode=car" TargetMode="External"/><Relationship Id="rId2083" Type="http://schemas.openxmlformats.org/officeDocument/2006/relationships/hyperlink" Target="https://www.google.com/maps/dir/?api=1&amp;origin=Gymnasium+Kirchheim,+Heimstettner+Str.+3,+85551+Kirchheim+bei+M&#252;nchen&amp;destination=48.108368847733324,11.90496952282889&amp;travelmode=car" TargetMode="External"/><Relationship Id="rId2290" Type="http://schemas.openxmlformats.org/officeDocument/2006/relationships/hyperlink" Target="https://www.google.com/maps/dir/?api=1&amp;origin=Gymnasium+Kirchheim,+Heimstettner+Str.+3,+85551+Kirchheim+bei+M&#252;nchen&amp;destination=48.08758026982761,11.246930644367383&amp;travelmode=car" TargetMode="External"/><Relationship Id="rId3134" Type="http://schemas.openxmlformats.org/officeDocument/2006/relationships/hyperlink" Target="https://www.google.com/maps/dir/?api=1&amp;origin=Gymnasium+Kirchheim,+Heimstettner+Str.+3,+85551+Kirchheim+bei+M&#252;nchen&amp;destination=48.01763488096473,11.847249383329679&amp;travelmode=car" TargetMode="External"/><Relationship Id="rId3341" Type="http://schemas.openxmlformats.org/officeDocument/2006/relationships/hyperlink" Target="https://www.google.com/maps/dir/?api=1&amp;origin=Gymnasium+Kirchheim,+Heimstettner+Str.+3,+85551+Kirchheim+bei+M&#252;nchen&amp;destination=47.99998727649468,12.205100461762754&amp;travelmode=car" TargetMode="External"/><Relationship Id="rId262" Type="http://schemas.openxmlformats.org/officeDocument/2006/relationships/hyperlink" Target="https://www.google.com/maps/dir/?api=1&amp;origin=Gymnasium+Kirchheim,+Heimstettner+Str.+3,+85551+Kirchheim+bei+M&#252;nchen&amp;destination=48.26547339405215,12.21664342242148&amp;travelmode=car" TargetMode="External"/><Relationship Id="rId2150" Type="http://schemas.openxmlformats.org/officeDocument/2006/relationships/hyperlink" Target="https://www.google.com/maps/dir/?api=1&amp;origin=Gymnasium+Kirchheim,+Heimstettner+Str.+3,+85551+Kirchheim+bei+M&#252;nchen&amp;destination=48.10194539025774,11.66254056390037&amp;travelmode=car" TargetMode="External"/><Relationship Id="rId3201" Type="http://schemas.openxmlformats.org/officeDocument/2006/relationships/hyperlink" Target="https://www.google.com/maps/dir/?api=1&amp;origin=Gymnasium+Kirchheim,+Heimstettner+Str.+3,+85551+Kirchheim+bei+M&#252;nchen&amp;destination=48.01109011090613,11.604817928870196&amp;travelmode=car" TargetMode="External"/><Relationship Id="rId122" Type="http://schemas.openxmlformats.org/officeDocument/2006/relationships/hyperlink" Target="https://www.google.com/maps/dir/?api=1&amp;origin=Gymnasium+Kirchheim,+Heimstettner+Str.+3,+85551+Kirchheim+bei+M&#252;nchen&amp;destination=48.27663630295745,11.616362491920484&amp;travelmode=car" TargetMode="External"/><Relationship Id="rId2010" Type="http://schemas.openxmlformats.org/officeDocument/2006/relationships/hyperlink" Target="https://www.google.com/maps/dir/?api=1&amp;origin=Gymnasium+Kirchheim,+Heimstettner+Str.+3,+85551+Kirchheim+bei+M&#252;nchen&amp;destination=48.114813135514126,12.078125096991752&amp;travelmode=car" TargetMode="External"/><Relationship Id="rId1569" Type="http://schemas.openxmlformats.org/officeDocument/2006/relationships/hyperlink" Target="https://www.google.com/maps/dir/?api=1&amp;origin=Gymnasium+Kirchheim,+Heimstettner+Str.+3,+85551+Kirchheim+bei+M&#252;nchen&amp;destination=48.15275375290279,12.078125096991752&amp;travelmode=car" TargetMode="External"/><Relationship Id="rId2967" Type="http://schemas.openxmlformats.org/officeDocument/2006/relationships/hyperlink" Target="https://www.google.com/maps/dir/?api=1&amp;origin=Gymnasium+Kirchheim,+Heimstettner+Str.+3,+85551+Kirchheim+bei+M&#252;nchen&amp;destination=48.03213521567662,11.962688898444616&amp;travelmode=car" TargetMode="External"/><Relationship Id="rId939" Type="http://schemas.openxmlformats.org/officeDocument/2006/relationships/hyperlink" Target="https://www.google.com/maps/dir/?api=1&amp;origin=Gymnasium+Kirchheim,+Heimstettner+Str.+3,+85551+Kirchheim+bei+M&#252;nchen&amp;destination=48.20701445294386,11.90496952282889&amp;travelmode=car" TargetMode="External"/><Relationship Id="rId1776" Type="http://schemas.openxmlformats.org/officeDocument/2006/relationships/hyperlink" Target="https://www.google.com/maps/dir/?api=1&amp;origin=Gymnasium+Kirchheim,+Heimstettner+Str.+3,+85551+Kirchheim+bei+M&#252;nchen&amp;destination=48.13297151089103,11.408558185690326&amp;travelmode=car" TargetMode="External"/><Relationship Id="rId1983" Type="http://schemas.openxmlformats.org/officeDocument/2006/relationships/hyperlink" Target="https://www.google.com/maps/dir/?api=1&amp;origin=Gymnasium+Kirchheim,+Heimstettner+Str.+3,+85551+Kirchheim+bei+M&#252;nchen&amp;destination=48.116684883525615,11.766440028975659&amp;travelmode=car" TargetMode="External"/><Relationship Id="rId2827" Type="http://schemas.openxmlformats.org/officeDocument/2006/relationships/hyperlink" Target="https://www.google.com/maps/dir/?api=1&amp;origin=Gymnasium+Kirchheim,+Heimstettner+Str.+3,+85551+Kirchheim+bei+M&#252;nchen&amp;destination=48.041989134034594,11.350834171536942&amp;travelmode=car" TargetMode="External"/><Relationship Id="rId68" Type="http://schemas.openxmlformats.org/officeDocument/2006/relationships/hyperlink" Target="https://www.google.com/maps/dir/?api=1&amp;origin=Gymnasium+Kirchheim,+Heimstettner+Str.+3,+85551+Kirchheim+bei+M&#252;nchen&amp;destination=48.28224057785748,12.00886380508597&amp;travelmode=car" TargetMode="External"/><Relationship Id="rId1429" Type="http://schemas.openxmlformats.org/officeDocument/2006/relationships/hyperlink" Target="https://www.google.com/maps/dir/?api=1&amp;origin=Gymnasium+Kirchheim,+Heimstettner+Str.+3,+85551+Kirchheim+bei+M&#252;nchen&amp;destination=48.16322001366531,11.466281997410366&amp;travelmode=car" TargetMode="External"/><Relationship Id="rId1636" Type="http://schemas.openxmlformats.org/officeDocument/2006/relationships/hyperlink" Target="https://www.google.com/maps/dir/?api=1&amp;origin=Gymnasium+Kirchheim,+Heimstettner+Str.+3,+85551+Kirchheim+bei+M&#252;nchen&amp;destination=48.14675429886603,11.824161128262173&amp;travelmode=car" TargetMode="External"/><Relationship Id="rId1843" Type="http://schemas.openxmlformats.org/officeDocument/2006/relationships/hyperlink" Target="https://www.google.com/maps/dir/?api=1&amp;origin=Gymnasium+Kirchheim,+Heimstettner+Str.+3,+85551+Kirchheim+bei+M&#252;nchen&amp;destination=48.12917831860884,12.182014408588692&amp;travelmode=car" TargetMode="External"/><Relationship Id="rId1703" Type="http://schemas.openxmlformats.org/officeDocument/2006/relationships/hyperlink" Target="https://www.google.com/maps/dir/?api=1&amp;origin=Gymnasium+Kirchheim,+Heimstettner+Str.+3,+85551+Kirchheim+bei+M&#252;nchen&amp;destination=48.14016100313271,11.581728752359444&amp;travelmode=car" TargetMode="External"/><Relationship Id="rId1910" Type="http://schemas.openxmlformats.org/officeDocument/2006/relationships/hyperlink" Target="https://www.google.com/maps/dir/?api=1&amp;origin=Gymnasium+Kirchheim,+Heimstettner+Str.+3,+85551+Kirchheim+bei+M&#252;nchen&amp;destination=48.123407601613906,11.928057368395926&amp;travelmode=car" TargetMode="External"/><Relationship Id="rId589" Type="http://schemas.openxmlformats.org/officeDocument/2006/relationships/hyperlink" Target="https://www.google.com/maps/dir/?api=1&amp;origin=Gymnasium+Kirchheim,+Heimstettner+Str.+3,+85551+Kirchheim+bei+M&#252;nchen&amp;destination=48.237229453779904,11.928057368395926&amp;travelmode=car" TargetMode="External"/><Relationship Id="rId796" Type="http://schemas.openxmlformats.org/officeDocument/2006/relationships/hyperlink" Target="https://www.google.com/maps/dir/?api=1&amp;origin=Gymnasium+Kirchheim,+Heimstettner+Str.+3,+85551+Kirchheim+bei+M&#252;nchen&amp;destination=48.216572591637004,11.27002033596574&amp;travelmode=car" TargetMode="External"/><Relationship Id="rId2477" Type="http://schemas.openxmlformats.org/officeDocument/2006/relationships/hyperlink" Target="https://www.google.com/maps/dir/?api=1&amp;origin=Gymnasium+Kirchheim,+Heimstettner+Str.+3,+85551+Kirchheim+bei+M&#252;nchen&amp;destination=48.07231505235792,11.373923797311125&amp;travelmode=car" TargetMode="External"/><Relationship Id="rId2684" Type="http://schemas.openxmlformats.org/officeDocument/2006/relationships/hyperlink" Target="https://www.google.com/maps/dir/?api=1&amp;origin=Gymnasium+Kirchheim,+Heimstettner+Str.+3,+85551+Kirchheim+bei+M&#252;nchen&amp;destination=48.05613587862126,11.731807073753979&amp;travelmode=car" TargetMode="External"/><Relationship Id="rId3528" Type="http://schemas.openxmlformats.org/officeDocument/2006/relationships/hyperlink" Target="https://www.google.com/maps/dir/?api=1&amp;origin=Gymnasium+Kirchheim,+Heimstettner+Str.+3,+85551+Kirchheim+bei+M&#252;nchen&amp;destination=47.98131534366399,11.316199693041677&amp;travelmode=car" TargetMode="External"/><Relationship Id="rId449" Type="http://schemas.openxmlformats.org/officeDocument/2006/relationships/hyperlink" Target="https://www.google.com/maps/dir/?api=1&amp;origin=Gymnasium+Kirchheim,+Heimstettner+Str.+3,+85551+Kirchheim+bei+M&#252;nchen&amp;destination=48.24689042169288,11.327744523821421&amp;travelmode=car" TargetMode="External"/><Relationship Id="rId656" Type="http://schemas.openxmlformats.org/officeDocument/2006/relationships/hyperlink" Target="https://www.google.com/maps/dir/?api=1&amp;origin=Gymnasium+Kirchheim,+Heimstettner+Str.+3,+85551+Kirchheim+bei+M&#252;nchen&amp;destination=48.23085452065228,11.685629484445332&amp;travelmode=car" TargetMode="External"/><Relationship Id="rId863" Type="http://schemas.openxmlformats.org/officeDocument/2006/relationships/hyperlink" Target="https://www.google.com/maps/dir/?api=1&amp;origin=Gymnasium+Kirchheim,+Heimstettner+Str.+3,+85551+Kirchheim+bei+M&#252;nchen&amp;destination=48.21370830211318,12.043494616728212&amp;travelmode=car" TargetMode="External"/><Relationship Id="rId1079" Type="http://schemas.openxmlformats.org/officeDocument/2006/relationships/hyperlink" Target="https://www.google.com/maps/dir/?api=1&amp;origin=Gymnasium+Kirchheim,+Heimstettner+Str.+3,+85551+Kirchheim+bei+M&#252;nchen&amp;destination=48.19352282301661,11.489371450790154&amp;travelmode=car" TargetMode="External"/><Relationship Id="rId1286" Type="http://schemas.openxmlformats.org/officeDocument/2006/relationships/hyperlink" Target="https://www.google.com/maps/dir/?api=1&amp;origin=Gymnasium+Kirchheim,+Heimstettner+Str.+3,+85551+Kirchheim+bei+M&#252;nchen&amp;destination=48.17698547399712,11.847249383329679&amp;travelmode=car" TargetMode="External"/><Relationship Id="rId1493" Type="http://schemas.openxmlformats.org/officeDocument/2006/relationships/hyperlink" Target="https://www.google.com/maps/dir/?api=1&amp;origin=Gymnasium+Kirchheim,+Heimstettner+Str.+3,+85551+Kirchheim+bei+M&#252;nchen&amp;destination=48.159337869527086,12.205100461762754&amp;travelmode=car" TargetMode="External"/><Relationship Id="rId2337" Type="http://schemas.openxmlformats.org/officeDocument/2006/relationships/hyperlink" Target="https://www.google.com/maps/dir/?api=1&amp;origin=Gymnasium+Kirchheim,+Heimstettner+Str.+3,+85551+Kirchheim+bei+M&#252;nchen&amp;destination=48.0862226242191,11.789528545213775&amp;travelmode=car" TargetMode="External"/><Relationship Id="rId2544" Type="http://schemas.openxmlformats.org/officeDocument/2006/relationships/hyperlink" Target="https://www.google.com/maps/dir/?api=1&amp;origin=Gymnasium+Kirchheim,+Heimstettner+Str.+3,+85551+Kirchheim+bei+M&#252;nchen&amp;destination=48.068845355207756,12.135841789424584&amp;travelmode=car" TargetMode="External"/><Relationship Id="rId2891" Type="http://schemas.openxmlformats.org/officeDocument/2006/relationships/hyperlink" Target="https://www.google.com/maps/dir/?api=1&amp;origin=Gymnasium+Kirchheim,+Heimstettner+Str.+3,+85551+Kirchheim+bei+M&#252;nchen&amp;destination=48.0388464032084,12.089668514337413&amp;travelmode=car" TargetMode="External"/><Relationship Id="rId309" Type="http://schemas.openxmlformats.org/officeDocument/2006/relationships/hyperlink" Target="https://www.google.com/maps/dir/?api=1&amp;origin=Gymnasium+Kirchheim,+Heimstettner+Str.+3,+85551+Kirchheim+bei+M&#252;nchen&amp;destination=48.26096437357707,11.743351415580166&amp;travelmode=car" TargetMode="External"/><Relationship Id="rId516" Type="http://schemas.openxmlformats.org/officeDocument/2006/relationships/hyperlink" Target="https://www.google.com/maps/dir/?api=1&amp;origin=Gymnasium+Kirchheim,+Heimstettner+Str.+3,+85551+Kirchheim+bei+M&#252;nchen&amp;destination=48.24363908439154,12.101211892775435&amp;travelmode=car" TargetMode="External"/><Relationship Id="rId1146" Type="http://schemas.openxmlformats.org/officeDocument/2006/relationships/hyperlink" Target="https://www.google.com/maps/dir/?api=1&amp;origin=Gymnasium+Kirchheim,+Heimstettner+Str.+3,+85551+Kirchheim+bei+M&#252;nchen&amp;destination=48.18622587503815,11.246930644367383&amp;travelmode=car" TargetMode="External"/><Relationship Id="rId2751" Type="http://schemas.openxmlformats.org/officeDocument/2006/relationships/hyperlink" Target="https://www.google.com/maps/dir/?api=1&amp;origin=Gymnasium+Kirchheim,+Heimstettner+Str.+3,+85551+Kirchheim+bei+M&#252;nchen&amp;destination=48.049348476939684,11.489371450790154&amp;travelmode=car" TargetMode="External"/><Relationship Id="rId723" Type="http://schemas.openxmlformats.org/officeDocument/2006/relationships/hyperlink" Target="https://www.google.com/maps/dir/?api=1&amp;origin=Gymnasium+Kirchheim,+Heimstettner+Str.+3,+85551+Kirchheim+bei+M&#252;nchen&amp;destination=48.223948110605505,11.454737254395377&amp;travelmode=car" TargetMode="External"/><Relationship Id="rId930" Type="http://schemas.openxmlformats.org/officeDocument/2006/relationships/hyperlink" Target="https://www.google.com/maps/dir/?api=1&amp;origin=Gymnasium+Kirchheim,+Heimstettner+Str.+3,+85551+Kirchheim+bei+M&#252;nchen&amp;destination=48.207575984143894,11.801072765593279&amp;travelmode=car" TargetMode="External"/><Relationship Id="rId1006" Type="http://schemas.openxmlformats.org/officeDocument/2006/relationships/hyperlink" Target="https://www.google.com/maps/dir/?api=1&amp;origin=Gymnasium+Kirchheim,+Heimstettner+Str.+3,+85551+Kirchheim+bei+M&#252;nchen&amp;destination=48.20059099546829,11.66254056390037&amp;travelmode=car" TargetMode="External"/><Relationship Id="rId1353" Type="http://schemas.openxmlformats.org/officeDocument/2006/relationships/hyperlink" Target="https://www.google.com/maps/dir/?api=1&amp;origin=Gymnasium+Kirchheim,+Heimstettner+Str.+3,+85551+Kirchheim+bei+M&#252;nchen&amp;destination=48.17044070393854,11.604817928870196&amp;travelmode=car" TargetMode="External"/><Relationship Id="rId1560" Type="http://schemas.openxmlformats.org/officeDocument/2006/relationships/hyperlink" Target="https://www.google.com/maps/dir/?api=1&amp;origin=Gymnasium+Kirchheim,+Heimstettner+Str.+3,+85551+Kirchheim+bei+M&#252;nchen&amp;destination=48.15354519132035,11.962688898444616&amp;travelmode=car" TargetMode="External"/><Relationship Id="rId2404" Type="http://schemas.openxmlformats.org/officeDocument/2006/relationships/hyperlink" Target="https://www.google.com/maps/dir/?api=1&amp;origin=Gymnasium+Kirchheim,+Heimstettner+Str.+3,+85551+Kirchheim+bei+M&#252;nchen&amp;destination=48.07955653933839,11.547094869402834&amp;travelmode=car" TargetMode="External"/><Relationship Id="rId2611" Type="http://schemas.openxmlformats.org/officeDocument/2006/relationships/hyperlink" Target="https://www.google.com/maps/dir/?api=1&amp;origin=Gymnasium+Kirchheim,+Heimstettner+Str.+3,+85551+Kirchheim+bei+M&#252;nchen&amp;destination=48.062840106866915,11.90496952282889&amp;travelmode=car" TargetMode="External"/><Relationship Id="rId1213" Type="http://schemas.openxmlformats.org/officeDocument/2006/relationships/hyperlink" Target="https://www.google.com/maps/dir/?api=1&amp;origin=Gymnasium+Kirchheim,+Heimstettner+Str.+3,+85551+Kirchheim+bei+M&#252;nchen&amp;destination=48.18351640639292,12.02040744491661&amp;travelmode=car" TargetMode="External"/><Relationship Id="rId1420" Type="http://schemas.openxmlformats.org/officeDocument/2006/relationships/hyperlink" Target="https://www.google.com/maps/dir/?api=1&amp;origin=Gymnasium+Kirchheim,+Heimstettner+Str.+3,+85551+Kirchheim+bei+M&#252;nchen&amp;destination=48.16338639961252,11.362378987427904&amp;travelmode=car" TargetMode="External"/><Relationship Id="rId3178" Type="http://schemas.openxmlformats.org/officeDocument/2006/relationships/hyperlink" Target="https://www.google.com/maps/dir/?api=1&amp;origin=Gymnasium+Kirchheim,+Heimstettner+Str.+3,+85551+Kirchheim+bei+M&#252;nchen&amp;destination=48.01164819473243,11.339289350160644&amp;travelmode=car" TargetMode="External"/><Relationship Id="rId3385" Type="http://schemas.openxmlformats.org/officeDocument/2006/relationships/hyperlink" Target="https://www.google.com/maps/dir/?api=1&amp;origin=Gymnasium+Kirchheim,+Heimstettner+Str.+3,+85551+Kirchheim+bei+M&#252;nchen&amp;destination=47.995529102575134,11.708718322455919&amp;travelmode=car" TargetMode="External"/><Relationship Id="rId3592" Type="http://schemas.openxmlformats.org/officeDocument/2006/relationships/hyperlink" Target="https://www.google.com/maps/dir/?api=1&amp;origin=Gymnasium+Kirchheim,+Heimstettner+Str.+3,+85551+Kirchheim+bei+M&#252;nchen&amp;destination=47.97839444238057,12.055038147665204&amp;travelmode=car" TargetMode="External"/><Relationship Id="rId2194" Type="http://schemas.openxmlformats.org/officeDocument/2006/relationships/hyperlink" Target="https://www.google.com/maps/dir/?api=1&amp;origin=Gymnasium+Kirchheim,+Heimstettner+Str.+3,+85551+Kirchheim+bei+M&#252;nchen&amp;destination=48.09892056351083,12.170471317116936&amp;travelmode=car" TargetMode="External"/><Relationship Id="rId3038" Type="http://schemas.openxmlformats.org/officeDocument/2006/relationships/hyperlink" Target="https://www.google.com/maps/dir/?api=1&amp;origin=Gymnasium+Kirchheim,+Heimstettner+Str.+3,+85551+Kirchheim+bei+M&#252;nchen&amp;destination=48.02568055145998,11.754895734161472&amp;travelmode=car" TargetMode="External"/><Relationship Id="rId3245" Type="http://schemas.openxmlformats.org/officeDocument/2006/relationships/hyperlink" Target="https://www.google.com/maps/dir/?api=1&amp;origin=Gymnasium+Kirchheim,+Heimstettner+Str.+3,+85551+Kirchheim+bei+M&#252;nchen&amp;destination=48.008319448686265,12.112755231783899&amp;travelmode=car" TargetMode="External"/><Relationship Id="rId3452" Type="http://schemas.openxmlformats.org/officeDocument/2006/relationships/hyperlink" Target="https://www.google.com/maps/dir/?api=1&amp;origin=Gymnasium+Kirchheim,+Heimstettner+Str.+3,+85551+Kirchheim+bei+M&#252;nchen&amp;destination=47.988716282795764,11.454737254395377&amp;travelmode=car" TargetMode="External"/><Relationship Id="rId166" Type="http://schemas.openxmlformats.org/officeDocument/2006/relationships/hyperlink" Target="https://www.google.com/maps/dir/?api=1&amp;origin=Gymnasium+Kirchheim,+Heimstettner+Str.+3,+85551+Kirchheim+bei+M&#252;nchen&amp;destination=48.273814807339086,12.12429853084091&amp;travelmode=car" TargetMode="External"/><Relationship Id="rId373" Type="http://schemas.openxmlformats.org/officeDocument/2006/relationships/hyperlink" Target="https://www.google.com/maps/dir/?api=1&amp;origin=Gymnasium+Kirchheim,+Heimstettner+Str.+3,+85551+Kirchheim+bei+M&#252;nchen&amp;destination=48.2542774953981,11.466281997410366&amp;travelmode=car" TargetMode="External"/><Relationship Id="rId580" Type="http://schemas.openxmlformats.org/officeDocument/2006/relationships/hyperlink" Target="https://www.google.com/maps/dir/?api=1&amp;origin=Gymnasium+Kirchheim,+Heimstettner+Str.+3,+85551+Kirchheim+bei+M&#252;nchen&amp;destination=48.23781178059883,11.824161128262173&amp;travelmode=car" TargetMode="External"/><Relationship Id="rId2054" Type="http://schemas.openxmlformats.org/officeDocument/2006/relationships/hyperlink" Target="https://www.google.com/maps/dir/?api=1&amp;origin=Gymnasium+Kirchheim,+Heimstettner+Str.+3,+85551+Kirchheim+bei+M&#252;nchen&amp;destination=48.109843172651274,11.570184139943638&amp;travelmode=car" TargetMode="External"/><Relationship Id="rId2261" Type="http://schemas.openxmlformats.org/officeDocument/2006/relationships/hyperlink" Target="https://www.google.com/maps/dir/?api=1&amp;origin=Gymnasium+Kirchheim,+Heimstettner+Str.+3,+85551+Kirchheim+bei+M&#252;nchen&amp;destination=48.09305510770297,11.928057368395926&amp;travelmode=car" TargetMode="External"/><Relationship Id="rId3105" Type="http://schemas.openxmlformats.org/officeDocument/2006/relationships/hyperlink" Target="https://www.google.com/maps/dir/?api=1&amp;origin=Gymnasium+Kirchheim,+Heimstettner+Str.+3,+85551+Kirchheim+bei+M&#252;nchen&amp;destination=48.01891279041462,11.524005541398747&amp;travelmode=car" TargetMode="External"/><Relationship Id="rId3312" Type="http://schemas.openxmlformats.org/officeDocument/2006/relationships/hyperlink" Target="https://www.google.com/maps/dir/?api=1&amp;origin=Gymnasium+Kirchheim,+Heimstettner+Str.+3,+85551+Kirchheim+bei+M&#252;nchen&amp;destination=48.0023326939472,11.870337526618448&amp;travelmode=car" TargetMode="External"/><Relationship Id="rId233" Type="http://schemas.openxmlformats.org/officeDocument/2006/relationships/hyperlink" Target="https://www.google.com/maps/dir/?api=1&amp;origin=Gymnasium+Kirchheim,+Heimstettner+Str.+3,+85551+Kirchheim+bei+M&#252;nchen&amp;destination=48.2677864543669,11.893425553951282&amp;travelmode=car" TargetMode="External"/><Relationship Id="rId440" Type="http://schemas.openxmlformats.org/officeDocument/2006/relationships/hyperlink" Target="https://www.google.com/maps/dir/?api=1&amp;origin=Gymnasium+Kirchheim,+Heimstettner+Str.+3,+85551+Kirchheim+bei+M&#252;nchen&amp;destination=48.250097273478694,12.239729209273484&amp;travelmode=car" TargetMode="External"/><Relationship Id="rId1070" Type="http://schemas.openxmlformats.org/officeDocument/2006/relationships/hyperlink" Target="https://www.google.com/maps/dir/?api=1&amp;origin=Gymnasium+Kirchheim,+Heimstettner+Str.+3,+85551+Kirchheim+bei+M&#252;nchen&amp;destination=48.193710007025096,11.385468600664204&amp;travelmode=car" TargetMode="External"/><Relationship Id="rId2121" Type="http://schemas.openxmlformats.org/officeDocument/2006/relationships/hyperlink" Target="https://www.google.com/maps/dir/?api=1&amp;origin=Gymnasium+Kirchheim,+Heimstettner+Str.+3,+85551+Kirchheim+bei+M&#252;nchen&amp;destination=48.102716075615945,11.327744523821421&amp;travelmode=car" TargetMode="External"/><Relationship Id="rId300" Type="http://schemas.openxmlformats.org/officeDocument/2006/relationships/hyperlink" Target="https://www.google.com/maps/dir/?api=1&amp;origin=Gymnasium+Kirchheim,+Heimstettner+Str.+3,+85551+Kirchheim+bei+M&#252;nchen&amp;destination=48.26138033044607,11.639451564999296&amp;travelmode=car" TargetMode="External"/><Relationship Id="rId1887" Type="http://schemas.openxmlformats.org/officeDocument/2006/relationships/hyperlink" Target="https://www.google.com/maps/dir/?api=1&amp;origin=Gymnasium+Kirchheim,+Heimstettner+Str.+3,+85551+Kirchheim+bei+M&#252;nchen&amp;destination=48.12466585402197,11.67408503422851&amp;travelmode=car" TargetMode="External"/><Relationship Id="rId2938" Type="http://schemas.openxmlformats.org/officeDocument/2006/relationships/hyperlink" Target="https://www.google.com/maps/dir/?api=1&amp;origin=Gymnasium+Kirchheim,+Heimstettner+Str.+3,+85551+Kirchheim+bei+M&#252;nchen&amp;destination=48.03381635166997,11.616362491920484&amp;travelmode=car" TargetMode="External"/><Relationship Id="rId1747" Type="http://schemas.openxmlformats.org/officeDocument/2006/relationships/hyperlink" Target="https://www.google.com/maps/dir/?api=1&amp;origin=Gymnasium+Kirchheim,+Heimstettner+Str.+3,+85551+Kirchheim+bei+M&#252;nchen&amp;destination=48.137405355703265,12.101211892775435&amp;travelmode=car" TargetMode="External"/><Relationship Id="rId1954" Type="http://schemas.openxmlformats.org/officeDocument/2006/relationships/hyperlink" Target="https://www.google.com/maps/dir/?api=1&amp;origin=Gymnasium+Kirchheim,+Heimstettner+Str.+3,+85551+Kirchheim+bei+M&#252;nchen&amp;destination=48.11775713382102,11.431647738327094&amp;travelmode=car" TargetMode="External"/><Relationship Id="rId39" Type="http://schemas.openxmlformats.org/officeDocument/2006/relationships/hyperlink" Target="https://www.google.com/maps/dir/?api=1&amp;origin=Gymnasium+Kirchheim,+Heimstettner+Str.+3,+85551+Kirchheim+bei+M&#252;nchen&amp;destination=48.28397138499641,11.685629484445332&amp;travelmode=car" TargetMode="External"/><Relationship Id="rId1607" Type="http://schemas.openxmlformats.org/officeDocument/2006/relationships/hyperlink" Target="https://www.google.com/maps/dir/?api=1&amp;origin=Gymnasium+Kirchheim,+Heimstettner+Str.+3,+85551+Kirchheim+bei+M&#252;nchen&amp;destination=48.14799408215021,11.489371450790154&amp;travelmode=car" TargetMode="External"/><Relationship Id="rId1814" Type="http://schemas.openxmlformats.org/officeDocument/2006/relationships/hyperlink" Target="https://www.google.com/maps/dir/?api=1&amp;origin=Gymnasium+Kirchheim,+Heimstettner+Str.+3,+85551+Kirchheim+bei+M&#252;nchen&amp;destination=48.13145673313071,11.847249383329679&amp;travelmode=car" TargetMode="External"/><Relationship Id="rId2588" Type="http://schemas.openxmlformats.org/officeDocument/2006/relationships/hyperlink" Target="https://www.google.com/maps/dir/?api=1&amp;origin=Gymnasium+Kirchheim,+Heimstettner+Str.+3,+85551+Kirchheim+bei+M&#252;nchen&amp;destination=48.06408912002499,11.639451564999296&amp;travelmode=car" TargetMode="External"/><Relationship Id="rId1397" Type="http://schemas.openxmlformats.org/officeDocument/2006/relationships/hyperlink" Target="https://www.google.com/maps/dir/?api=1&amp;origin=Gymnasium+Kirchheim,+Heimstettner+Str.+3,+85551+Kirchheim+bei+M&#252;nchen&amp;destination=48.167670041718665,12.112755231783899&amp;travelmode=car" TargetMode="External"/><Relationship Id="rId2795" Type="http://schemas.openxmlformats.org/officeDocument/2006/relationships/hyperlink" Target="https://www.google.com/maps/dir/?api=1&amp;origin=Gymnasium+Kirchheim,+Heimstettner+Str.+3,+85551+Kirchheim+bei+M&#252;nchen&amp;destination=48.04700875004774,12.00886380508597&amp;travelmode=car" TargetMode="External"/><Relationship Id="rId767" Type="http://schemas.openxmlformats.org/officeDocument/2006/relationships/hyperlink" Target="https://www.google.com/maps/dir/?api=1&amp;origin=Gymnasium+Kirchheim,+Heimstettner+Str.+3,+85551+Kirchheim+bei+M&#252;nchen&amp;destination=48.22191109262564,11.95114508756474&amp;travelmode=car" TargetMode="External"/><Relationship Id="rId974" Type="http://schemas.openxmlformats.org/officeDocument/2006/relationships/hyperlink" Target="https://www.google.com/maps/dir/?api=1&amp;origin=Gymnasium+Kirchheim,+Heimstettner+Str.+3,+85551+Kirchheim+bei+M&#252;nchen&amp;destination=48.201391722832476,11.281565179283442&amp;travelmode=car" TargetMode="External"/><Relationship Id="rId2448" Type="http://schemas.openxmlformats.org/officeDocument/2006/relationships/hyperlink" Target="https://www.google.com/maps/dir/?api=1&amp;origin=Gymnasium+Kirchheim,+Heimstettner+Str.+3,+85551+Kirchheim+bei+M&#252;nchen&amp;destination=48.0770400475911,12.055038147665204&amp;travelmode=car" TargetMode="External"/><Relationship Id="rId2655" Type="http://schemas.openxmlformats.org/officeDocument/2006/relationships/hyperlink" Target="https://www.google.com/maps/dir/?api=1&amp;origin=Gymnasium+Kirchheim,+Heimstettner+Str.+3,+85551+Kirchheim+bei+M&#252;nchen&amp;destination=48.05710760799584,11.397013396964736&amp;travelmode=car" TargetMode="External"/><Relationship Id="rId2862" Type="http://schemas.openxmlformats.org/officeDocument/2006/relationships/hyperlink" Target="https://www.google.com/maps/dir/?api=1&amp;origin=Gymnasium+Kirchheim,+Heimstettner+Str.+3,+85551+Kirchheim+bei+M&#252;nchen&amp;destination=48.040856798415454,11.754895734161472&amp;travelmode=car" TargetMode="External"/><Relationship Id="rId627" Type="http://schemas.openxmlformats.org/officeDocument/2006/relationships/hyperlink" Target="https://www.google.com/maps/dir/?api=1&amp;origin=Gymnasium+Kirchheim,+Heimstettner+Str.+3,+85551+Kirchheim+bei+M&#252;nchen&amp;destination=48.23167951091211,11.362378987427904&amp;travelmode=car" TargetMode="External"/><Relationship Id="rId834" Type="http://schemas.openxmlformats.org/officeDocument/2006/relationships/hyperlink" Target="https://www.google.com/maps/dir/?api=1&amp;origin=Gymnasium+Kirchheim,+Heimstettner+Str.+3,+85551+Kirchheim+bei+M&#252;nchen&amp;destination=48.21558468342941,11.708718322455919&amp;travelmode=car" TargetMode="External"/><Relationship Id="rId1257" Type="http://schemas.openxmlformats.org/officeDocument/2006/relationships/hyperlink" Target="https://www.google.com/maps/dir/?api=1&amp;origin=Gymnasium+Kirchheim,+Heimstettner+Str.+3,+85551+Kirchheim+bei+M&#252;nchen&amp;destination=48.17829226975195,11.512460857153851&amp;travelmode=car" TargetMode="External"/><Relationship Id="rId1464" Type="http://schemas.openxmlformats.org/officeDocument/2006/relationships/hyperlink" Target="https://www.google.com/maps/dir/?api=1&amp;origin=Gymnasium+Kirchheim,+Heimstettner+Str.+3,+85551+Kirchheim+bei+M&#252;nchen&amp;destination=48.16168328697961,11.870337526618448&amp;travelmode=car" TargetMode="External"/><Relationship Id="rId1671" Type="http://schemas.openxmlformats.org/officeDocument/2006/relationships/hyperlink" Target="https://www.google.com/maps/dir/?api=1&amp;origin=Gymnasium+Kirchheim,+Heimstettner+Str.+3,+85551+Kirchheim+bei+M&#252;nchen&amp;destination=48.14396405914517,12.228186338432307&amp;travelmode=car" TargetMode="External"/><Relationship Id="rId2308" Type="http://schemas.openxmlformats.org/officeDocument/2006/relationships/hyperlink" Target="https://www.google.com/maps/dir/?api=1&amp;origin=Gymnasium+Kirchheim,+Heimstettner+Str.+3,+85551+Kirchheim+bei+M&#252;nchen&amp;destination=48.0873618880063,11.454737254395377&amp;travelmode=car" TargetMode="External"/><Relationship Id="rId2515" Type="http://schemas.openxmlformats.org/officeDocument/2006/relationships/hyperlink" Target="https://www.google.com/maps/dir/?api=1&amp;origin=Gymnasium+Kirchheim,+Heimstettner+Str.+3,+85551+Kirchheim+bei+M&#252;nchen&amp;destination=48.07087306408868,11.824161128262173&amp;travelmode=car" TargetMode="External"/><Relationship Id="rId2722" Type="http://schemas.openxmlformats.org/officeDocument/2006/relationships/hyperlink" Target="https://www.google.com/maps/dir/?api=1&amp;origin=Gymnasium+Kirchheim,+Heimstettner+Str.+3,+85551+Kirchheim+bei+M&#252;nchen&amp;destination=48.05339182264443,12.170471317116936&amp;travelmode=car" TargetMode="External"/><Relationship Id="rId901" Type="http://schemas.openxmlformats.org/officeDocument/2006/relationships/hyperlink" Target="https://www.google.com/maps/dir/?api=1&amp;origin=Gymnasium+Kirchheim,+Heimstettner+Str.+3,+85551+Kirchheim+bei+M&#252;nchen&amp;destination=48.208748754531705,11.466281997410366&amp;travelmode=car" TargetMode="External"/><Relationship Id="rId1117" Type="http://schemas.openxmlformats.org/officeDocument/2006/relationships/hyperlink" Target="https://www.google.com/maps/dir/?api=1&amp;origin=Gymnasium+Kirchheim,+Heimstettner+Str.+3,+85551+Kirchheim+bei+M&#252;nchen&amp;destination=48.1917007129135,11.928057368395926&amp;travelmode=car" TargetMode="External"/><Relationship Id="rId1324" Type="http://schemas.openxmlformats.org/officeDocument/2006/relationships/hyperlink" Target="https://www.google.com/maps/dir/?api=1&amp;origin=Gymnasium+Kirchheim,+Heimstettner+Str.+3,+85551+Kirchheim+bei+M&#252;nchen&amp;destination=48.171043850770594,11.27002033596574&amp;travelmode=car" TargetMode="External"/><Relationship Id="rId1531" Type="http://schemas.openxmlformats.org/officeDocument/2006/relationships/hyperlink" Target="https://www.google.com/maps/dir/?api=1&amp;origin=Gymnasium+Kirchheim,+Heimstettner+Str.+3,+85551+Kirchheim+bei+M&#252;nchen&amp;destination=48.155187042237486,11.627907037470955&amp;travelmode=car" TargetMode="External"/><Relationship Id="rId30" Type="http://schemas.openxmlformats.org/officeDocument/2006/relationships/hyperlink" Target="https://www.google.com/maps/dir/?api=1&amp;origin=Gymnasium+Kirchheim,+Heimstettner+Str.+3,+85551+Kirchheim+bei+M&#252;nchen&amp;destination=48.28437001263915,11.570184139943638&amp;travelmode=car" TargetMode="External"/><Relationship Id="rId3289" Type="http://schemas.openxmlformats.org/officeDocument/2006/relationships/hyperlink" Target="https://www.google.com/maps/dir/?api=1&amp;origin=Gymnasium+Kirchheim,+Heimstettner+Str.+3,+85551+Kirchheim+bei+M&#252;nchen&amp;destination=48.00350198742839,11.604817928870196&amp;travelmode=car" TargetMode="External"/><Relationship Id="rId3496" Type="http://schemas.openxmlformats.org/officeDocument/2006/relationships/hyperlink" Target="https://www.google.com/maps/dir/?api=1&amp;origin=Gymnasium+Kirchheim,+Heimstettner+Str.+3,+85551+Kirchheim+bei+M&#252;nchen&amp;destination=47.98660647481021,11.962688898444616&amp;travelmode=car" TargetMode="External"/><Relationship Id="rId2098" Type="http://schemas.openxmlformats.org/officeDocument/2006/relationships/hyperlink" Target="https://www.google.com/maps/dir/?api=1&amp;origin=Gymnasium+Kirchheim,+Heimstettner+Str.+3,+85551+Kirchheim+bei+M&#252;nchen&amp;destination=48.107225012036395,12.078125096991752&amp;travelmode=car" TargetMode="External"/><Relationship Id="rId3149" Type="http://schemas.openxmlformats.org/officeDocument/2006/relationships/hyperlink" Target="https://www.google.com/maps/dir/?api=1&amp;origin=Gymnasium+Kirchheim,+Heimstettner+Str.+3,+85551+Kirchheim+bei+M&#252;nchen&amp;destination=48.016577689882794,12.02040744491661&amp;travelmode=car" TargetMode="External"/><Relationship Id="rId3356" Type="http://schemas.openxmlformats.org/officeDocument/2006/relationships/hyperlink" Target="https://www.google.com/maps/dir/?api=1&amp;origin=Gymnasium+Kirchheim,+Heimstettner+Str.+3,+85551+Kirchheim+bei+M&#252;nchen&amp;destination=47.996447683102375,11.362378987427904&amp;travelmode=car" TargetMode="External"/><Relationship Id="rId3563" Type="http://schemas.openxmlformats.org/officeDocument/2006/relationships/hyperlink" Target="https://www.google.com/maps/dir/?api=1&amp;origin=Gymnasium+Kirchheim,+Heimstettner+Str.+3,+85551+Kirchheim+bei+M&#252;nchen&amp;destination=47.980304327418295,11.720262709205143&amp;travelmode=car" TargetMode="External"/><Relationship Id="rId277" Type="http://schemas.openxmlformats.org/officeDocument/2006/relationships/hyperlink" Target="https://www.google.com/maps/dir/?api=1&amp;origin=Gymnasium+Kirchheim,+Heimstettner+Str.+3,+85551+Kirchheim+bei+M&#252;nchen&amp;destination=48.26201813930126,11.373923797311125&amp;travelmode=car" TargetMode="External"/><Relationship Id="rId484" Type="http://schemas.openxmlformats.org/officeDocument/2006/relationships/hyperlink" Target="https://www.google.com/maps/dir/?api=1&amp;origin=Gymnasium+Kirchheim,+Heimstettner+Str.+3,+85551+Kirchheim+bei+M&#252;nchen&amp;destination=48.24583896556461,11.731807073753979&amp;travelmode=car" TargetMode="External"/><Relationship Id="rId2165" Type="http://schemas.openxmlformats.org/officeDocument/2006/relationships/hyperlink" Target="https://www.google.com/maps/dir/?api=1&amp;origin=Gymnasium+Kirchheim,+Heimstettner+Str.+3,+85551+Kirchheim+bei+M&#252;nchen&amp;destination=48.10116547627262,11.835705269507187&amp;travelmode=car" TargetMode="External"/><Relationship Id="rId3009" Type="http://schemas.openxmlformats.org/officeDocument/2006/relationships/hyperlink" Target="https://www.google.com/maps/dir/?api=1&amp;origin=Gymnasium+Kirchheim,+Heimstettner+Str.+3,+85551+Kirchheim+bei+M&#252;nchen&amp;destination=48.02671929487,11.420102966318577&amp;travelmode=car" TargetMode="External"/><Relationship Id="rId3216" Type="http://schemas.openxmlformats.org/officeDocument/2006/relationships/hyperlink" Target="https://www.google.com/maps/dir/?api=1&amp;origin=Gymnasium+Kirchheim,+Heimstettner+Str.+3,+85551+Kirchheim+bei+M&#252;nchen&amp;destination=48.010396849814875,11.777984299500497&amp;travelmode=car" TargetMode="External"/><Relationship Id="rId137" Type="http://schemas.openxmlformats.org/officeDocument/2006/relationships/hyperlink" Target="https://www.google.com/maps/dir/?api=1&amp;origin=Gymnasium+Kirchheim,+Heimstettner+Str.+3,+85551+Kirchheim+bei+M&#252;nchen&amp;destination=48.27592571116245,11.789528545213775&amp;travelmode=car" TargetMode="External"/><Relationship Id="rId344" Type="http://schemas.openxmlformats.org/officeDocument/2006/relationships/hyperlink" Target="https://www.google.com/maps/dir/?api=1&amp;origin=Gymnasium+Kirchheim,+Heimstettner+Str.+3,+85551+Kirchheim+bei+M&#252;nchen&amp;destination=48.258548442151096,12.135841789424584&amp;travelmode=car" TargetMode="External"/><Relationship Id="rId691" Type="http://schemas.openxmlformats.org/officeDocument/2006/relationships/hyperlink" Target="https://www.google.com/maps/dir/?api=1&amp;origin=Gymnasium+Kirchheim,+Heimstettner+Str.+3,+85551+Kirchheim+bei+M&#252;nchen&amp;destination=48.22854949015175,12.089668514337413&amp;travelmode=car" TargetMode="External"/><Relationship Id="rId2025" Type="http://schemas.openxmlformats.org/officeDocument/2006/relationships/hyperlink" Target="https://www.google.com/maps/dir/?api=1&amp;origin=Gymnasium+Kirchheim,+Heimstettner+Str.+3,+85551+Kirchheim+bei+M&#252;nchen&amp;destination=48.110345795723326,11.235385797131558&amp;travelmode=car" TargetMode="External"/><Relationship Id="rId2372" Type="http://schemas.openxmlformats.org/officeDocument/2006/relationships/hyperlink" Target="https://www.google.com/maps/dir/?api=1&amp;origin=Gymnasium+Kirchheim,+Heimstettner+Str.+3,+85551+Kirchheim+bei+M&#252;nchen&amp;destination=48.08364957774244,12.182014408588692&amp;travelmode=car" TargetMode="External"/><Relationship Id="rId3423" Type="http://schemas.openxmlformats.org/officeDocument/2006/relationships/hyperlink" Target="https://www.google.com/maps/dir/?api=1&amp;origin=Gymnasium+Kirchheim,+Heimstettner+Str.+3,+85551+Kirchheim+bei+M&#252;nchen&amp;destination=47.992964120430415,12.135841789424584&amp;travelmode=car" TargetMode="External"/><Relationship Id="rId551" Type="http://schemas.openxmlformats.org/officeDocument/2006/relationships/hyperlink" Target="https://www.google.com/maps/dir/?api=1&amp;origin=Gymnasium+Kirchheim,+Heimstettner+Str.+3,+85551+Kirchheim+bei+M&#252;nchen&amp;destination=48.23905156388301,11.489371450790154&amp;travelmode=car" TargetMode="External"/><Relationship Id="rId1181" Type="http://schemas.openxmlformats.org/officeDocument/2006/relationships/hyperlink" Target="https://www.google.com/maps/dir/?api=1&amp;origin=Gymnasium+Kirchheim,+Heimstettner+Str.+3,+85551+Kirchheim+bei+M&#252;nchen&amp;destination=48.18545749978898,11.650996073983201&amp;travelmode=car" TargetMode="External"/><Relationship Id="rId2232" Type="http://schemas.openxmlformats.org/officeDocument/2006/relationships/hyperlink" Target="https://www.google.com/maps/dir/?api=1&amp;origin=Gymnasium+Kirchheim,+Heimstettner+Str.+3,+85551+Kirchheim+bei+M&#252;nchen&amp;destination=48.09459644342042,11.593273348842407&amp;travelmode=car" TargetMode="External"/><Relationship Id="rId204" Type="http://schemas.openxmlformats.org/officeDocument/2006/relationships/hyperlink" Target="https://www.google.com/maps/dir/?api=1&amp;origin=Gymnasium+Kirchheim,+Heimstettner+Str.+3,+85551+Kirchheim+bei+M&#252;nchen&amp;destination=48.269259626281745,11.547094869402834&amp;travelmode=car" TargetMode="External"/><Relationship Id="rId411" Type="http://schemas.openxmlformats.org/officeDocument/2006/relationships/hyperlink" Target="https://www.google.com/maps/dir/?api=1&amp;origin=Gymnasium+Kirchheim,+Heimstettner+Str.+3,+85551+Kirchheim+bei+M&#252;nchen&amp;destination=48.252543193810254,11.90496952282889&amp;travelmode=car" TargetMode="External"/><Relationship Id="rId1041" Type="http://schemas.openxmlformats.org/officeDocument/2006/relationships/hyperlink" Target="https://www.google.com/maps/dir/?api=1&amp;origin=Gymnasium+Kirchheim,+Heimstettner+Str.+3,+85551+Kirchheim+bei+M&#252;nchen&amp;destination=48.19836683610296,12.066581641260367&amp;travelmode=car" TargetMode="External"/><Relationship Id="rId1998" Type="http://schemas.openxmlformats.org/officeDocument/2006/relationships/hyperlink" Target="https://www.google.com/maps/dir/?api=1&amp;origin=Gymnasium+Kirchheim,+Heimstettner+Str.+3,+85551+Kirchheim+bei+M&#252;nchen&amp;destination=48.11581947813618,11.928057368395926&amp;travelmode=car" TargetMode="External"/><Relationship Id="rId1858" Type="http://schemas.openxmlformats.org/officeDocument/2006/relationships/hyperlink" Target="https://www.google.com/maps/dir/?api=1&amp;origin=Gymnasium+Kirchheim,+Heimstettner+Str.+3,+85551+Kirchheim+bei+M&#252;nchen&amp;destination=48.125470046898435,11.339289350160644&amp;travelmode=car" TargetMode="External"/><Relationship Id="rId2909" Type="http://schemas.openxmlformats.org/officeDocument/2006/relationships/hyperlink" Target="https://www.google.com/maps/dir/?api=1&amp;origin=Gymnasium+Kirchheim,+Heimstettner+Str.+3,+85551+Kirchheim+bei+M&#252;nchen&amp;destination=48.03445300632235,11.281565179283442&amp;travelmode=car" TargetMode="External"/><Relationship Id="rId3073" Type="http://schemas.openxmlformats.org/officeDocument/2006/relationships/hyperlink" Target="https://www.google.com/maps/dir/?api=1&amp;origin=Gymnasium+Kirchheim,+Heimstettner+Str.+3,+85551+Kirchheim+bei+M&#252;nchen&amp;destination=48.0230393287335,12.170471317116936&amp;travelmode=car" TargetMode="External"/><Relationship Id="rId3280" Type="http://schemas.openxmlformats.org/officeDocument/2006/relationships/hyperlink" Target="https://www.google.com/maps/dir/?api=1&amp;origin=Gymnasium+Kirchheim,+Heimstettner+Str.+3,+85551+Kirchheim+bei+M&#252;nchen&amp;destination=48.00381973607327,11.489371450790154&amp;travelmode=car" TargetMode="External"/><Relationship Id="rId1718" Type="http://schemas.openxmlformats.org/officeDocument/2006/relationships/hyperlink" Target="https://www.google.com/maps/dir/?api=1&amp;origin=Gymnasium+Kirchheim,+Heimstettner+Str.+3,+85551+Kirchheim+bei+M&#252;nchen&amp;destination=48.13950240362599,11.754895734161472&amp;travelmode=car" TargetMode="External"/><Relationship Id="rId1925" Type="http://schemas.openxmlformats.org/officeDocument/2006/relationships/hyperlink" Target="https://www.google.com/maps/dir/?api=1&amp;origin=Gymnasium+Kirchheim,+Heimstettner+Str.+3,+85551+Kirchheim+bei+M&#252;nchen&amp;destination=48.1220523377844,12.12429853084091&amp;travelmode=car" TargetMode="External"/><Relationship Id="rId3140" Type="http://schemas.openxmlformats.org/officeDocument/2006/relationships/hyperlink" Target="https://www.google.com/maps/dir/?api=1&amp;origin=Gymnasium+Kirchheim,+Heimstettner+Str.+3,+85551+Kirchheim+bei+M&#252;nchen&amp;destination=48.01724319710655,11.916513461151142&amp;travelmode=car" TargetMode="External"/><Relationship Id="rId2699" Type="http://schemas.openxmlformats.org/officeDocument/2006/relationships/hyperlink" Target="https://www.google.com/maps/dir/?api=1&amp;origin=Gymnasium+Kirchheim,+Heimstettner+Str.+3,+85551+Kirchheim+bei+M&#252;nchen&amp;destination=48.05525198338918,11.90496952282889&amp;travelmode=car" TargetMode="External"/><Relationship Id="rId3000" Type="http://schemas.openxmlformats.org/officeDocument/2006/relationships/hyperlink" Target="https://www.google.com/maps/dir/?api=1&amp;origin=Gymnasium+Kirchheim,+Heimstettner+Str.+3,+85551+Kirchheim+bei+M&#252;nchen&amp;destination=48.02685217276241,11.304654858343824&amp;travelmode=car" TargetMode="External"/><Relationship Id="rId878" Type="http://schemas.openxmlformats.org/officeDocument/2006/relationships/hyperlink" Target="https://www.google.com/maps/dir/?api=1&amp;origin=Gymnasium+Kirchheim,+Heimstettner+Str.+3,+85551+Kirchheim+bei+M&#252;nchen&amp;destination=48.212356529708,12.21664342242148&amp;travelmode=car" TargetMode="External"/><Relationship Id="rId2559" Type="http://schemas.openxmlformats.org/officeDocument/2006/relationships/hyperlink" Target="https://www.google.com/maps/dir/?api=1&amp;origin=Gymnasium+Kirchheim,+Heimstettner+Str.+3,+85551+Kirchheim+bei+M&#252;nchen&amp;destination=48.06478470191905,11.316199693041677&amp;travelmode=car" TargetMode="External"/><Relationship Id="rId2766" Type="http://schemas.openxmlformats.org/officeDocument/2006/relationships/hyperlink" Target="https://www.google.com/maps/dir/?api=1&amp;origin=Gymnasium+Kirchheim,+Heimstettner+Str.+3,+85551+Kirchheim+bei+M&#252;nchen&amp;destination=48.048828525913606,11.66254056390037&amp;travelmode=car" TargetMode="External"/><Relationship Id="rId2973" Type="http://schemas.openxmlformats.org/officeDocument/2006/relationships/hyperlink" Target="https://www.google.com/maps/dir/?api=1&amp;origin=Gymnasium+Kirchheim,+Heimstettner+Str.+3,+85551+Kirchheim+bei+M&#252;nchen&amp;destination=48.03175393683825,12.02040744491661&amp;travelmode=car" TargetMode="External"/><Relationship Id="rId738" Type="http://schemas.openxmlformats.org/officeDocument/2006/relationships/hyperlink" Target="https://www.google.com/maps/dir/?api=1&amp;origin=Gymnasium+Kirchheim,+Heimstettner+Str.+3,+85551+Kirchheim+bei+M&#252;nchen&amp;destination=48.22351943861332,11.616362491920484&amp;travelmode=car" TargetMode="External"/><Relationship Id="rId945" Type="http://schemas.openxmlformats.org/officeDocument/2006/relationships/hyperlink" Target="https://www.google.com/maps/dir/?api=1&amp;origin=Gymnasium+Kirchheim,+Heimstettner+Str.+3,+85551+Kirchheim+bei+M&#252;nchen&amp;destination=48.20658811039625,11.97423267615872&amp;travelmode=car" TargetMode="External"/><Relationship Id="rId1368" Type="http://schemas.openxmlformats.org/officeDocument/2006/relationships/hyperlink" Target="https://www.google.com/maps/dir/?api=1&amp;origin=Gymnasium+Kirchheim,+Heimstettner+Str.+3,+85551+Kirchheim+bei+M&#252;nchen&amp;destination=48.169747442847274,11.777984299500497&amp;travelmode=car" TargetMode="External"/><Relationship Id="rId1575" Type="http://schemas.openxmlformats.org/officeDocument/2006/relationships/hyperlink" Target="https://www.google.com/maps/dir/?api=1&amp;origin=Gymnasium+Kirchheim,+Heimstettner+Str.+3,+85551+Kirchheim+bei+M&#252;nchen&amp;destination=48.15231471346282,12.135841789424584&amp;travelmode=car" TargetMode="External"/><Relationship Id="rId1782" Type="http://schemas.openxmlformats.org/officeDocument/2006/relationships/hyperlink" Target="https://www.google.com/maps/dir/?api=1&amp;origin=Gymnasium+Kirchheim,+Heimstettner+Str.+3,+85551+Kirchheim+bei+M&#252;nchen&amp;destination=48.13284325519435,11.477826729716085&amp;travelmode=car" TargetMode="External"/><Relationship Id="rId2419" Type="http://schemas.openxmlformats.org/officeDocument/2006/relationships/hyperlink" Target="https://www.google.com/maps/dir/?api=1&amp;origin=Gymnasium+Kirchheim,+Heimstettner+Str.+3,+85551+Kirchheim+bei+M&#252;nchen&amp;destination=48.07894993262882,11.720262709205143&amp;travelmode=car" TargetMode="External"/><Relationship Id="rId2626" Type="http://schemas.openxmlformats.org/officeDocument/2006/relationships/hyperlink" Target="https://www.google.com/maps/dir/?api=1&amp;origin=Gymnasium+Kirchheim,+Heimstettner+Str.+3,+85551+Kirchheim+bei+M&#252;nchen&amp;destination=48.06169627116999,12.078125096991752&amp;travelmode=car" TargetMode="External"/><Relationship Id="rId2833" Type="http://schemas.openxmlformats.org/officeDocument/2006/relationships/hyperlink" Target="https://www.google.com/maps/dir/?api=1&amp;origin=Gymnasium+Kirchheim,+Heimstettner+Str.+3,+85551+Kirchheim+bei+M&#252;nchen&amp;destination=48.041895541825475,11.420102966318577&amp;travelmode=car" TargetMode="External"/><Relationship Id="rId74" Type="http://schemas.openxmlformats.org/officeDocument/2006/relationships/hyperlink" Target="https://www.google.com/maps/dir/?api=1&amp;origin=Gymnasium+Kirchheim,+Heimstettner+Str.+3,+85551+Kirchheim+bei+M&#252;nchen&amp;destination=48.28175185202427,12.078125096991752&amp;travelmode=car" TargetMode="External"/><Relationship Id="rId805" Type="http://schemas.openxmlformats.org/officeDocument/2006/relationships/hyperlink" Target="https://www.google.com/maps/dir/?api=1&amp;origin=Gymnasium+Kirchheim,+Heimstettner+Str.+3,+85551+Kirchheim+bei+M&#252;nchen&amp;destination=48.21648939843486,11.373923797311125&amp;travelmode=car" TargetMode="External"/><Relationship Id="rId1228" Type="http://schemas.openxmlformats.org/officeDocument/2006/relationships/hyperlink" Target="https://www.google.com/maps/dir/?api=1&amp;origin=Gymnasium+Kirchheim,+Heimstettner+Str.+3,+85551+Kirchheim+bei+M&#252;nchen&amp;destination=48.18219928901503,12.193557456977898&amp;travelmode=car" TargetMode="External"/><Relationship Id="rId1435" Type="http://schemas.openxmlformats.org/officeDocument/2006/relationships/hyperlink" Target="https://www.google.com/maps/dir/?api=1&amp;origin=Gymnasium+Kirchheim,+Heimstettner+Str.+3,+85551+Kirchheim+bei+M&#252;nchen&amp;destination=48.163057094756375,11.535550212322528&amp;travelmode=car" TargetMode="External"/><Relationship Id="rId1642" Type="http://schemas.openxmlformats.org/officeDocument/2006/relationships/hyperlink" Target="https://www.google.com/maps/dir/?api=1&amp;origin=Gymnasium+Kirchheim,+Heimstettner+Str.+3,+85551+Kirchheim+bei+M&#252;nchen&amp;destination=48.146376478723155,11.893425553951282&amp;travelmode=car" TargetMode="External"/><Relationship Id="rId2900" Type="http://schemas.openxmlformats.org/officeDocument/2006/relationships/hyperlink" Target="https://www.google.com/maps/dir/?api=1&amp;origin=Gymnasium+Kirchheim,+Heimstettner+Str.+3,+85551+Kirchheim+bei+M&#252;nchen&amp;destination=48.038024942938094,12.193557456977898&amp;travelmode=c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9"/>
  <sheetViews>
    <sheetView tabSelected="1" workbookViewId="0">
      <selection activeCell="A13" sqref="A13"/>
    </sheetView>
  </sheetViews>
  <sheetFormatPr baseColWidth="10" defaultColWidth="9.06640625" defaultRowHeight="14.25" x14ac:dyDescent="0.45"/>
  <cols>
    <col min="1" max="2" width="20.73046875" customWidth="1"/>
    <col min="3" max="6" width="15.7304687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t="s">
        <v>7</v>
      </c>
      <c r="B2" s="2" t="s">
        <v>8</v>
      </c>
      <c r="C2" s="3">
        <f>6942/(60*60*24)</f>
        <v>8.0347222222222223E-2</v>
      </c>
      <c r="D2" s="4">
        <f>2289/(60*60*24)</f>
        <v>2.6493055555555554E-2</v>
      </c>
      <c r="E2" s="5">
        <f>10406/(60*60*24)</f>
        <v>0.12043981481481482</v>
      </c>
      <c r="F2" s="6">
        <f>35982/(60*60*24)</f>
        <v>0.41645833333333332</v>
      </c>
      <c r="G2" s="7" t="s">
        <v>9</v>
      </c>
    </row>
    <row r="3" spans="1:7" x14ac:dyDescent="0.45">
      <c r="A3" t="s">
        <v>10</v>
      </c>
      <c r="B3" s="2" t="s">
        <v>11</v>
      </c>
      <c r="C3" s="8" t="s">
        <v>12</v>
      </c>
      <c r="D3" s="4">
        <f>1820/(60*60*24)</f>
        <v>2.1064814814814814E-2</v>
      </c>
      <c r="E3" s="3">
        <f>10433/(60*60*24)</f>
        <v>0.12075231481481481</v>
      </c>
      <c r="F3" s="5">
        <f>35289/(60*60*24)</f>
        <v>0.40843750000000001</v>
      </c>
      <c r="G3" s="7" t="s">
        <v>9</v>
      </c>
    </row>
    <row r="4" spans="1:7" x14ac:dyDescent="0.45">
      <c r="A4" t="s">
        <v>13</v>
      </c>
      <c r="B4" s="2" t="s">
        <v>14</v>
      </c>
      <c r="C4" s="3">
        <f>5893/(60*60*24)</f>
        <v>6.8206018518518513E-2</v>
      </c>
      <c r="D4" s="4">
        <f>1659/(60*60*24)</f>
        <v>1.9201388888888889E-2</v>
      </c>
      <c r="E4" s="5">
        <f>9994/(60*60*24)</f>
        <v>0.1156712962962963</v>
      </c>
      <c r="F4" s="6">
        <f>34250/(60*60*24)</f>
        <v>0.39641203703703703</v>
      </c>
      <c r="G4" s="7" t="s">
        <v>9</v>
      </c>
    </row>
    <row r="5" spans="1:7" x14ac:dyDescent="0.45">
      <c r="A5" t="s">
        <v>15</v>
      </c>
      <c r="B5" s="2" t="s">
        <v>16</v>
      </c>
      <c r="C5" s="3">
        <f>5737/(60*60*24)</f>
        <v>6.6400462962962967E-2</v>
      </c>
      <c r="D5" s="4">
        <f>1549/(60*60*24)</f>
        <v>1.7928240740740741E-2</v>
      </c>
      <c r="E5" s="5">
        <f>9896/(60*60*24)</f>
        <v>0.11453703703703703</v>
      </c>
      <c r="F5" s="6">
        <f>33527/(60*60*24)</f>
        <v>0.3880439814814815</v>
      </c>
      <c r="G5" s="7" t="s">
        <v>9</v>
      </c>
    </row>
    <row r="6" spans="1:7" x14ac:dyDescent="0.45">
      <c r="A6" t="s">
        <v>17</v>
      </c>
      <c r="B6" s="2" t="s">
        <v>18</v>
      </c>
      <c r="C6" s="8" t="s">
        <v>12</v>
      </c>
      <c r="D6" s="4">
        <f>1713/(60*60*24)</f>
        <v>1.982638888888889E-2</v>
      </c>
      <c r="E6" s="3">
        <f>10070/(60*60*24)</f>
        <v>0.11655092592592593</v>
      </c>
      <c r="F6" s="5">
        <f>33312/(60*60*24)</f>
        <v>0.38555555555555554</v>
      </c>
      <c r="G6" s="7" t="s">
        <v>9</v>
      </c>
    </row>
    <row r="7" spans="1:7" x14ac:dyDescent="0.45">
      <c r="A7" t="s">
        <v>19</v>
      </c>
      <c r="B7" s="2" t="s">
        <v>20</v>
      </c>
      <c r="C7" s="8" t="s">
        <v>12</v>
      </c>
      <c r="D7" s="4">
        <f>1839/(60*60*24)</f>
        <v>2.1284722222222222E-2</v>
      </c>
      <c r="E7" s="3">
        <f>9778/(60*60*24)</f>
        <v>0.1131712962962963</v>
      </c>
      <c r="F7" s="5">
        <f>32862/(60*60*24)</f>
        <v>0.38034722222222223</v>
      </c>
      <c r="G7" s="7" t="s">
        <v>9</v>
      </c>
    </row>
    <row r="8" spans="1:7" x14ac:dyDescent="0.45">
      <c r="A8" t="s">
        <v>21</v>
      </c>
      <c r="B8" s="2" t="s">
        <v>22</v>
      </c>
      <c r="C8" s="8" t="s">
        <v>12</v>
      </c>
      <c r="D8" s="4">
        <f>1955/(60*60*24)</f>
        <v>2.2627314814814815E-2</v>
      </c>
      <c r="E8" s="3">
        <f>9337/(60*60*24)</f>
        <v>0.10806712962962962</v>
      </c>
      <c r="F8" s="5">
        <f>31691/(60*60*24)</f>
        <v>0.36679398148148146</v>
      </c>
      <c r="G8" s="7" t="s">
        <v>9</v>
      </c>
    </row>
    <row r="9" spans="1:7" x14ac:dyDescent="0.45">
      <c r="A9" t="s">
        <v>23</v>
      </c>
      <c r="B9" s="2" t="s">
        <v>24</v>
      </c>
      <c r="C9" s="8" t="s">
        <v>12</v>
      </c>
      <c r="D9" s="4">
        <f>1851/(60*60*24)</f>
        <v>2.1423611111111112E-2</v>
      </c>
      <c r="E9" s="3">
        <f>8986/(60*60*24)</f>
        <v>0.10400462962962963</v>
      </c>
      <c r="F9" s="5">
        <f>30973/(60*60*24)</f>
        <v>0.35848379629629629</v>
      </c>
      <c r="G9" s="7" t="s">
        <v>9</v>
      </c>
    </row>
    <row r="10" spans="1:7" x14ac:dyDescent="0.45">
      <c r="A10" t="s">
        <v>25</v>
      </c>
      <c r="B10" s="2" t="s">
        <v>26</v>
      </c>
      <c r="C10" s="8" t="s">
        <v>12</v>
      </c>
      <c r="D10" s="4">
        <f>1920/(60*60*24)</f>
        <v>2.2222222222222223E-2</v>
      </c>
      <c r="E10" s="3">
        <f>9163/(60*60*24)</f>
        <v>0.10605324074074074</v>
      </c>
      <c r="F10" s="5">
        <f>30299/(60*60*24)</f>
        <v>0.35068287037037038</v>
      </c>
      <c r="G10" s="7" t="s">
        <v>9</v>
      </c>
    </row>
    <row r="11" spans="1:7" x14ac:dyDescent="0.45">
      <c r="A11" t="s">
        <v>27</v>
      </c>
      <c r="B11" s="2" t="s">
        <v>28</v>
      </c>
      <c r="C11" s="8" t="s">
        <v>12</v>
      </c>
      <c r="D11" s="4">
        <f>1918/(60*60*24)</f>
        <v>2.2199074074074072E-2</v>
      </c>
      <c r="E11" s="3">
        <f>8585/(60*60*24)</f>
        <v>9.9363425925925924E-2</v>
      </c>
      <c r="F11" s="5">
        <f>30060/(60*60*24)</f>
        <v>0.34791666666666665</v>
      </c>
      <c r="G11" s="7" t="s">
        <v>9</v>
      </c>
    </row>
    <row r="12" spans="1:7" x14ac:dyDescent="0.45">
      <c r="A12" t="s">
        <v>29</v>
      </c>
      <c r="B12" s="2" t="s">
        <v>30</v>
      </c>
      <c r="C12" s="8" t="s">
        <v>12</v>
      </c>
      <c r="D12" s="4">
        <f>1829/(60*60*24)</f>
        <v>2.1168981481481483E-2</v>
      </c>
      <c r="E12" s="3">
        <f>8376/(60*60*24)</f>
        <v>9.6944444444444444E-2</v>
      </c>
      <c r="F12" s="5">
        <f>28898/(60*60*24)</f>
        <v>0.33446759259259257</v>
      </c>
      <c r="G12" s="7" t="s">
        <v>9</v>
      </c>
    </row>
    <row r="13" spans="1:7" x14ac:dyDescent="0.45">
      <c r="A13" t="s">
        <v>31</v>
      </c>
      <c r="B13" s="2" t="s">
        <v>32</v>
      </c>
      <c r="C13" s="8" t="s">
        <v>12</v>
      </c>
      <c r="D13" s="4">
        <f>1815/(60*60*24)</f>
        <v>2.1006944444444446E-2</v>
      </c>
      <c r="E13" s="3">
        <f>8138/(60*60*24)</f>
        <v>9.418981481481481E-2</v>
      </c>
      <c r="F13" s="5">
        <f>28324/(60*60*24)</f>
        <v>0.3278240740740741</v>
      </c>
      <c r="G13" s="7" t="s">
        <v>9</v>
      </c>
    </row>
    <row r="14" spans="1:7" x14ac:dyDescent="0.45">
      <c r="A14" t="s">
        <v>33</v>
      </c>
      <c r="B14" s="2" t="s">
        <v>34</v>
      </c>
      <c r="C14" s="3">
        <f>6353/(60*60*24)</f>
        <v>7.3530092592592591E-2</v>
      </c>
      <c r="D14" s="4">
        <f>1812/(60*60*24)</f>
        <v>2.0972222222222222E-2</v>
      </c>
      <c r="E14" s="5">
        <f>7799/(60*60*24)</f>
        <v>9.026620370370371E-2</v>
      </c>
      <c r="F14" s="6">
        <f>26939/(60*60*24)</f>
        <v>0.31179398148148146</v>
      </c>
      <c r="G14" s="7" t="s">
        <v>9</v>
      </c>
    </row>
    <row r="15" spans="1:7" x14ac:dyDescent="0.45">
      <c r="A15" t="s">
        <v>35</v>
      </c>
      <c r="B15" s="2" t="s">
        <v>36</v>
      </c>
      <c r="C15" s="8" t="s">
        <v>12</v>
      </c>
      <c r="D15" s="4">
        <f>1844/(60*60*24)</f>
        <v>2.1342592592592594E-2</v>
      </c>
      <c r="E15" s="3">
        <f>7993/(60*60*24)</f>
        <v>9.2511574074074079E-2</v>
      </c>
      <c r="F15" s="5">
        <f>27333/(60*60*24)</f>
        <v>0.31635416666666666</v>
      </c>
      <c r="G15" s="7" t="s">
        <v>9</v>
      </c>
    </row>
    <row r="16" spans="1:7" x14ac:dyDescent="0.45">
      <c r="A16" t="s">
        <v>37</v>
      </c>
      <c r="B16" s="2" t="s">
        <v>38</v>
      </c>
      <c r="C16" s="3">
        <f>5514/(60*60*24)</f>
        <v>6.3819444444444443E-2</v>
      </c>
      <c r="D16" s="4">
        <f>1892/(60*60*24)</f>
        <v>2.1898148148148149E-2</v>
      </c>
      <c r="E16" s="5">
        <f>7666/(60*60*24)</f>
        <v>8.8726851851851848E-2</v>
      </c>
      <c r="F16" s="6">
        <f>26072/(60*60*24)</f>
        <v>0.30175925925925928</v>
      </c>
      <c r="G16" s="7" t="s">
        <v>9</v>
      </c>
    </row>
    <row r="17" spans="1:7" x14ac:dyDescent="0.45">
      <c r="A17" t="s">
        <v>39</v>
      </c>
      <c r="B17" s="2" t="s">
        <v>40</v>
      </c>
      <c r="C17" s="3">
        <f>5725/(60*60*24)</f>
        <v>6.626157407407407E-2</v>
      </c>
      <c r="D17" s="4">
        <f>1951/(60*60*24)</f>
        <v>2.2581018518518518E-2</v>
      </c>
      <c r="E17" s="5">
        <f>7601/(60*60*24)</f>
        <v>8.7974537037037032E-2</v>
      </c>
      <c r="F17" s="6">
        <f>25443/(60*60*24)</f>
        <v>0.29447916666666668</v>
      </c>
      <c r="G17" s="7" t="s">
        <v>9</v>
      </c>
    </row>
    <row r="18" spans="1:7" x14ac:dyDescent="0.45">
      <c r="A18" t="s">
        <v>41</v>
      </c>
      <c r="B18" s="2" t="s">
        <v>42</v>
      </c>
      <c r="C18" s="3">
        <f>5503/(60*60*24)</f>
        <v>6.3692129629629626E-2</v>
      </c>
      <c r="D18" s="4">
        <f>1930/(60*60*24)</f>
        <v>2.2337962962962962E-2</v>
      </c>
      <c r="E18" s="5">
        <f>7479/(60*60*24)</f>
        <v>8.6562500000000001E-2</v>
      </c>
      <c r="F18" s="6">
        <f>24419/(60*60*24)</f>
        <v>0.28262731481481479</v>
      </c>
      <c r="G18" s="7" t="s">
        <v>9</v>
      </c>
    </row>
    <row r="19" spans="1:7" x14ac:dyDescent="0.45">
      <c r="A19" t="s">
        <v>43</v>
      </c>
      <c r="B19" s="2" t="s">
        <v>44</v>
      </c>
      <c r="C19" s="8" t="s">
        <v>12</v>
      </c>
      <c r="D19" s="4">
        <f>1972/(60*60*24)</f>
        <v>2.2824074074074073E-2</v>
      </c>
      <c r="E19" s="3">
        <f>7518/(60*60*24)</f>
        <v>8.7013888888888891E-2</v>
      </c>
      <c r="F19" s="5">
        <f>25040/(60*60*24)</f>
        <v>0.2898148148148148</v>
      </c>
      <c r="G19" s="7" t="s">
        <v>9</v>
      </c>
    </row>
    <row r="20" spans="1:7" x14ac:dyDescent="0.45">
      <c r="A20" t="s">
        <v>45</v>
      </c>
      <c r="B20" s="2" t="s">
        <v>46</v>
      </c>
      <c r="C20" s="3">
        <f>5003/(60*60*24)</f>
        <v>5.7905092592592591E-2</v>
      </c>
      <c r="D20" s="4">
        <f>1851/(60*60*24)</f>
        <v>2.1423611111111112E-2</v>
      </c>
      <c r="E20" s="5">
        <f>7218/(60*60*24)</f>
        <v>8.3541666666666667E-2</v>
      </c>
      <c r="F20" s="6">
        <f>24028/(60*60*24)</f>
        <v>0.27810185185185188</v>
      </c>
      <c r="G20" s="7" t="s">
        <v>9</v>
      </c>
    </row>
    <row r="21" spans="1:7" x14ac:dyDescent="0.45">
      <c r="A21" t="s">
        <v>47</v>
      </c>
      <c r="B21" s="2" t="s">
        <v>48</v>
      </c>
      <c r="C21" s="3">
        <f>4757/(60*60*24)</f>
        <v>5.5057870370370368E-2</v>
      </c>
      <c r="D21" s="4">
        <f>1707/(60*60*24)</f>
        <v>1.9756944444444445E-2</v>
      </c>
      <c r="E21" s="5">
        <f>7023/(60*60*24)</f>
        <v>8.1284722222222217E-2</v>
      </c>
      <c r="F21" s="6">
        <f>23403/(60*60*24)</f>
        <v>0.27086805555555554</v>
      </c>
      <c r="G21" s="7" t="s">
        <v>9</v>
      </c>
    </row>
    <row r="22" spans="1:7" x14ac:dyDescent="0.45">
      <c r="A22" t="s">
        <v>49</v>
      </c>
      <c r="B22" s="2" t="s">
        <v>50</v>
      </c>
      <c r="C22" s="8" t="s">
        <v>12</v>
      </c>
      <c r="D22" s="4">
        <f>1694/(60*60*24)</f>
        <v>1.9606481481481482E-2</v>
      </c>
      <c r="E22" s="3">
        <f>7014/(60*60*24)</f>
        <v>8.1180555555555561E-2</v>
      </c>
      <c r="F22" s="5">
        <f>23090/(60*60*24)</f>
        <v>0.26724537037037038</v>
      </c>
      <c r="G22" s="7" t="s">
        <v>9</v>
      </c>
    </row>
    <row r="23" spans="1:7" x14ac:dyDescent="0.45">
      <c r="A23" t="s">
        <v>51</v>
      </c>
      <c r="B23" s="2" t="s">
        <v>52</v>
      </c>
      <c r="C23" s="8" t="s">
        <v>12</v>
      </c>
      <c r="D23" s="4">
        <f>1808/(60*60*24)</f>
        <v>2.0925925925925924E-2</v>
      </c>
      <c r="E23" s="3">
        <f>7019/(60*60*24)</f>
        <v>8.1238425925925922E-2</v>
      </c>
      <c r="F23" s="5">
        <f>22920/(60*60*24)</f>
        <v>0.26527777777777778</v>
      </c>
      <c r="G23" s="7" t="s">
        <v>9</v>
      </c>
    </row>
    <row r="24" spans="1:7" x14ac:dyDescent="0.45">
      <c r="A24" t="s">
        <v>53</v>
      </c>
      <c r="B24" s="2" t="s">
        <v>54</v>
      </c>
      <c r="C24" s="8" t="s">
        <v>12</v>
      </c>
      <c r="D24" s="4">
        <f>1888/(60*60*24)</f>
        <v>2.1851851851851851E-2</v>
      </c>
      <c r="E24" s="3">
        <f>6858/(60*60*24)</f>
        <v>7.9375000000000001E-2</v>
      </c>
      <c r="F24" s="5">
        <f>22324/(60*60*24)</f>
        <v>0.25837962962962963</v>
      </c>
      <c r="G24" s="7" t="s">
        <v>9</v>
      </c>
    </row>
    <row r="25" spans="1:7" x14ac:dyDescent="0.45">
      <c r="A25" t="s">
        <v>55</v>
      </c>
      <c r="B25" s="2" t="s">
        <v>56</v>
      </c>
      <c r="C25" s="8" t="s">
        <v>12</v>
      </c>
      <c r="D25" s="4">
        <f>1827/(60*60*24)</f>
        <v>2.1145833333333332E-2</v>
      </c>
      <c r="E25" s="3">
        <f>6492/(60*60*24)</f>
        <v>7.5138888888888894E-2</v>
      </c>
      <c r="F25" s="5">
        <f>21374/(60*60*24)</f>
        <v>0.24738425925925925</v>
      </c>
      <c r="G25" s="7" t="s">
        <v>9</v>
      </c>
    </row>
    <row r="26" spans="1:7" x14ac:dyDescent="0.45">
      <c r="A26" t="s">
        <v>57</v>
      </c>
      <c r="B26" s="2" t="s">
        <v>58</v>
      </c>
      <c r="C26" s="8" t="s">
        <v>12</v>
      </c>
      <c r="D26" s="4">
        <f>1846/(60*60*24)</f>
        <v>2.1365740740740741E-2</v>
      </c>
      <c r="E26" s="3">
        <f>6293/(60*60*24)</f>
        <v>7.2835648148148149E-2</v>
      </c>
      <c r="F26" s="5">
        <f>20629/(60*60*24)</f>
        <v>0.23876157407407408</v>
      </c>
      <c r="G26" s="7" t="s">
        <v>9</v>
      </c>
    </row>
    <row r="27" spans="1:7" x14ac:dyDescent="0.45">
      <c r="A27" t="s">
        <v>59</v>
      </c>
      <c r="B27" s="2" t="s">
        <v>60</v>
      </c>
      <c r="C27" s="8" t="s">
        <v>12</v>
      </c>
      <c r="D27" s="4">
        <f>1905/(60*60*24)</f>
        <v>2.2048611111111113E-2</v>
      </c>
      <c r="E27" s="3">
        <f>5909/(60*60*24)</f>
        <v>6.8391203703703704E-2</v>
      </c>
      <c r="F27" s="5">
        <f>19884/(60*60*24)</f>
        <v>0.23013888888888889</v>
      </c>
      <c r="G27" s="7" t="s">
        <v>9</v>
      </c>
    </row>
    <row r="28" spans="1:7" x14ac:dyDescent="0.45">
      <c r="A28" t="s">
        <v>61</v>
      </c>
      <c r="B28" s="2" t="s">
        <v>62</v>
      </c>
      <c r="C28" s="8" t="s">
        <v>12</v>
      </c>
      <c r="D28" s="4">
        <f>1950/(60*60*24)</f>
        <v>2.2569444444444444E-2</v>
      </c>
      <c r="E28" s="3">
        <f>5649/(60*60*24)</f>
        <v>6.5381944444444451E-2</v>
      </c>
      <c r="F28" s="5">
        <f>19061/(60*60*24)</f>
        <v>0.22061342592592592</v>
      </c>
      <c r="G28" s="7" t="s">
        <v>9</v>
      </c>
    </row>
    <row r="29" spans="1:7" x14ac:dyDescent="0.45">
      <c r="A29" t="s">
        <v>63</v>
      </c>
      <c r="B29" s="2" t="s">
        <v>64</v>
      </c>
      <c r="C29" s="8" t="s">
        <v>12</v>
      </c>
      <c r="D29" s="4">
        <f>1963/(60*60*24)</f>
        <v>2.2719907407407407E-2</v>
      </c>
      <c r="E29" s="3">
        <f>5457/(60*60*24)</f>
        <v>6.3159722222222228E-2</v>
      </c>
      <c r="F29" s="5">
        <f>18455/(60*60*24)</f>
        <v>0.21359953703703705</v>
      </c>
      <c r="G29" s="7" t="s">
        <v>9</v>
      </c>
    </row>
    <row r="30" spans="1:7" x14ac:dyDescent="0.45">
      <c r="A30" t="s">
        <v>65</v>
      </c>
      <c r="B30" s="2" t="s">
        <v>66</v>
      </c>
      <c r="C30" s="3">
        <f>5145/(60*60*24)</f>
        <v>5.9548611111111108E-2</v>
      </c>
      <c r="D30" s="4">
        <f>1449/(60*60*24)</f>
        <v>1.6770833333333332E-2</v>
      </c>
      <c r="E30" s="5">
        <f>5154/(60*60*24)</f>
        <v>5.9652777777777777E-2</v>
      </c>
      <c r="F30" s="6">
        <f>17765/(60*60*24)</f>
        <v>0.20561342592592594</v>
      </c>
      <c r="G30" s="7" t="s">
        <v>9</v>
      </c>
    </row>
    <row r="31" spans="1:7" x14ac:dyDescent="0.45">
      <c r="A31" t="s">
        <v>67</v>
      </c>
      <c r="B31" s="2" t="s">
        <v>68</v>
      </c>
      <c r="C31" s="3">
        <f>4498/(60*60*24)</f>
        <v>5.2060185185185189E-2</v>
      </c>
      <c r="D31" s="4">
        <f>1405/(60*60*24)</f>
        <v>1.6261574074074074E-2</v>
      </c>
      <c r="E31" s="5">
        <f>5013/(60*60*24)</f>
        <v>5.8020833333333334E-2</v>
      </c>
      <c r="F31" s="6">
        <f>17230/(60*60*24)</f>
        <v>0.19942129629629629</v>
      </c>
      <c r="G31" s="7" t="s">
        <v>9</v>
      </c>
    </row>
    <row r="32" spans="1:7" x14ac:dyDescent="0.45">
      <c r="A32" t="s">
        <v>69</v>
      </c>
      <c r="B32" s="2" t="s">
        <v>70</v>
      </c>
      <c r="C32" s="3">
        <f>4094/(60*60*24)</f>
        <v>4.7384259259259258E-2</v>
      </c>
      <c r="D32" s="4">
        <f>1288/(60*60*24)</f>
        <v>1.4907407407407407E-2</v>
      </c>
      <c r="E32" s="5">
        <f>4771/(60*60*24)</f>
        <v>5.5219907407407405E-2</v>
      </c>
      <c r="F32" s="6">
        <f>16589/(60*60*24)</f>
        <v>0.19200231481481481</v>
      </c>
      <c r="G32" s="7" t="s">
        <v>9</v>
      </c>
    </row>
    <row r="33" spans="1:7" x14ac:dyDescent="0.45">
      <c r="A33" t="s">
        <v>71</v>
      </c>
      <c r="B33" s="2" t="s">
        <v>72</v>
      </c>
      <c r="C33" s="5">
        <f>4995/(60*60*24)</f>
        <v>5.7812500000000003E-2</v>
      </c>
      <c r="D33" s="4">
        <f>1927/(60*60*24)</f>
        <v>2.2303240740740742E-2</v>
      </c>
      <c r="E33" s="3">
        <f>4950/(60*60*24)</f>
        <v>5.7291666666666664E-2</v>
      </c>
      <c r="F33" s="6">
        <f>16372/(60*60*24)</f>
        <v>0.18949074074074074</v>
      </c>
      <c r="G33" s="7" t="s">
        <v>9</v>
      </c>
    </row>
    <row r="34" spans="1:7" x14ac:dyDescent="0.45">
      <c r="A34" t="s">
        <v>73</v>
      </c>
      <c r="B34" s="2" t="s">
        <v>74</v>
      </c>
      <c r="C34" s="8" t="s">
        <v>12</v>
      </c>
      <c r="D34" s="4">
        <f>1157/(60*60*24)</f>
        <v>1.3391203703703704E-2</v>
      </c>
      <c r="E34" s="3">
        <f>4644/(60*60*24)</f>
        <v>5.3749999999999999E-2</v>
      </c>
      <c r="F34" s="5">
        <f>15562/(60*60*24)</f>
        <v>0.18011574074074074</v>
      </c>
      <c r="G34" s="7" t="s">
        <v>9</v>
      </c>
    </row>
    <row r="35" spans="1:7" x14ac:dyDescent="0.45">
      <c r="A35" t="s">
        <v>75</v>
      </c>
      <c r="B35" s="2" t="s">
        <v>76</v>
      </c>
      <c r="C35" s="8" t="s">
        <v>12</v>
      </c>
      <c r="D35" s="4">
        <f>1098/(60*60*24)</f>
        <v>1.2708333333333334E-2</v>
      </c>
      <c r="E35" s="3">
        <f>4322/(60*60*24)</f>
        <v>5.002314814814815E-2</v>
      </c>
      <c r="F35" s="5">
        <f>15047/(60*60*24)</f>
        <v>0.1741550925925926</v>
      </c>
      <c r="G35" s="7" t="s">
        <v>9</v>
      </c>
    </row>
    <row r="36" spans="1:7" x14ac:dyDescent="0.45">
      <c r="A36" t="s">
        <v>77</v>
      </c>
      <c r="B36" s="2" t="s">
        <v>78</v>
      </c>
      <c r="C36" s="5">
        <f>4710/(60*60*24)</f>
        <v>5.451388888888889E-2</v>
      </c>
      <c r="D36" s="4">
        <f>1010/(60*60*24)</f>
        <v>1.1689814814814814E-2</v>
      </c>
      <c r="E36" s="3">
        <f>4208/(60*60*24)</f>
        <v>4.87037037037037E-2</v>
      </c>
      <c r="F36" s="6">
        <f>14727/(60*60*24)</f>
        <v>0.17045138888888889</v>
      </c>
      <c r="G36" s="7" t="s">
        <v>9</v>
      </c>
    </row>
    <row r="37" spans="1:7" x14ac:dyDescent="0.45">
      <c r="A37" t="s">
        <v>79</v>
      </c>
      <c r="B37" s="2" t="s">
        <v>80</v>
      </c>
      <c r="C37" s="8" t="s">
        <v>12</v>
      </c>
      <c r="D37" s="4">
        <f>765/(60*60*24)</f>
        <v>8.8541666666666664E-3</v>
      </c>
      <c r="E37" s="3">
        <f>4299/(60*60*24)</f>
        <v>4.9756944444444444E-2</v>
      </c>
      <c r="F37" s="5">
        <f>14708/(60*60*24)</f>
        <v>0.17023148148148148</v>
      </c>
      <c r="G37" s="7" t="s">
        <v>9</v>
      </c>
    </row>
    <row r="38" spans="1:7" x14ac:dyDescent="0.45">
      <c r="A38" t="s">
        <v>81</v>
      </c>
      <c r="B38" s="2" t="s">
        <v>82</v>
      </c>
      <c r="C38" s="5">
        <f>4969/(60*60*24)</f>
        <v>5.7511574074074076E-2</v>
      </c>
      <c r="D38" s="4">
        <f>1122/(60*60*24)</f>
        <v>1.2986111111111111E-2</v>
      </c>
      <c r="E38" s="3">
        <f>4306/(60*60*24)</f>
        <v>4.9837962962962966E-2</v>
      </c>
      <c r="F38" s="6">
        <f>13991/(60*60*24)</f>
        <v>0.16193287037037038</v>
      </c>
      <c r="G38" s="7" t="s">
        <v>9</v>
      </c>
    </row>
    <row r="39" spans="1:7" x14ac:dyDescent="0.45">
      <c r="A39" t="s">
        <v>83</v>
      </c>
      <c r="B39" s="2" t="s">
        <v>84</v>
      </c>
      <c r="C39" s="8" t="s">
        <v>12</v>
      </c>
      <c r="D39" s="4">
        <f>1130/(60*60*24)</f>
        <v>1.3078703703703703E-2</v>
      </c>
      <c r="E39" s="3">
        <f>4645/(60*60*24)</f>
        <v>5.3761574074074073E-2</v>
      </c>
      <c r="F39" s="5">
        <f>14366/(60*60*24)</f>
        <v>0.16627314814814814</v>
      </c>
      <c r="G39" s="7" t="s">
        <v>9</v>
      </c>
    </row>
    <row r="40" spans="1:7" x14ac:dyDescent="0.45">
      <c r="A40" t="s">
        <v>85</v>
      </c>
      <c r="B40" s="2" t="s">
        <v>86</v>
      </c>
      <c r="C40" s="5">
        <f>5630/(60*60*24)</f>
        <v>6.5162037037037032E-2</v>
      </c>
      <c r="D40" s="4">
        <f>1178/(60*60*24)</f>
        <v>1.3634259259259259E-2</v>
      </c>
      <c r="E40" s="3">
        <f>4210/(60*60*24)</f>
        <v>4.8726851851851855E-2</v>
      </c>
      <c r="F40" s="6">
        <f>13736/(60*60*24)</f>
        <v>0.15898148148148147</v>
      </c>
      <c r="G40" s="7" t="s">
        <v>9</v>
      </c>
    </row>
    <row r="41" spans="1:7" x14ac:dyDescent="0.45">
      <c r="A41" t="s">
        <v>87</v>
      </c>
      <c r="B41" s="2" t="s">
        <v>88</v>
      </c>
      <c r="C41" s="8" t="s">
        <v>12</v>
      </c>
      <c r="D41" s="4">
        <f>1087/(60*60*24)</f>
        <v>1.2581018518518519E-2</v>
      </c>
      <c r="E41" s="3">
        <f>4186/(60*60*24)</f>
        <v>4.8449074074074075E-2</v>
      </c>
      <c r="F41" s="5">
        <f>13714/(60*60*24)</f>
        <v>0.15872685185185184</v>
      </c>
      <c r="G41" s="7" t="s">
        <v>9</v>
      </c>
    </row>
    <row r="42" spans="1:7" x14ac:dyDescent="0.45">
      <c r="A42" t="s">
        <v>89</v>
      </c>
      <c r="B42" s="2" t="s">
        <v>90</v>
      </c>
      <c r="C42" s="8" t="s">
        <v>12</v>
      </c>
      <c r="D42" s="4">
        <f>1580/(60*60*24)</f>
        <v>1.8287037037037036E-2</v>
      </c>
      <c r="E42" s="3">
        <f>4022/(60*60*24)</f>
        <v>4.6550925925925926E-2</v>
      </c>
      <c r="F42" s="5">
        <f>12915/(60*60*24)</f>
        <v>0.14947916666666666</v>
      </c>
      <c r="G42" s="7" t="s">
        <v>9</v>
      </c>
    </row>
    <row r="43" spans="1:7" x14ac:dyDescent="0.45">
      <c r="A43" t="s">
        <v>91</v>
      </c>
      <c r="B43" s="2" t="s">
        <v>92</v>
      </c>
      <c r="C43" s="8" t="s">
        <v>12</v>
      </c>
      <c r="D43" s="4">
        <f>1569/(60*60*24)</f>
        <v>1.8159722222222223E-2</v>
      </c>
      <c r="E43" s="3">
        <f>3878/(60*60*24)</f>
        <v>4.4884259259259263E-2</v>
      </c>
      <c r="F43" s="5">
        <f>13686/(60*60*24)</f>
        <v>0.15840277777777778</v>
      </c>
      <c r="G43" s="7" t="s">
        <v>9</v>
      </c>
    </row>
    <row r="44" spans="1:7" x14ac:dyDescent="0.45">
      <c r="A44" t="s">
        <v>93</v>
      </c>
      <c r="B44" s="2" t="s">
        <v>94</v>
      </c>
      <c r="C44" s="8" t="s">
        <v>12</v>
      </c>
      <c r="D44" s="4">
        <f>1620/(60*60*24)</f>
        <v>1.8749999999999999E-2</v>
      </c>
      <c r="E44" s="3">
        <f>4004/(60*60*24)</f>
        <v>4.6342592592592595E-2</v>
      </c>
      <c r="F44" s="5">
        <f>12639/(60*60*24)</f>
        <v>0.14628472222222222</v>
      </c>
      <c r="G44" s="7" t="s">
        <v>9</v>
      </c>
    </row>
    <row r="45" spans="1:7" x14ac:dyDescent="0.45">
      <c r="A45" t="s">
        <v>95</v>
      </c>
      <c r="B45" s="2" t="s">
        <v>96</v>
      </c>
      <c r="C45" s="8" t="s">
        <v>12</v>
      </c>
      <c r="D45" s="4">
        <f>1802/(60*60*24)</f>
        <v>2.0856481481481483E-2</v>
      </c>
      <c r="E45" s="3">
        <f>3920/(60*60*24)</f>
        <v>4.5370370370370373E-2</v>
      </c>
      <c r="F45" s="5">
        <f>13577/(60*60*24)</f>
        <v>0.15714120370370371</v>
      </c>
      <c r="G45" s="7" t="s">
        <v>9</v>
      </c>
    </row>
    <row r="46" spans="1:7" x14ac:dyDescent="0.45">
      <c r="A46" t="s">
        <v>97</v>
      </c>
      <c r="B46" s="2" t="s">
        <v>98</v>
      </c>
      <c r="C46" s="8" t="s">
        <v>12</v>
      </c>
      <c r="D46" s="4">
        <f>1514/(60*60*24)</f>
        <v>1.7523148148148149E-2</v>
      </c>
      <c r="E46" s="3">
        <f>3701/(60*60*24)</f>
        <v>4.283564814814815E-2</v>
      </c>
      <c r="F46" s="5">
        <f>11849/(60*60*24)</f>
        <v>0.1371412037037037</v>
      </c>
      <c r="G46" s="7" t="s">
        <v>9</v>
      </c>
    </row>
    <row r="47" spans="1:7" x14ac:dyDescent="0.45">
      <c r="A47" t="s">
        <v>99</v>
      </c>
      <c r="B47" s="2" t="s">
        <v>100</v>
      </c>
      <c r="C47" s="8" t="s">
        <v>12</v>
      </c>
      <c r="D47" s="4">
        <f>1939/(60*60*24)</f>
        <v>2.2442129629629631E-2</v>
      </c>
      <c r="E47" s="3">
        <f>4100/(60*60*24)</f>
        <v>4.7453703703703706E-2</v>
      </c>
      <c r="F47" s="5">
        <f>13000/(60*60*24)</f>
        <v>0.15046296296296297</v>
      </c>
      <c r="G47" s="7" t="s">
        <v>9</v>
      </c>
    </row>
    <row r="48" spans="1:7" x14ac:dyDescent="0.45">
      <c r="A48" t="s">
        <v>101</v>
      </c>
      <c r="B48" s="2" t="s">
        <v>102</v>
      </c>
      <c r="C48" s="5">
        <f>5485/(60*60*24)</f>
        <v>6.3483796296296302E-2</v>
      </c>
      <c r="D48" s="4">
        <f>1586/(60*60*24)</f>
        <v>1.8356481481481481E-2</v>
      </c>
      <c r="E48" s="3">
        <f>3489/(60*60*24)</f>
        <v>4.0381944444444443E-2</v>
      </c>
      <c r="F48" s="6">
        <f>13609/(60*60*24)</f>
        <v>0.15751157407407407</v>
      </c>
      <c r="G48" s="7" t="s">
        <v>9</v>
      </c>
    </row>
    <row r="49" spans="1:7" x14ac:dyDescent="0.45">
      <c r="A49" t="s">
        <v>103</v>
      </c>
      <c r="B49" s="2" t="s">
        <v>104</v>
      </c>
      <c r="C49" s="8" t="s">
        <v>12</v>
      </c>
      <c r="D49" s="4">
        <f>1746/(60*60*24)</f>
        <v>2.0208333333333332E-2</v>
      </c>
      <c r="E49" s="3">
        <f>3706/(60*60*24)</f>
        <v>4.2893518518518518E-2</v>
      </c>
      <c r="F49" s="5">
        <f>14309/(60*60*24)</f>
        <v>0.16561342592592593</v>
      </c>
      <c r="G49" s="7" t="s">
        <v>9</v>
      </c>
    </row>
    <row r="50" spans="1:7" x14ac:dyDescent="0.45">
      <c r="A50" t="s">
        <v>105</v>
      </c>
      <c r="B50" s="2" t="s">
        <v>106</v>
      </c>
      <c r="C50" s="5">
        <f>5580/(60*60*24)</f>
        <v>6.458333333333334E-2</v>
      </c>
      <c r="D50" s="4">
        <f>1658/(60*60*24)</f>
        <v>1.9189814814814816E-2</v>
      </c>
      <c r="E50" s="3">
        <f>3502/(60*60*24)</f>
        <v>4.0532407407407406E-2</v>
      </c>
      <c r="F50" s="6">
        <f>13276/(60*60*24)</f>
        <v>0.15365740740740741</v>
      </c>
      <c r="G50" s="7" t="s">
        <v>9</v>
      </c>
    </row>
    <row r="51" spans="1:7" x14ac:dyDescent="0.45">
      <c r="A51" t="s">
        <v>107</v>
      </c>
      <c r="B51" s="2" t="s">
        <v>108</v>
      </c>
      <c r="C51" s="5">
        <f>5554/(60*60*24)</f>
        <v>6.4282407407407413E-2</v>
      </c>
      <c r="D51" s="4">
        <f>1650/(60*60*24)</f>
        <v>1.9097222222222224E-2</v>
      </c>
      <c r="E51" s="3">
        <f>3737/(60*60*24)</f>
        <v>4.3252314814814813E-2</v>
      </c>
      <c r="F51" s="6">
        <f>12395/(60*60*24)</f>
        <v>0.14346064814814816</v>
      </c>
      <c r="G51" s="7" t="s">
        <v>9</v>
      </c>
    </row>
    <row r="52" spans="1:7" x14ac:dyDescent="0.45">
      <c r="A52" t="s">
        <v>109</v>
      </c>
      <c r="B52" s="2" t="s">
        <v>110</v>
      </c>
      <c r="C52" s="5">
        <f>5804/(60*60*24)</f>
        <v>6.7175925925925931E-2</v>
      </c>
      <c r="D52" s="4">
        <f>1665/(60*60*24)</f>
        <v>1.9270833333333334E-2</v>
      </c>
      <c r="E52" s="3">
        <f>3927/(60*60*24)</f>
        <v>4.5451388888888888E-2</v>
      </c>
      <c r="F52" s="6">
        <f>11761/(60*60*24)</f>
        <v>0.13612268518518519</v>
      </c>
      <c r="G52" s="7" t="s">
        <v>9</v>
      </c>
    </row>
    <row r="53" spans="1:7" x14ac:dyDescent="0.45">
      <c r="A53" t="s">
        <v>111</v>
      </c>
      <c r="B53" s="2" t="s">
        <v>112</v>
      </c>
      <c r="C53" s="8" t="s">
        <v>12</v>
      </c>
      <c r="D53" s="4">
        <f>1682/(60*60*24)</f>
        <v>1.9467592592592592E-2</v>
      </c>
      <c r="E53" s="3">
        <f>3743/(60*60*24)</f>
        <v>4.3321759259259261E-2</v>
      </c>
      <c r="F53" s="5">
        <f>11945/(60*60*24)</f>
        <v>0.13825231481481481</v>
      </c>
      <c r="G53" s="7" t="s">
        <v>9</v>
      </c>
    </row>
    <row r="54" spans="1:7" x14ac:dyDescent="0.45">
      <c r="A54" t="s">
        <v>113</v>
      </c>
      <c r="B54" s="2" t="s">
        <v>114</v>
      </c>
      <c r="C54" s="5">
        <f>4511/(60*60*24)</f>
        <v>5.2210648148148145E-2</v>
      </c>
      <c r="D54" s="4">
        <f>1660/(60*60*24)</f>
        <v>1.9212962962962963E-2</v>
      </c>
      <c r="E54" s="3">
        <f>3705/(60*60*24)</f>
        <v>4.2881944444444445E-2</v>
      </c>
      <c r="F54" s="6">
        <f>12289/(60*60*24)</f>
        <v>0.14223379629629629</v>
      </c>
      <c r="G54" s="7" t="s">
        <v>9</v>
      </c>
    </row>
    <row r="55" spans="1:7" x14ac:dyDescent="0.45">
      <c r="A55" t="s">
        <v>115</v>
      </c>
      <c r="B55" s="2" t="s">
        <v>116</v>
      </c>
      <c r="C55" s="5">
        <f>4367/(60*60*24)</f>
        <v>5.0543981481481481E-2</v>
      </c>
      <c r="D55" s="4">
        <f>1593/(60*60*24)</f>
        <v>1.8437499999999999E-2</v>
      </c>
      <c r="E55" s="3">
        <f>3575/(60*60*24)</f>
        <v>4.1377314814814818E-2</v>
      </c>
      <c r="F55" s="6">
        <f>12484/(60*60*24)</f>
        <v>0.14449074074074075</v>
      </c>
      <c r="G55" s="7" t="s">
        <v>9</v>
      </c>
    </row>
    <row r="56" spans="1:7" x14ac:dyDescent="0.45">
      <c r="A56" t="s">
        <v>117</v>
      </c>
      <c r="B56" s="2" t="s">
        <v>118</v>
      </c>
      <c r="C56" s="5">
        <f>4190/(60*60*24)</f>
        <v>4.8495370370370369E-2</v>
      </c>
      <c r="D56" s="4">
        <f>1487/(60*60*24)</f>
        <v>1.7210648148148149E-2</v>
      </c>
      <c r="E56" s="3">
        <f>3622/(60*60*24)</f>
        <v>4.1921296296296297E-2</v>
      </c>
      <c r="F56" s="6">
        <f>12436/(60*60*24)</f>
        <v>0.14393518518518519</v>
      </c>
      <c r="G56" s="7" t="s">
        <v>9</v>
      </c>
    </row>
    <row r="57" spans="1:7" x14ac:dyDescent="0.45">
      <c r="A57" t="s">
        <v>119</v>
      </c>
      <c r="B57" s="2" t="s">
        <v>120</v>
      </c>
      <c r="C57" s="8" t="s">
        <v>12</v>
      </c>
      <c r="D57" s="4">
        <f>1622/(60*60*24)</f>
        <v>1.8773148148148146E-2</v>
      </c>
      <c r="E57" s="3">
        <f>3842/(60*60*24)</f>
        <v>4.4467592592592593E-2</v>
      </c>
      <c r="F57" s="5">
        <f>13551/(60*60*24)</f>
        <v>0.15684027777777779</v>
      </c>
      <c r="G57" s="7" t="s">
        <v>9</v>
      </c>
    </row>
    <row r="58" spans="1:7" x14ac:dyDescent="0.45">
      <c r="A58" t="s">
        <v>121</v>
      </c>
      <c r="B58" s="2" t="s">
        <v>122</v>
      </c>
      <c r="C58" s="3">
        <f>3965/(60*60*24)</f>
        <v>4.5891203703703705E-2</v>
      </c>
      <c r="D58" s="4">
        <f>1544/(60*60*24)</f>
        <v>1.787037037037037E-2</v>
      </c>
      <c r="E58" s="5">
        <f>4206/(60*60*24)</f>
        <v>4.8680555555555553E-2</v>
      </c>
      <c r="F58" s="6">
        <f>14742/(60*60*24)</f>
        <v>0.170625</v>
      </c>
      <c r="G58" s="7" t="s">
        <v>9</v>
      </c>
    </row>
    <row r="59" spans="1:7" x14ac:dyDescent="0.45">
      <c r="A59" t="s">
        <v>123</v>
      </c>
      <c r="B59" s="2" t="s">
        <v>124</v>
      </c>
      <c r="C59" s="8" t="s">
        <v>12</v>
      </c>
      <c r="D59" s="4">
        <f>1685/(60*60*24)</f>
        <v>1.9502314814814816E-2</v>
      </c>
      <c r="E59" s="3">
        <f>3940/(60*60*24)</f>
        <v>4.5601851851851852E-2</v>
      </c>
      <c r="F59" s="5">
        <f>13762/(60*60*24)</f>
        <v>0.1592824074074074</v>
      </c>
      <c r="G59" s="7" t="s">
        <v>9</v>
      </c>
    </row>
    <row r="60" spans="1:7" x14ac:dyDescent="0.45">
      <c r="A60" t="s">
        <v>125</v>
      </c>
      <c r="B60" s="2" t="s">
        <v>126</v>
      </c>
      <c r="C60" s="3">
        <f>4099/(60*60*24)</f>
        <v>4.7442129629629633E-2</v>
      </c>
      <c r="D60" s="4">
        <f>1601/(60*60*24)</f>
        <v>1.8530092592592591E-2</v>
      </c>
      <c r="E60" s="5">
        <f>4846/(60*60*24)</f>
        <v>5.6087962962962964E-2</v>
      </c>
      <c r="F60" s="6">
        <f>14967/(60*60*24)</f>
        <v>0.17322916666666666</v>
      </c>
      <c r="G60" s="7" t="s">
        <v>9</v>
      </c>
    </row>
    <row r="61" spans="1:7" x14ac:dyDescent="0.45">
      <c r="A61" t="s">
        <v>127</v>
      </c>
      <c r="B61" s="2" t="s">
        <v>128</v>
      </c>
      <c r="C61" s="3">
        <f>4465/(60*60*24)</f>
        <v>5.167824074074074E-2</v>
      </c>
      <c r="D61" s="4">
        <f>1599/(60*60*24)</f>
        <v>1.8506944444444444E-2</v>
      </c>
      <c r="E61" s="5">
        <f>4726/(60*60*24)</f>
        <v>5.4699074074074074E-2</v>
      </c>
      <c r="F61" s="6">
        <f>15623/(60*60*24)</f>
        <v>0.18082175925925925</v>
      </c>
      <c r="G61" s="7" t="s">
        <v>9</v>
      </c>
    </row>
    <row r="62" spans="1:7" x14ac:dyDescent="0.45">
      <c r="A62" t="s">
        <v>129</v>
      </c>
      <c r="B62" s="2" t="s">
        <v>130</v>
      </c>
      <c r="C62" s="3">
        <f>3731/(60*60*24)</f>
        <v>4.3182870370370371E-2</v>
      </c>
      <c r="D62" s="4">
        <f>1728/(60*60*24)</f>
        <v>0.02</v>
      </c>
      <c r="E62" s="5">
        <f>5084/(60*60*24)</f>
        <v>5.8842592592592592E-2</v>
      </c>
      <c r="F62" s="6">
        <f>16286/(60*60*24)</f>
        <v>0.18849537037037037</v>
      </c>
      <c r="G62" s="7" t="s">
        <v>9</v>
      </c>
    </row>
    <row r="63" spans="1:7" x14ac:dyDescent="0.45">
      <c r="A63" t="s">
        <v>131</v>
      </c>
      <c r="B63" s="2" t="s">
        <v>132</v>
      </c>
      <c r="C63" s="3">
        <f>3886/(60*60*24)</f>
        <v>4.4976851851851851E-2</v>
      </c>
      <c r="D63" s="4">
        <f>1698/(60*60*24)</f>
        <v>1.9652777777777779E-2</v>
      </c>
      <c r="E63" s="5">
        <f>5274/(60*60*24)</f>
        <v>6.1041666666666668E-2</v>
      </c>
      <c r="F63" s="6">
        <f>17111/(60*60*24)</f>
        <v>0.19804398148148147</v>
      </c>
      <c r="G63" s="7" t="s">
        <v>9</v>
      </c>
    </row>
    <row r="64" spans="1:7" x14ac:dyDescent="0.45">
      <c r="A64" t="s">
        <v>133</v>
      </c>
      <c r="B64" s="2" t="s">
        <v>134</v>
      </c>
      <c r="C64" s="3">
        <f>4984/(60*60*24)</f>
        <v>5.7685185185185187E-2</v>
      </c>
      <c r="D64" s="4">
        <f>1750/(60*60*24)</f>
        <v>2.0254629629629629E-2</v>
      </c>
      <c r="E64" s="5">
        <f>5945/(60*60*24)</f>
        <v>6.8807870370370366E-2</v>
      </c>
      <c r="F64" s="6">
        <f>19155/(60*60*24)</f>
        <v>0.22170138888888888</v>
      </c>
      <c r="G64" s="7" t="s">
        <v>9</v>
      </c>
    </row>
    <row r="65" spans="1:7" x14ac:dyDescent="0.45">
      <c r="A65" t="s">
        <v>135</v>
      </c>
      <c r="B65" s="2" t="s">
        <v>136</v>
      </c>
      <c r="C65" s="8" t="s">
        <v>12</v>
      </c>
      <c r="D65" s="4">
        <f>1809/(60*60*24)</f>
        <v>2.0937500000000001E-2</v>
      </c>
      <c r="E65" s="3">
        <f>5537/(60*60*24)</f>
        <v>6.4085648148148142E-2</v>
      </c>
      <c r="F65" s="5">
        <f>17757/(60*60*24)</f>
        <v>0.20552083333333335</v>
      </c>
      <c r="G65" s="7" t="s">
        <v>9</v>
      </c>
    </row>
    <row r="66" spans="1:7" x14ac:dyDescent="0.45">
      <c r="A66" t="s">
        <v>137</v>
      </c>
      <c r="B66" s="2" t="s">
        <v>138</v>
      </c>
      <c r="C66" s="3">
        <f>4972/(60*60*24)</f>
        <v>5.7546296296296297E-2</v>
      </c>
      <c r="D66" s="4">
        <f>1728/(60*60*24)</f>
        <v>0.02</v>
      </c>
      <c r="E66" s="5">
        <f>5681/(60*60*24)</f>
        <v>6.5752314814814819E-2</v>
      </c>
      <c r="F66" s="6">
        <f>19389/(60*60*24)</f>
        <v>0.22440972222222222</v>
      </c>
      <c r="G66" s="7" t="s">
        <v>9</v>
      </c>
    </row>
    <row r="67" spans="1:7" x14ac:dyDescent="0.45">
      <c r="A67" t="s">
        <v>139</v>
      </c>
      <c r="B67" s="2" t="s">
        <v>140</v>
      </c>
      <c r="C67" s="8" t="s">
        <v>12</v>
      </c>
      <c r="D67" s="4">
        <f>1756/(60*60*24)</f>
        <v>2.0324074074074074E-2</v>
      </c>
      <c r="E67" s="3">
        <f>5821/(60*60*24)</f>
        <v>6.7372685185185188E-2</v>
      </c>
      <c r="F67" s="5">
        <f>19891/(60*60*24)</f>
        <v>0.23021990740740741</v>
      </c>
      <c r="G67" s="7" t="s">
        <v>9</v>
      </c>
    </row>
    <row r="68" spans="1:7" x14ac:dyDescent="0.45">
      <c r="A68" t="s">
        <v>141</v>
      </c>
      <c r="B68" s="2" t="s">
        <v>142</v>
      </c>
      <c r="C68" s="3">
        <f>4821/(60*60*24)</f>
        <v>5.5798611111111111E-2</v>
      </c>
      <c r="D68" s="4">
        <f>1861/(60*60*24)</f>
        <v>2.1539351851851851E-2</v>
      </c>
      <c r="E68" s="5">
        <f>6058/(60*60*24)</f>
        <v>7.0115740740740742E-2</v>
      </c>
      <c r="F68" s="6">
        <f>21408/(60*60*24)</f>
        <v>0.24777777777777779</v>
      </c>
      <c r="G68" s="7" t="s">
        <v>9</v>
      </c>
    </row>
    <row r="69" spans="1:7" x14ac:dyDescent="0.45">
      <c r="A69" t="s">
        <v>143</v>
      </c>
      <c r="B69" s="2" t="s">
        <v>144</v>
      </c>
      <c r="C69" s="8" t="s">
        <v>12</v>
      </c>
      <c r="D69" s="4">
        <f>1846/(60*60*24)</f>
        <v>2.1365740740740741E-2</v>
      </c>
      <c r="E69" s="3">
        <f>6339/(60*60*24)</f>
        <v>7.3368055555555561E-2</v>
      </c>
      <c r="F69" s="5">
        <f>21388/(60*60*24)</f>
        <v>0.24754629629629629</v>
      </c>
      <c r="G69" s="7" t="s">
        <v>9</v>
      </c>
    </row>
    <row r="70" spans="1:7" x14ac:dyDescent="0.45">
      <c r="A70" t="s">
        <v>145</v>
      </c>
      <c r="B70" s="2" t="s">
        <v>146</v>
      </c>
      <c r="C70" s="3">
        <f>5588/(60*60*24)</f>
        <v>6.4675925925925928E-2</v>
      </c>
      <c r="D70" s="4">
        <f>1796/(60*60*24)</f>
        <v>2.0787037037037038E-2</v>
      </c>
      <c r="E70" s="5">
        <f>6332/(60*60*24)</f>
        <v>7.3287037037037039E-2</v>
      </c>
      <c r="F70" s="6">
        <f>21606/(60*60*24)</f>
        <v>0.25006944444444446</v>
      </c>
      <c r="G70" s="7" t="s">
        <v>9</v>
      </c>
    </row>
    <row r="71" spans="1:7" x14ac:dyDescent="0.45">
      <c r="A71" t="s">
        <v>147</v>
      </c>
      <c r="B71" s="2" t="s">
        <v>148</v>
      </c>
      <c r="C71" s="3">
        <f>5368/(60*60*24)</f>
        <v>6.2129629629629632E-2</v>
      </c>
      <c r="D71" s="4">
        <f>1828/(60*60*24)</f>
        <v>2.1157407407407406E-2</v>
      </c>
      <c r="E71" s="5">
        <f>6459/(60*60*24)</f>
        <v>7.4756944444444445E-2</v>
      </c>
      <c r="F71" s="6">
        <f>22196/(60*60*24)</f>
        <v>0.25689814814814815</v>
      </c>
      <c r="G71" s="7" t="s">
        <v>9</v>
      </c>
    </row>
    <row r="72" spans="1:7" x14ac:dyDescent="0.45">
      <c r="A72" t="s">
        <v>149</v>
      </c>
      <c r="B72" s="2" t="s">
        <v>150</v>
      </c>
      <c r="C72" s="3">
        <f>5458/(60*60*24)</f>
        <v>6.3171296296296295E-2</v>
      </c>
      <c r="D72" s="4">
        <f>1776/(60*60*24)</f>
        <v>2.0555555555555556E-2</v>
      </c>
      <c r="E72" s="5">
        <f>6667/(60*60*24)</f>
        <v>7.7164351851851845E-2</v>
      </c>
      <c r="F72" s="6">
        <f>23079/(60*60*24)</f>
        <v>0.26711805555555557</v>
      </c>
      <c r="G72" s="7" t="s">
        <v>9</v>
      </c>
    </row>
    <row r="73" spans="1:7" x14ac:dyDescent="0.45">
      <c r="A73" t="s">
        <v>151</v>
      </c>
      <c r="B73" s="2" t="s">
        <v>152</v>
      </c>
      <c r="C73" s="3">
        <f>5680/(60*60*24)</f>
        <v>6.5740740740740738E-2</v>
      </c>
      <c r="D73" s="4">
        <f>1806/(60*60*24)</f>
        <v>2.0902777777777777E-2</v>
      </c>
      <c r="E73" s="5">
        <f>6780/(60*60*24)</f>
        <v>7.8472222222222221E-2</v>
      </c>
      <c r="F73" s="6">
        <f>23452/(60*60*24)</f>
        <v>0.27143518518518517</v>
      </c>
      <c r="G73" s="7" t="s">
        <v>9</v>
      </c>
    </row>
    <row r="74" spans="1:7" x14ac:dyDescent="0.45">
      <c r="A74" t="s">
        <v>153</v>
      </c>
      <c r="B74" s="2" t="s">
        <v>154</v>
      </c>
      <c r="C74" s="8" t="s">
        <v>12</v>
      </c>
      <c r="D74" s="4">
        <f>1757/(60*60*24)</f>
        <v>2.0335648148148148E-2</v>
      </c>
      <c r="E74" s="3">
        <f>6981/(60*60*24)</f>
        <v>8.0798611111111113E-2</v>
      </c>
      <c r="F74" s="5">
        <f>24034/(60*60*24)</f>
        <v>0.27817129629629628</v>
      </c>
      <c r="G74" s="7" t="s">
        <v>9</v>
      </c>
    </row>
    <row r="75" spans="1:7" x14ac:dyDescent="0.45">
      <c r="A75" t="s">
        <v>155</v>
      </c>
      <c r="B75" s="2" t="s">
        <v>156</v>
      </c>
      <c r="C75" s="8" t="s">
        <v>12</v>
      </c>
      <c r="D75" s="4">
        <f>1892/(60*60*24)</f>
        <v>2.1898148148148149E-2</v>
      </c>
      <c r="E75" s="3">
        <f>7241/(60*60*24)</f>
        <v>8.3807870370370366E-2</v>
      </c>
      <c r="F75" s="5">
        <f>24722/(60*60*24)</f>
        <v>0.28613425925925928</v>
      </c>
      <c r="G75" s="7" t="s">
        <v>9</v>
      </c>
    </row>
    <row r="76" spans="1:7" x14ac:dyDescent="0.45">
      <c r="A76" t="s">
        <v>157</v>
      </c>
      <c r="B76" s="2" t="s">
        <v>158</v>
      </c>
      <c r="C76" s="3">
        <f>5937/(60*60*24)</f>
        <v>6.8715277777777778E-2</v>
      </c>
      <c r="D76" s="4">
        <f>2011/(60*60*24)</f>
        <v>2.3275462962962963E-2</v>
      </c>
      <c r="E76" s="5">
        <f>7922/(60*60*24)</f>
        <v>9.1689814814814821E-2</v>
      </c>
      <c r="F76" s="6">
        <f>26974/(60*60*24)</f>
        <v>0.3121990740740741</v>
      </c>
      <c r="G76" s="7" t="s">
        <v>9</v>
      </c>
    </row>
    <row r="77" spans="1:7" x14ac:dyDescent="0.45">
      <c r="A77" t="s">
        <v>159</v>
      </c>
      <c r="B77" s="2" t="s">
        <v>160</v>
      </c>
      <c r="C77" s="8" t="s">
        <v>12</v>
      </c>
      <c r="D77" s="4">
        <f>1864/(60*60*24)</f>
        <v>2.1574074074074075E-2</v>
      </c>
      <c r="E77" s="3">
        <f>7483/(60*60*24)</f>
        <v>8.6608796296296295E-2</v>
      </c>
      <c r="F77" s="5">
        <f>25646/(60*60*24)</f>
        <v>0.29682870370370368</v>
      </c>
      <c r="G77" s="7" t="s">
        <v>9</v>
      </c>
    </row>
    <row r="78" spans="1:7" x14ac:dyDescent="0.45">
      <c r="A78" t="s">
        <v>161</v>
      </c>
      <c r="B78" s="2" t="s">
        <v>162</v>
      </c>
      <c r="C78" s="3">
        <f>5762/(60*60*24)</f>
        <v>6.6689814814814813E-2</v>
      </c>
      <c r="D78" s="4">
        <f>1954/(60*60*24)</f>
        <v>2.2615740740740742E-2</v>
      </c>
      <c r="E78" s="5">
        <f>7774/(60*60*24)</f>
        <v>8.997685185185185E-2</v>
      </c>
      <c r="F78" s="6">
        <f>26809/(60*60*24)</f>
        <v>0.31028935185185186</v>
      </c>
      <c r="G78" s="7" t="s">
        <v>9</v>
      </c>
    </row>
    <row r="79" spans="1:7" x14ac:dyDescent="0.45">
      <c r="A79" t="s">
        <v>163</v>
      </c>
      <c r="B79" s="2" t="s">
        <v>164</v>
      </c>
      <c r="C79" s="3">
        <f>6265/(60*60*24)</f>
        <v>7.2511574074074076E-2</v>
      </c>
      <c r="D79" s="4">
        <f>2076/(60*60*24)</f>
        <v>2.4027777777777776E-2</v>
      </c>
      <c r="E79" s="5">
        <f>7932/(60*60*24)</f>
        <v>9.1805555555555557E-2</v>
      </c>
      <c r="F79" s="6">
        <f>28834/(60*60*24)</f>
        <v>0.33372685185185186</v>
      </c>
      <c r="G79" s="7" t="s">
        <v>9</v>
      </c>
    </row>
    <row r="80" spans="1:7" x14ac:dyDescent="0.45">
      <c r="A80" t="s">
        <v>165</v>
      </c>
      <c r="B80" s="2" t="s">
        <v>166</v>
      </c>
      <c r="C80" s="3">
        <f>3630/(60*60*24)</f>
        <v>4.2013888888888892E-2</v>
      </c>
      <c r="D80" s="4">
        <f>1986/(60*60*24)</f>
        <v>2.298611111111111E-2</v>
      </c>
      <c r="E80" s="5">
        <f>8236/(60*60*24)</f>
        <v>9.5324074074074075E-2</v>
      </c>
      <c r="F80" s="6">
        <f>29704/(60*60*24)</f>
        <v>0.34379629629629632</v>
      </c>
      <c r="G80" s="7" t="s">
        <v>9</v>
      </c>
    </row>
    <row r="81" spans="1:7" x14ac:dyDescent="0.45">
      <c r="A81" t="s">
        <v>167</v>
      </c>
      <c r="B81" s="2" t="s">
        <v>168</v>
      </c>
      <c r="C81" s="8" t="s">
        <v>12</v>
      </c>
      <c r="D81" s="4">
        <f>2056/(60*60*24)</f>
        <v>2.3796296296296298E-2</v>
      </c>
      <c r="E81" s="3">
        <f>8405/(60*60*24)</f>
        <v>9.7280092592592599E-2</v>
      </c>
      <c r="F81" s="5">
        <f>29702/(60*60*24)</f>
        <v>0.34377314814814813</v>
      </c>
      <c r="G81" s="7" t="s">
        <v>9</v>
      </c>
    </row>
    <row r="82" spans="1:7" x14ac:dyDescent="0.45">
      <c r="A82" t="s">
        <v>169</v>
      </c>
      <c r="B82" s="2" t="s">
        <v>170</v>
      </c>
      <c r="C82" s="3">
        <f>4076/(60*60*24)</f>
        <v>4.7175925925925927E-2</v>
      </c>
      <c r="D82" s="4">
        <f>1953/(60*60*24)</f>
        <v>2.2604166666666668E-2</v>
      </c>
      <c r="E82" s="5">
        <f>8365/(60*60*24)</f>
        <v>9.6817129629629628E-2</v>
      </c>
      <c r="F82" s="6">
        <f>30176/(60*60*24)</f>
        <v>0.34925925925925927</v>
      </c>
      <c r="G82" s="7" t="s">
        <v>9</v>
      </c>
    </row>
    <row r="83" spans="1:7" x14ac:dyDescent="0.45">
      <c r="A83" t="s">
        <v>171</v>
      </c>
      <c r="B83" s="2" t="s">
        <v>172</v>
      </c>
      <c r="C83" s="3">
        <f>6776/(60*60*24)</f>
        <v>7.8425925925925927E-2</v>
      </c>
      <c r="D83" s="4">
        <f>2054/(60*60*24)</f>
        <v>2.3773148148148147E-2</v>
      </c>
      <c r="E83" s="5">
        <f>8663/(60*60*24)</f>
        <v>0.1002662037037037</v>
      </c>
      <c r="F83" s="6">
        <f>31008/(60*60*24)</f>
        <v>0.35888888888888887</v>
      </c>
      <c r="G83" s="7" t="s">
        <v>9</v>
      </c>
    </row>
    <row r="84" spans="1:7" x14ac:dyDescent="0.45">
      <c r="A84" t="s">
        <v>173</v>
      </c>
      <c r="B84" s="2" t="s">
        <v>174</v>
      </c>
      <c r="C84" s="3">
        <f>7093/(60*60*24)</f>
        <v>8.2094907407407408E-2</v>
      </c>
      <c r="D84" s="4">
        <f>2224/(60*60*24)</f>
        <v>2.5740740740740741E-2</v>
      </c>
      <c r="E84" s="5">
        <f>9114/(60*60*24)</f>
        <v>0.10548611111111111</v>
      </c>
      <c r="F84" s="6">
        <f>32009/(60*60*24)</f>
        <v>0.37047453703703703</v>
      </c>
      <c r="G84" s="7" t="s">
        <v>9</v>
      </c>
    </row>
    <row r="85" spans="1:7" x14ac:dyDescent="0.45">
      <c r="A85" t="s">
        <v>175</v>
      </c>
      <c r="B85" s="2" t="s">
        <v>176</v>
      </c>
      <c r="C85" s="8" t="s">
        <v>12</v>
      </c>
      <c r="D85" s="4">
        <f>2037/(60*60*24)</f>
        <v>2.357638888888889E-2</v>
      </c>
      <c r="E85" s="3">
        <f>8761/(60*60*24)</f>
        <v>0.10140046296296296</v>
      </c>
      <c r="F85" s="5">
        <f>31373/(60*60*24)</f>
        <v>0.36311342592592594</v>
      </c>
      <c r="G85" s="7" t="s">
        <v>9</v>
      </c>
    </row>
    <row r="86" spans="1:7" x14ac:dyDescent="0.45">
      <c r="A86" t="s">
        <v>177</v>
      </c>
      <c r="B86" s="2" t="s">
        <v>178</v>
      </c>
      <c r="C86" s="3">
        <f>5798/(60*60*24)</f>
        <v>6.7106481481481475E-2</v>
      </c>
      <c r="D86" s="4">
        <f>2151/(60*60*24)</f>
        <v>2.4895833333333332E-2</v>
      </c>
      <c r="E86" s="5">
        <f>9549/(60*60*24)</f>
        <v>0.11052083333333333</v>
      </c>
      <c r="F86" s="6">
        <f>33735/(60*60*24)</f>
        <v>0.39045138888888886</v>
      </c>
      <c r="G86" s="7" t="s">
        <v>9</v>
      </c>
    </row>
    <row r="87" spans="1:7" x14ac:dyDescent="0.45">
      <c r="A87" t="s">
        <v>179</v>
      </c>
      <c r="B87" s="2" t="s">
        <v>180</v>
      </c>
      <c r="C87" s="8" t="s">
        <v>12</v>
      </c>
      <c r="D87" s="4">
        <f>2239/(60*60*24)</f>
        <v>2.5914351851851852E-2</v>
      </c>
      <c r="E87" s="3">
        <f>9328/(60*60*24)</f>
        <v>0.10796296296296297</v>
      </c>
      <c r="F87" s="5">
        <f>33099/(60*60*24)</f>
        <v>0.38309027777777777</v>
      </c>
      <c r="G87" s="7" t="s">
        <v>9</v>
      </c>
    </row>
    <row r="88" spans="1:7" x14ac:dyDescent="0.45">
      <c r="A88" t="s">
        <v>181</v>
      </c>
      <c r="B88" s="2" t="s">
        <v>182</v>
      </c>
      <c r="C88" s="8" t="s">
        <v>12</v>
      </c>
      <c r="D88" s="4">
        <f>2269/(60*60*24)</f>
        <v>2.6261574074074073E-2</v>
      </c>
      <c r="E88" s="3">
        <f>10132/(60*60*24)</f>
        <v>0.11726851851851852</v>
      </c>
      <c r="F88" s="5">
        <f>35242/(60*60*24)</f>
        <v>0.40789351851851852</v>
      </c>
      <c r="G88" s="7" t="s">
        <v>9</v>
      </c>
    </row>
    <row r="89" spans="1:7" x14ac:dyDescent="0.45">
      <c r="A89" t="s">
        <v>183</v>
      </c>
      <c r="B89" s="2" t="s">
        <v>184</v>
      </c>
      <c r="C89" s="8" t="s">
        <v>12</v>
      </c>
      <c r="D89" s="4">
        <f>2384/(60*60*24)</f>
        <v>2.7592592592592592E-2</v>
      </c>
      <c r="E89" s="3">
        <f>10031/(60*60*24)</f>
        <v>0.11609953703703704</v>
      </c>
      <c r="F89" s="5">
        <f>35469/(60*60*24)</f>
        <v>0.41052083333333333</v>
      </c>
      <c r="G89" s="7" t="s">
        <v>9</v>
      </c>
    </row>
    <row r="90" spans="1:7" x14ac:dyDescent="0.45">
      <c r="A90" t="s">
        <v>185</v>
      </c>
      <c r="B90" s="2" t="s">
        <v>8</v>
      </c>
      <c r="C90" s="3">
        <f>6396/(60*60*24)</f>
        <v>7.4027777777777776E-2</v>
      </c>
      <c r="D90" s="4">
        <f>1833/(60*60*24)</f>
        <v>2.1215277777777777E-2</v>
      </c>
      <c r="E90" s="5">
        <f>10125/(60*60*24)</f>
        <v>0.1171875</v>
      </c>
      <c r="F90" s="6">
        <f>35396/(60*60*24)</f>
        <v>0.40967592592592594</v>
      </c>
      <c r="G90" s="7" t="s">
        <v>9</v>
      </c>
    </row>
    <row r="91" spans="1:7" x14ac:dyDescent="0.45">
      <c r="A91" t="s">
        <v>186</v>
      </c>
      <c r="B91" s="2" t="s">
        <v>11</v>
      </c>
      <c r="C91" s="3">
        <f>6547/(60*60*24)</f>
        <v>7.5775462962962961E-2</v>
      </c>
      <c r="D91" s="4">
        <f>1824/(60*60*24)</f>
        <v>2.1111111111111112E-2</v>
      </c>
      <c r="E91" s="5">
        <f>10122/(60*60*24)</f>
        <v>0.11715277777777777</v>
      </c>
      <c r="F91" s="6">
        <f>35250/(60*60*24)</f>
        <v>0.4079861111111111</v>
      </c>
      <c r="G91" s="7" t="s">
        <v>9</v>
      </c>
    </row>
    <row r="92" spans="1:7" x14ac:dyDescent="0.45">
      <c r="A92" t="s">
        <v>187</v>
      </c>
      <c r="B92" s="2" t="s">
        <v>14</v>
      </c>
      <c r="C92" s="3">
        <f>8078/(60*60*24)</f>
        <v>9.3495370370370368E-2</v>
      </c>
      <c r="D92" s="4">
        <f>1678/(60*60*24)</f>
        <v>1.9421296296296298E-2</v>
      </c>
      <c r="E92" s="5">
        <f>9962/(60*60*24)</f>
        <v>0.11530092592592593</v>
      </c>
      <c r="F92" s="6">
        <f>34447/(60*60*24)</f>
        <v>0.39869212962962963</v>
      </c>
      <c r="G92" s="7" t="s">
        <v>9</v>
      </c>
    </row>
    <row r="93" spans="1:7" x14ac:dyDescent="0.45">
      <c r="A93" t="s">
        <v>188</v>
      </c>
      <c r="B93" s="2" t="s">
        <v>16</v>
      </c>
      <c r="C93" s="3">
        <f>6654/(60*60*24)</f>
        <v>7.7013888888888896E-2</v>
      </c>
      <c r="D93" s="4">
        <f>1580/(60*60*24)</f>
        <v>1.8287037037037036E-2</v>
      </c>
      <c r="E93" s="5">
        <f>9720/(60*60*24)</f>
        <v>0.1125</v>
      </c>
      <c r="F93" s="6">
        <f>33876/(60*60*24)</f>
        <v>0.39208333333333334</v>
      </c>
      <c r="G93" s="7" t="s">
        <v>9</v>
      </c>
    </row>
    <row r="94" spans="1:7" x14ac:dyDescent="0.45">
      <c r="A94" t="s">
        <v>189</v>
      </c>
      <c r="B94" s="2" t="s">
        <v>18</v>
      </c>
      <c r="C94" s="8" t="s">
        <v>12</v>
      </c>
      <c r="D94" s="4">
        <f>1436/(60*60*24)</f>
        <v>1.6620370370370369E-2</v>
      </c>
      <c r="E94" s="3">
        <f>9527/(60*60*24)</f>
        <v>0.1102662037037037</v>
      </c>
      <c r="F94" s="5">
        <f>33021/(60*60*24)</f>
        <v>0.38218750000000001</v>
      </c>
      <c r="G94" s="7" t="s">
        <v>9</v>
      </c>
    </row>
    <row r="95" spans="1:7" x14ac:dyDescent="0.45">
      <c r="A95" t="s">
        <v>190</v>
      </c>
      <c r="B95" s="2" t="s">
        <v>20</v>
      </c>
      <c r="C95" s="8" t="s">
        <v>12</v>
      </c>
      <c r="D95" s="4">
        <f>2193/(60*60*24)</f>
        <v>2.5381944444444443E-2</v>
      </c>
      <c r="E95" s="3">
        <f>9496/(60*60*24)</f>
        <v>0.10990740740740741</v>
      </c>
      <c r="F95" s="5">
        <f>32003/(60*60*24)</f>
        <v>0.37040509259259258</v>
      </c>
      <c r="G95" s="7" t="s">
        <v>9</v>
      </c>
    </row>
    <row r="96" spans="1:7" x14ac:dyDescent="0.45">
      <c r="A96" t="s">
        <v>191</v>
      </c>
      <c r="B96" s="2" t="s">
        <v>22</v>
      </c>
      <c r="C96" s="8" t="s">
        <v>12</v>
      </c>
      <c r="D96" s="4">
        <f>1968/(60*60*24)</f>
        <v>2.2777777777777779E-2</v>
      </c>
      <c r="E96" s="3">
        <f>9291/(60*60*24)</f>
        <v>0.10753472222222223</v>
      </c>
      <c r="F96" s="5">
        <f>31312/(60*60*24)</f>
        <v>0.3624074074074074</v>
      </c>
      <c r="G96" s="7" t="s">
        <v>9</v>
      </c>
    </row>
    <row r="97" spans="1:7" x14ac:dyDescent="0.45">
      <c r="A97" t="s">
        <v>192</v>
      </c>
      <c r="B97" s="2" t="s">
        <v>24</v>
      </c>
      <c r="C97" s="8" t="s">
        <v>12</v>
      </c>
      <c r="D97" s="4">
        <f>1910/(60*60*24)</f>
        <v>2.210648148148148E-2</v>
      </c>
      <c r="E97" s="3">
        <f>9024/(60*60*24)</f>
        <v>0.10444444444444445</v>
      </c>
      <c r="F97" s="5">
        <f>30725/(60*60*24)</f>
        <v>0.35561342592592593</v>
      </c>
      <c r="G97" s="7" t="s">
        <v>9</v>
      </c>
    </row>
    <row r="98" spans="1:7" x14ac:dyDescent="0.45">
      <c r="A98" t="s">
        <v>193</v>
      </c>
      <c r="B98" s="2" t="s">
        <v>26</v>
      </c>
      <c r="C98" s="8" t="s">
        <v>12</v>
      </c>
      <c r="D98" s="4">
        <f>1831/(60*60*24)</f>
        <v>2.119212962962963E-2</v>
      </c>
      <c r="E98" s="3">
        <f>8805/(60*60*24)</f>
        <v>0.10190972222222222</v>
      </c>
      <c r="F98" s="5">
        <f>29890/(60*60*24)</f>
        <v>0.34594907407407405</v>
      </c>
      <c r="G98" s="7" t="s">
        <v>9</v>
      </c>
    </row>
    <row r="99" spans="1:7" x14ac:dyDescent="0.45">
      <c r="A99" t="s">
        <v>194</v>
      </c>
      <c r="B99" s="2" t="s">
        <v>28</v>
      </c>
      <c r="C99" s="8" t="s">
        <v>12</v>
      </c>
      <c r="D99" s="4">
        <f>1822/(60*60*24)</f>
        <v>2.1087962962962965E-2</v>
      </c>
      <c r="E99" s="3">
        <f>8605/(60*60*24)</f>
        <v>9.959490740740741E-2</v>
      </c>
      <c r="F99" s="5">
        <f>29165/(60*60*24)</f>
        <v>0.33755787037037038</v>
      </c>
      <c r="G99" s="7" t="s">
        <v>9</v>
      </c>
    </row>
    <row r="100" spans="1:7" x14ac:dyDescent="0.45">
      <c r="A100" t="s">
        <v>195</v>
      </c>
      <c r="B100" s="2" t="s">
        <v>30</v>
      </c>
      <c r="C100" s="8" t="s">
        <v>12</v>
      </c>
      <c r="D100" s="4">
        <f>1822/(60*60*24)</f>
        <v>2.1087962962962965E-2</v>
      </c>
      <c r="E100" s="3">
        <f>8492/(60*60*24)</f>
        <v>9.8287037037037034E-2</v>
      </c>
      <c r="F100" s="5">
        <f>28538/(60*60*24)</f>
        <v>0.33030092592592591</v>
      </c>
      <c r="G100" s="7" t="s">
        <v>9</v>
      </c>
    </row>
    <row r="101" spans="1:7" x14ac:dyDescent="0.45">
      <c r="A101" t="s">
        <v>196</v>
      </c>
      <c r="B101" s="2" t="s">
        <v>32</v>
      </c>
      <c r="C101" s="8" t="s">
        <v>12</v>
      </c>
      <c r="D101" s="4">
        <f>2091/(60*60*24)</f>
        <v>2.420138888888889E-2</v>
      </c>
      <c r="E101" s="3">
        <f>8178/(60*60*24)</f>
        <v>9.465277777777778E-2</v>
      </c>
      <c r="F101" s="5">
        <f>27623/(60*60*24)</f>
        <v>0.31971064814814815</v>
      </c>
      <c r="G101" s="7" t="s">
        <v>9</v>
      </c>
    </row>
    <row r="102" spans="1:7" x14ac:dyDescent="0.45">
      <c r="A102" t="s">
        <v>197</v>
      </c>
      <c r="B102" s="2" t="s">
        <v>36</v>
      </c>
      <c r="C102" s="3">
        <f>6410/(60*60*24)</f>
        <v>7.418981481481482E-2</v>
      </c>
      <c r="D102" s="4">
        <f>1691/(60*60*24)</f>
        <v>1.9571759259259261E-2</v>
      </c>
      <c r="E102" s="5">
        <f>7946/(60*60*24)</f>
        <v>9.1967592592592587E-2</v>
      </c>
      <c r="F102" s="6">
        <f>27240/(60*60*24)</f>
        <v>0.31527777777777777</v>
      </c>
      <c r="G102" s="7" t="s">
        <v>9</v>
      </c>
    </row>
    <row r="103" spans="1:7" x14ac:dyDescent="0.45">
      <c r="A103" t="s">
        <v>198</v>
      </c>
      <c r="B103" s="2" t="s">
        <v>34</v>
      </c>
      <c r="C103" s="3">
        <f>6139/(60*60*24)</f>
        <v>7.1053240740740736E-2</v>
      </c>
      <c r="D103" s="4">
        <f>1797/(60*60*24)</f>
        <v>2.0798611111111111E-2</v>
      </c>
      <c r="E103" s="5">
        <f>7727/(60*60*24)</f>
        <v>8.9432870370370371E-2</v>
      </c>
      <c r="F103" s="6">
        <f>26313/(60*60*24)</f>
        <v>0.30454861111111109</v>
      </c>
      <c r="G103" s="7" t="s">
        <v>9</v>
      </c>
    </row>
    <row r="104" spans="1:7" x14ac:dyDescent="0.45">
      <c r="A104" t="s">
        <v>199</v>
      </c>
      <c r="B104" s="2" t="s">
        <v>40</v>
      </c>
      <c r="C104" s="3">
        <f>5119/(60*60*24)</f>
        <v>5.9247685185185188E-2</v>
      </c>
      <c r="D104" s="4">
        <f>1857/(60*60*24)</f>
        <v>2.1493055555555557E-2</v>
      </c>
      <c r="E104" s="5">
        <f>7281/(60*60*24)</f>
        <v>8.4270833333333336E-2</v>
      </c>
      <c r="F104" s="6">
        <f>24780/(60*60*24)</f>
        <v>0.28680555555555554</v>
      </c>
      <c r="G104" s="7" t="s">
        <v>9</v>
      </c>
    </row>
    <row r="105" spans="1:7" x14ac:dyDescent="0.45">
      <c r="A105" t="s">
        <v>200</v>
      </c>
      <c r="B105" s="2" t="s">
        <v>38</v>
      </c>
      <c r="C105" s="8" t="s">
        <v>12</v>
      </c>
      <c r="D105" s="4">
        <f>1851/(60*60*24)</f>
        <v>2.1423611111111112E-2</v>
      </c>
      <c r="E105" s="3">
        <f>7717/(60*60*24)</f>
        <v>8.9317129629629635E-2</v>
      </c>
      <c r="F105" s="5">
        <f>25674/(60*60*24)</f>
        <v>0.29715277777777777</v>
      </c>
      <c r="G105" s="7" t="s">
        <v>9</v>
      </c>
    </row>
    <row r="106" spans="1:7" x14ac:dyDescent="0.45">
      <c r="A106" t="s">
        <v>201</v>
      </c>
      <c r="B106" s="2" t="s">
        <v>42</v>
      </c>
      <c r="C106" s="3">
        <f>6760/(60*60*24)</f>
        <v>7.8240740740740736E-2</v>
      </c>
      <c r="D106" s="4">
        <f>1942/(60*60*24)</f>
        <v>2.2476851851851852E-2</v>
      </c>
      <c r="E106" s="5">
        <f>7158/(60*60*24)</f>
        <v>8.2847222222222225E-2</v>
      </c>
      <c r="F106" s="6">
        <f>23651/(60*60*24)</f>
        <v>0.2737384259259259</v>
      </c>
      <c r="G106" s="7" t="s">
        <v>9</v>
      </c>
    </row>
    <row r="107" spans="1:7" x14ac:dyDescent="0.45">
      <c r="A107" t="s">
        <v>202</v>
      </c>
      <c r="B107" s="2" t="s">
        <v>44</v>
      </c>
      <c r="C107" s="8" t="s">
        <v>12</v>
      </c>
      <c r="D107" s="4">
        <f>1898/(60*60*24)</f>
        <v>2.1967592592592594E-2</v>
      </c>
      <c r="E107" s="3">
        <f>7299/(60*60*24)</f>
        <v>8.4479166666666661E-2</v>
      </c>
      <c r="F107" s="5">
        <f>24792/(60*60*24)</f>
        <v>0.28694444444444445</v>
      </c>
      <c r="G107" s="7" t="s">
        <v>9</v>
      </c>
    </row>
    <row r="108" spans="1:7" x14ac:dyDescent="0.45">
      <c r="A108" t="s">
        <v>203</v>
      </c>
      <c r="B108" s="2" t="s">
        <v>46</v>
      </c>
      <c r="C108" s="3">
        <f>6523/(60*60*24)</f>
        <v>7.5497685185185182E-2</v>
      </c>
      <c r="D108" s="4">
        <f>1876/(60*60*24)</f>
        <v>2.1712962962962962E-2</v>
      </c>
      <c r="E108" s="5">
        <f>7121/(60*60*24)</f>
        <v>8.2418981481481482E-2</v>
      </c>
      <c r="F108" s="6">
        <f>23643/(60*60*24)</f>
        <v>0.27364583333333331</v>
      </c>
      <c r="G108" s="7" t="s">
        <v>9</v>
      </c>
    </row>
    <row r="109" spans="1:7" x14ac:dyDescent="0.45">
      <c r="A109" t="s">
        <v>204</v>
      </c>
      <c r="B109" s="2" t="s">
        <v>48</v>
      </c>
      <c r="C109" s="8" t="s">
        <v>12</v>
      </c>
      <c r="D109" s="4">
        <f>1791/(60*60*24)</f>
        <v>2.0729166666666667E-2</v>
      </c>
      <c r="E109" s="3">
        <f>7103/(60*60*24)</f>
        <v>8.2210648148148144E-2</v>
      </c>
      <c r="F109" s="5">
        <f>23373/(60*60*24)</f>
        <v>0.27052083333333332</v>
      </c>
      <c r="G109" s="7" t="s">
        <v>9</v>
      </c>
    </row>
    <row r="110" spans="1:7" x14ac:dyDescent="0.45">
      <c r="A110" t="s">
        <v>205</v>
      </c>
      <c r="B110" s="2" t="s">
        <v>50</v>
      </c>
      <c r="C110" s="3">
        <f>5921/(60*60*24)</f>
        <v>6.8530092592592587E-2</v>
      </c>
      <c r="D110" s="4">
        <f>1577/(60*60*24)</f>
        <v>1.8252314814814815E-2</v>
      </c>
      <c r="E110" s="5">
        <f>6732/(60*60*24)</f>
        <v>7.7916666666666662E-2</v>
      </c>
      <c r="F110" s="6">
        <f>22262/(60*60*24)</f>
        <v>0.25766203703703705</v>
      </c>
      <c r="G110" s="7" t="s">
        <v>9</v>
      </c>
    </row>
    <row r="111" spans="1:7" x14ac:dyDescent="0.45">
      <c r="A111" t="s">
        <v>206</v>
      </c>
      <c r="B111" s="2" t="s">
        <v>52</v>
      </c>
      <c r="C111" s="3">
        <f>5925/(60*60*24)</f>
        <v>6.8576388888888895E-2</v>
      </c>
      <c r="D111" s="4">
        <f>1612/(60*60*24)</f>
        <v>1.8657407407407407E-2</v>
      </c>
      <c r="E111" s="5">
        <f>6835/(60*60*24)</f>
        <v>7.9108796296296302E-2</v>
      </c>
      <c r="F111" s="6">
        <f>22287/(60*60*24)</f>
        <v>0.25795138888888891</v>
      </c>
      <c r="G111" s="7" t="s">
        <v>9</v>
      </c>
    </row>
    <row r="112" spans="1:7" x14ac:dyDescent="0.45">
      <c r="A112" t="s">
        <v>207</v>
      </c>
      <c r="B112" s="2" t="s">
        <v>54</v>
      </c>
      <c r="C112" s="8" t="s">
        <v>12</v>
      </c>
      <c r="D112" s="4">
        <f>1966/(60*60*24)</f>
        <v>2.2754629629629628E-2</v>
      </c>
      <c r="E112" s="3">
        <f>7176/(60*60*24)</f>
        <v>8.3055555555555549E-2</v>
      </c>
      <c r="F112" s="5">
        <f>22715/(60*60*24)</f>
        <v>0.26290509259259259</v>
      </c>
      <c r="G112" s="7" t="s">
        <v>9</v>
      </c>
    </row>
    <row r="113" spans="1:7" x14ac:dyDescent="0.45">
      <c r="A113" t="s">
        <v>208</v>
      </c>
      <c r="B113" s="2" t="s">
        <v>56</v>
      </c>
      <c r="C113" s="8" t="s">
        <v>12</v>
      </c>
      <c r="D113" s="4">
        <f>1953/(60*60*24)</f>
        <v>2.2604166666666668E-2</v>
      </c>
      <c r="E113" s="3">
        <f>6488/(60*60*24)</f>
        <v>7.5092592592592586E-2</v>
      </c>
      <c r="F113" s="5">
        <f>20935/(60*60*24)</f>
        <v>0.24230324074074075</v>
      </c>
      <c r="G113" s="7" t="s">
        <v>9</v>
      </c>
    </row>
    <row r="114" spans="1:7" x14ac:dyDescent="0.45">
      <c r="A114" t="s">
        <v>209</v>
      </c>
      <c r="B114" s="2" t="s">
        <v>60</v>
      </c>
      <c r="C114" s="5">
        <f>6432/(60*60*24)</f>
        <v>7.4444444444444438E-2</v>
      </c>
      <c r="D114" s="4">
        <f>1899/(60*60*24)</f>
        <v>2.1979166666666668E-2</v>
      </c>
      <c r="E114" s="3">
        <f>5832/(60*60*24)</f>
        <v>6.7500000000000004E-2</v>
      </c>
      <c r="F114" s="6">
        <f>19832/(60*60*24)</f>
        <v>0.22953703703703704</v>
      </c>
      <c r="G114" s="7" t="s">
        <v>9</v>
      </c>
    </row>
    <row r="115" spans="1:7" x14ac:dyDescent="0.45">
      <c r="A115" t="s">
        <v>210</v>
      </c>
      <c r="B115" s="2" t="s">
        <v>58</v>
      </c>
      <c r="C115" s="8" t="s">
        <v>12</v>
      </c>
      <c r="D115" s="4">
        <f>1898/(60*60*24)</f>
        <v>2.1967592592592594E-2</v>
      </c>
      <c r="E115" s="3">
        <f>6234/(60*60*24)</f>
        <v>7.2152777777777774E-2</v>
      </c>
      <c r="F115" s="5">
        <f>20427/(60*60*24)</f>
        <v>0.2364236111111111</v>
      </c>
      <c r="G115" s="7" t="s">
        <v>9</v>
      </c>
    </row>
    <row r="116" spans="1:7" x14ac:dyDescent="0.45">
      <c r="A116" t="s">
        <v>211</v>
      </c>
      <c r="B116" s="2" t="s">
        <v>62</v>
      </c>
      <c r="C116" s="8" t="s">
        <v>12</v>
      </c>
      <c r="D116" s="4">
        <f>1730/(60*60*24)</f>
        <v>2.0023148148148148E-2</v>
      </c>
      <c r="E116" s="3">
        <f>5691/(60*60*24)</f>
        <v>6.5868055555555555E-2</v>
      </c>
      <c r="F116" s="5">
        <f>19212/(60*60*24)</f>
        <v>0.22236111111111112</v>
      </c>
      <c r="G116" s="7" t="s">
        <v>9</v>
      </c>
    </row>
    <row r="117" spans="1:7" x14ac:dyDescent="0.45">
      <c r="A117" t="s">
        <v>212</v>
      </c>
      <c r="B117" s="2" t="s">
        <v>64</v>
      </c>
      <c r="C117" s="8" t="s">
        <v>12</v>
      </c>
      <c r="D117" s="4">
        <f>1242/(60*60*24)</f>
        <v>1.4375000000000001E-2</v>
      </c>
      <c r="E117" s="3">
        <f>5586/(60*60*24)</f>
        <v>6.4652777777777781E-2</v>
      </c>
      <c r="F117" s="5">
        <f>18907/(60*60*24)</f>
        <v>0.21883101851851852</v>
      </c>
      <c r="G117" s="7" t="s">
        <v>9</v>
      </c>
    </row>
    <row r="118" spans="1:7" x14ac:dyDescent="0.45">
      <c r="A118" t="s">
        <v>213</v>
      </c>
      <c r="B118" s="2" t="s">
        <v>66</v>
      </c>
      <c r="C118" s="3">
        <f>4634/(60*60*24)</f>
        <v>5.3634259259259257E-2</v>
      </c>
      <c r="D118" s="4">
        <f>1564/(60*60*24)</f>
        <v>1.8101851851851852E-2</v>
      </c>
      <c r="E118" s="5">
        <f>5028/(60*60*24)</f>
        <v>5.8194444444444444E-2</v>
      </c>
      <c r="F118" s="6">
        <f>17305/(60*60*24)</f>
        <v>0.20028935185185184</v>
      </c>
      <c r="G118" s="7" t="s">
        <v>9</v>
      </c>
    </row>
    <row r="119" spans="1:7" x14ac:dyDescent="0.45">
      <c r="A119" t="s">
        <v>214</v>
      </c>
      <c r="B119" s="2" t="s">
        <v>68</v>
      </c>
      <c r="C119" s="3">
        <f>4333/(60*60*24)</f>
        <v>5.0150462962962966E-2</v>
      </c>
      <c r="D119" s="4">
        <f>1518/(60*60*24)</f>
        <v>1.7569444444444443E-2</v>
      </c>
      <c r="E119" s="5">
        <f>4917/(60*60*24)</f>
        <v>5.6909722222222223E-2</v>
      </c>
      <c r="F119" s="6">
        <f>16905/(60*60*24)</f>
        <v>0.19565972222222222</v>
      </c>
      <c r="G119" s="7" t="s">
        <v>9</v>
      </c>
    </row>
    <row r="120" spans="1:7" x14ac:dyDescent="0.45">
      <c r="A120" t="s">
        <v>215</v>
      </c>
      <c r="B120" s="2" t="s">
        <v>70</v>
      </c>
      <c r="C120" s="3">
        <f>4327/(60*60*24)</f>
        <v>5.0081018518518518E-2</v>
      </c>
      <c r="D120" s="4">
        <f>1323/(60*60*24)</f>
        <v>1.53125E-2</v>
      </c>
      <c r="E120" s="5">
        <f>4669/(60*60*24)</f>
        <v>5.4039351851851852E-2</v>
      </c>
      <c r="F120" s="6">
        <f>16191/(60*60*24)</f>
        <v>0.18739583333333334</v>
      </c>
      <c r="G120" s="7" t="s">
        <v>9</v>
      </c>
    </row>
    <row r="121" spans="1:7" x14ac:dyDescent="0.45">
      <c r="A121" t="s">
        <v>216</v>
      </c>
      <c r="B121" s="2" t="s">
        <v>72</v>
      </c>
      <c r="C121" s="5">
        <f>4660/(60*60*24)</f>
        <v>5.3935185185185183E-2</v>
      </c>
      <c r="D121" s="4">
        <f>1226/(60*60*24)</f>
        <v>1.4189814814814815E-2</v>
      </c>
      <c r="E121" s="3">
        <f>4525/(60*60*24)</f>
        <v>5.2372685185185182E-2</v>
      </c>
      <c r="F121" s="6">
        <f>15654/(60*60*24)</f>
        <v>0.18118055555555557</v>
      </c>
      <c r="G121" s="7" t="s">
        <v>9</v>
      </c>
    </row>
    <row r="122" spans="1:7" x14ac:dyDescent="0.45">
      <c r="A122" t="s">
        <v>217</v>
      </c>
      <c r="B122" s="2" t="s">
        <v>74</v>
      </c>
      <c r="C122" s="8" t="s">
        <v>12</v>
      </c>
      <c r="D122" s="4">
        <f>1135/(60*60*24)</f>
        <v>1.3136574074074075E-2</v>
      </c>
      <c r="E122" s="3">
        <f>4583/(60*60*24)</f>
        <v>5.3043981481481484E-2</v>
      </c>
      <c r="F122" s="5">
        <f>15384/(60*60*24)</f>
        <v>0.17805555555555555</v>
      </c>
      <c r="G122" s="7" t="s">
        <v>9</v>
      </c>
    </row>
    <row r="123" spans="1:7" x14ac:dyDescent="0.45">
      <c r="A123" t="s">
        <v>218</v>
      </c>
      <c r="B123" s="2" t="s">
        <v>76</v>
      </c>
      <c r="C123" s="8" t="s">
        <v>12</v>
      </c>
      <c r="D123" s="4">
        <f>1280/(60*60*24)</f>
        <v>1.4814814814814815E-2</v>
      </c>
      <c r="E123" s="3">
        <f>4537/(60*60*24)</f>
        <v>5.2511574074074072E-2</v>
      </c>
      <c r="F123" s="5">
        <f>14558/(60*60*24)</f>
        <v>0.16849537037037038</v>
      </c>
      <c r="G123" s="7" t="s">
        <v>9</v>
      </c>
    </row>
    <row r="124" spans="1:7" x14ac:dyDescent="0.45">
      <c r="A124" t="s">
        <v>219</v>
      </c>
      <c r="B124" s="2" t="s">
        <v>78</v>
      </c>
      <c r="C124" s="8" t="s">
        <v>12</v>
      </c>
      <c r="D124" s="4">
        <f>1016/(60*60*24)</f>
        <v>1.1759259259259259E-2</v>
      </c>
      <c r="E124" s="3">
        <f>4127/(60*60*24)</f>
        <v>4.7766203703703707E-2</v>
      </c>
      <c r="F124" s="5">
        <f>14070/(60*60*24)</f>
        <v>0.16284722222222223</v>
      </c>
      <c r="G124" s="7" t="s">
        <v>9</v>
      </c>
    </row>
    <row r="125" spans="1:7" x14ac:dyDescent="0.45">
      <c r="A125" t="s">
        <v>220</v>
      </c>
      <c r="B125" s="2" t="s">
        <v>80</v>
      </c>
      <c r="C125" s="8" t="s">
        <v>12</v>
      </c>
      <c r="D125" s="4">
        <f>1010/(60*60*24)</f>
        <v>1.1689814814814814E-2</v>
      </c>
      <c r="E125" s="3">
        <f>3958/(60*60*24)</f>
        <v>4.5810185185185183E-2</v>
      </c>
      <c r="F125" s="5">
        <f>13817/(60*60*24)</f>
        <v>0.15991898148148148</v>
      </c>
      <c r="G125" s="7" t="s">
        <v>9</v>
      </c>
    </row>
    <row r="126" spans="1:7" x14ac:dyDescent="0.45">
      <c r="A126" t="s">
        <v>221</v>
      </c>
      <c r="B126" s="2" t="s">
        <v>84</v>
      </c>
      <c r="C126" s="8" t="s">
        <v>12</v>
      </c>
      <c r="D126" s="4">
        <f>1282/(60*60*24)</f>
        <v>1.4837962962962963E-2</v>
      </c>
      <c r="E126" s="3">
        <f>3996/(60*60*24)</f>
        <v>4.6249999999999999E-2</v>
      </c>
      <c r="F126" s="5">
        <f>13562/(60*60*24)</f>
        <v>0.1569675925925926</v>
      </c>
      <c r="G126" s="7" t="s">
        <v>9</v>
      </c>
    </row>
    <row r="127" spans="1:7" x14ac:dyDescent="0.45">
      <c r="A127" t="s">
        <v>222</v>
      </c>
      <c r="B127" s="2" t="s">
        <v>82</v>
      </c>
      <c r="C127" s="8" t="s">
        <v>12</v>
      </c>
      <c r="D127" s="4">
        <f>1325/(60*60*24)</f>
        <v>1.5335648148148149E-2</v>
      </c>
      <c r="E127" s="3">
        <f>3827/(60*60*24)</f>
        <v>4.4293981481481483E-2</v>
      </c>
      <c r="F127" s="5">
        <f>13451/(60*60*24)</f>
        <v>0.15568287037037037</v>
      </c>
      <c r="G127" s="7" t="s">
        <v>9</v>
      </c>
    </row>
    <row r="128" spans="1:7" x14ac:dyDescent="0.45">
      <c r="A128" t="s">
        <v>223</v>
      </c>
      <c r="B128" s="2" t="s">
        <v>88</v>
      </c>
      <c r="C128" s="5">
        <f>4798/(60*60*24)</f>
        <v>5.5532407407407405E-2</v>
      </c>
      <c r="D128" s="4">
        <f>1001/(60*60*24)</f>
        <v>1.1585648148148149E-2</v>
      </c>
      <c r="E128" s="3">
        <f>4208/(60*60*24)</f>
        <v>4.87037037037037E-2</v>
      </c>
      <c r="F128" s="6">
        <f>13323/(60*60*24)</f>
        <v>0.1542013888888889</v>
      </c>
      <c r="G128" s="7" t="s">
        <v>9</v>
      </c>
    </row>
    <row r="129" spans="1:7" x14ac:dyDescent="0.45">
      <c r="A129" t="s">
        <v>224</v>
      </c>
      <c r="B129" s="2" t="s">
        <v>86</v>
      </c>
      <c r="C129" s="8" t="s">
        <v>12</v>
      </c>
      <c r="D129" s="4">
        <f>1348/(60*60*24)</f>
        <v>1.5601851851851851E-2</v>
      </c>
      <c r="E129" s="3">
        <f>4024/(60*60*24)</f>
        <v>4.6574074074074073E-2</v>
      </c>
      <c r="F129" s="5">
        <f>13080/(60*60*24)</f>
        <v>0.15138888888888888</v>
      </c>
      <c r="G129" s="7" t="s">
        <v>9</v>
      </c>
    </row>
    <row r="130" spans="1:7" x14ac:dyDescent="0.45">
      <c r="A130" t="s">
        <v>225</v>
      </c>
      <c r="B130" s="2" t="s">
        <v>90</v>
      </c>
      <c r="C130" s="8" t="s">
        <v>12</v>
      </c>
      <c r="D130" s="4">
        <f>1954/(60*60*24)</f>
        <v>2.2615740740740742E-2</v>
      </c>
      <c r="E130" s="3">
        <f>4019/(60*60*24)</f>
        <v>4.6516203703703705E-2</v>
      </c>
      <c r="F130" s="5">
        <f>12525/(60*60*24)</f>
        <v>0.14496527777777779</v>
      </c>
      <c r="G130" s="7" t="s">
        <v>9</v>
      </c>
    </row>
    <row r="131" spans="1:7" x14ac:dyDescent="0.45">
      <c r="A131" t="s">
        <v>226</v>
      </c>
      <c r="B131" s="2" t="s">
        <v>92</v>
      </c>
      <c r="C131" s="8" t="s">
        <v>12</v>
      </c>
      <c r="D131" s="4">
        <f>1415/(60*60*24)</f>
        <v>1.6377314814814813E-2</v>
      </c>
      <c r="E131" s="3">
        <f>3629/(60*60*24)</f>
        <v>4.2002314814814812E-2</v>
      </c>
      <c r="F131" s="5">
        <f>13075/(60*60*24)</f>
        <v>0.15133101851851852</v>
      </c>
      <c r="G131" s="7" t="s">
        <v>9</v>
      </c>
    </row>
    <row r="132" spans="1:7" x14ac:dyDescent="0.45">
      <c r="A132" t="s">
        <v>227</v>
      </c>
      <c r="B132" s="2" t="s">
        <v>94</v>
      </c>
      <c r="C132" s="8" t="s">
        <v>12</v>
      </c>
      <c r="D132" s="4">
        <f>1510/(60*60*24)</f>
        <v>1.7476851851851851E-2</v>
      </c>
      <c r="E132" s="3">
        <f>3954/(60*60*24)</f>
        <v>4.5763888888888889E-2</v>
      </c>
      <c r="F132" s="5">
        <f>13194/(60*60*24)</f>
        <v>0.15270833333333333</v>
      </c>
      <c r="G132" s="7" t="s">
        <v>9</v>
      </c>
    </row>
    <row r="133" spans="1:7" x14ac:dyDescent="0.45">
      <c r="A133" t="s">
        <v>228</v>
      </c>
      <c r="B133" s="2" t="s">
        <v>96</v>
      </c>
      <c r="C133" s="8" t="s">
        <v>12</v>
      </c>
      <c r="D133" s="4">
        <f>1439/(60*60*24)</f>
        <v>1.6655092592592593E-2</v>
      </c>
      <c r="E133" s="3">
        <f>3796/(60*60*24)</f>
        <v>4.3935185185185188E-2</v>
      </c>
      <c r="F133" s="5">
        <f>11866/(60*60*24)</f>
        <v>0.13733796296296297</v>
      </c>
      <c r="G133" s="7" t="s">
        <v>9</v>
      </c>
    </row>
    <row r="134" spans="1:7" x14ac:dyDescent="0.45">
      <c r="A134" t="s">
        <v>229</v>
      </c>
      <c r="B134" s="2" t="s">
        <v>98</v>
      </c>
      <c r="C134" s="5">
        <f>5043/(60*60*24)</f>
        <v>5.8368055555555555E-2</v>
      </c>
      <c r="D134" s="4">
        <f>1421/(60*60*24)</f>
        <v>1.6446759259259258E-2</v>
      </c>
      <c r="E134" s="3">
        <f>3529/(60*60*24)</f>
        <v>4.0844907407407406E-2</v>
      </c>
      <c r="F134" s="6">
        <f>11230/(60*60*24)</f>
        <v>0.12997685185185184</v>
      </c>
      <c r="G134" s="7" t="s">
        <v>9</v>
      </c>
    </row>
    <row r="135" spans="1:7" x14ac:dyDescent="0.45">
      <c r="A135" t="s">
        <v>230</v>
      </c>
      <c r="B135" s="2" t="s">
        <v>100</v>
      </c>
      <c r="C135" s="5">
        <f>5100/(60*60*24)</f>
        <v>5.9027777777777776E-2</v>
      </c>
      <c r="D135" s="4">
        <f>1382/(60*60*24)</f>
        <v>1.5995370370370372E-2</v>
      </c>
      <c r="E135" s="3">
        <f>3493/(60*60*24)</f>
        <v>4.0428240740740744E-2</v>
      </c>
      <c r="F135" s="6">
        <f>11140/(60*60*24)</f>
        <v>0.12893518518518518</v>
      </c>
      <c r="G135" s="7" t="s">
        <v>9</v>
      </c>
    </row>
    <row r="136" spans="1:7" x14ac:dyDescent="0.45">
      <c r="A136" t="s">
        <v>231</v>
      </c>
      <c r="B136" s="2" t="s">
        <v>104</v>
      </c>
      <c r="C136" s="5">
        <f>4666/(60*60*24)</f>
        <v>5.4004629629629632E-2</v>
      </c>
      <c r="D136" s="4">
        <f>1444/(60*60*24)</f>
        <v>1.6712962962962964E-2</v>
      </c>
      <c r="E136" s="3">
        <f>3462/(60*60*24)</f>
        <v>4.0069444444444442E-2</v>
      </c>
      <c r="F136" s="6">
        <f>11006/(60*60*24)</f>
        <v>0.12738425925925925</v>
      </c>
      <c r="G136" s="7" t="s">
        <v>9</v>
      </c>
    </row>
    <row r="137" spans="1:7" x14ac:dyDescent="0.45">
      <c r="A137" t="s">
        <v>232</v>
      </c>
      <c r="B137" s="2" t="s">
        <v>102</v>
      </c>
      <c r="C137" s="5">
        <f>4954/(60*60*24)</f>
        <v>5.7337962962962966E-2</v>
      </c>
      <c r="D137" s="4">
        <f>1513/(60*60*24)</f>
        <v>1.7511574074074075E-2</v>
      </c>
      <c r="E137" s="3">
        <f>3544/(60*60*24)</f>
        <v>4.1018518518518517E-2</v>
      </c>
      <c r="F137" s="6">
        <f>13601/(60*60*24)</f>
        <v>0.15741898148148148</v>
      </c>
      <c r="G137" s="7" t="s">
        <v>9</v>
      </c>
    </row>
    <row r="138" spans="1:7" x14ac:dyDescent="0.45">
      <c r="A138" t="s">
        <v>233</v>
      </c>
      <c r="B138" s="2" t="s">
        <v>106</v>
      </c>
      <c r="C138" s="5">
        <f>4990/(60*60*24)</f>
        <v>5.7754629629629628E-2</v>
      </c>
      <c r="D138" s="4">
        <f>1462/(60*60*24)</f>
        <v>1.6921296296296295E-2</v>
      </c>
      <c r="E138" s="3">
        <f>3217/(60*60*24)</f>
        <v>3.72337962962963E-2</v>
      </c>
      <c r="F138" s="6">
        <f>12597/(60*60*24)</f>
        <v>0.14579861111111111</v>
      </c>
      <c r="G138" s="7" t="s">
        <v>9</v>
      </c>
    </row>
    <row r="139" spans="1:7" x14ac:dyDescent="0.45">
      <c r="A139" t="s">
        <v>234</v>
      </c>
      <c r="B139" s="2" t="s">
        <v>108</v>
      </c>
      <c r="C139" s="5">
        <f>5158/(60*60*24)</f>
        <v>5.9699074074074071E-2</v>
      </c>
      <c r="D139" s="4">
        <f>1577/(60*60*24)</f>
        <v>1.8252314814814815E-2</v>
      </c>
      <c r="E139" s="3">
        <f>3714/(60*60*24)</f>
        <v>4.2986111111111114E-2</v>
      </c>
      <c r="F139" s="6">
        <f>11942/(60*60*24)</f>
        <v>0.13821759259259259</v>
      </c>
      <c r="G139" s="7" t="s">
        <v>9</v>
      </c>
    </row>
    <row r="140" spans="1:7" x14ac:dyDescent="0.45">
      <c r="A140" t="s">
        <v>235</v>
      </c>
      <c r="B140" s="2" t="s">
        <v>110</v>
      </c>
      <c r="C140" s="5">
        <f>5386/(60*60*24)</f>
        <v>6.2337962962962963E-2</v>
      </c>
      <c r="D140" s="4">
        <f>1590/(60*60*24)</f>
        <v>1.8402777777777778E-2</v>
      </c>
      <c r="E140" s="3">
        <f>3668/(60*60*24)</f>
        <v>4.2453703703703702E-2</v>
      </c>
      <c r="F140" s="6">
        <f>11034/(60*60*24)</f>
        <v>0.12770833333333334</v>
      </c>
      <c r="G140" s="7" t="s">
        <v>9</v>
      </c>
    </row>
    <row r="141" spans="1:7" x14ac:dyDescent="0.45">
      <c r="A141" t="s">
        <v>236</v>
      </c>
      <c r="B141" s="2" t="s">
        <v>112</v>
      </c>
      <c r="C141" s="5">
        <f>5424/(60*60*24)</f>
        <v>6.277777777777778E-2</v>
      </c>
      <c r="D141" s="4">
        <f>1569/(60*60*24)</f>
        <v>1.8159722222222223E-2</v>
      </c>
      <c r="E141" s="3">
        <f>3578/(60*60*24)</f>
        <v>4.1412037037037039E-2</v>
      </c>
      <c r="F141" s="6">
        <f>11350/(60*60*24)</f>
        <v>0.13136574074074073</v>
      </c>
      <c r="G141" s="7" t="s">
        <v>9</v>
      </c>
    </row>
    <row r="142" spans="1:7" x14ac:dyDescent="0.45">
      <c r="A142" t="s">
        <v>237</v>
      </c>
      <c r="B142" s="2" t="s">
        <v>114</v>
      </c>
      <c r="C142" s="5">
        <f>3978/(60*60*24)</f>
        <v>4.6041666666666668E-2</v>
      </c>
      <c r="D142" s="4">
        <f>1515/(60*60*24)</f>
        <v>1.7534722222222222E-2</v>
      </c>
      <c r="E142" s="3">
        <f>3408/(60*60*24)</f>
        <v>3.9444444444444442E-2</v>
      </c>
      <c r="F142" s="6">
        <f>11581/(60*60*24)</f>
        <v>0.13403935185185184</v>
      </c>
      <c r="G142" s="7" t="s">
        <v>9</v>
      </c>
    </row>
    <row r="143" spans="1:7" x14ac:dyDescent="0.45">
      <c r="A143" t="s">
        <v>238</v>
      </c>
      <c r="B143" s="2" t="s">
        <v>116</v>
      </c>
      <c r="C143" s="5">
        <f>3917/(60*60*24)</f>
        <v>4.5335648148148146E-2</v>
      </c>
      <c r="D143" s="4">
        <f>1470/(60*60*24)</f>
        <v>1.7013888888888887E-2</v>
      </c>
      <c r="E143" s="3">
        <f>3315/(60*60*24)</f>
        <v>3.8368055555555558E-2</v>
      </c>
      <c r="F143" s="6">
        <f>11817/(60*60*24)</f>
        <v>0.13677083333333334</v>
      </c>
      <c r="G143" s="7" t="s">
        <v>9</v>
      </c>
    </row>
    <row r="144" spans="1:7" x14ac:dyDescent="0.45">
      <c r="A144" t="s">
        <v>239</v>
      </c>
      <c r="B144" s="2" t="s">
        <v>118</v>
      </c>
      <c r="C144" s="8" t="s">
        <v>12</v>
      </c>
      <c r="D144" s="4">
        <f>1568/(60*60*24)</f>
        <v>1.8148148148148149E-2</v>
      </c>
      <c r="E144" s="3">
        <f>3444/(60*60*24)</f>
        <v>3.9861111111111111E-2</v>
      </c>
      <c r="F144" s="5">
        <f>11881/(60*60*24)</f>
        <v>0.13751157407407408</v>
      </c>
      <c r="G144" s="7" t="s">
        <v>9</v>
      </c>
    </row>
    <row r="145" spans="1:7" x14ac:dyDescent="0.45">
      <c r="A145" t="s">
        <v>240</v>
      </c>
      <c r="B145" s="2" t="s">
        <v>120</v>
      </c>
      <c r="C145" s="8" t="s">
        <v>12</v>
      </c>
      <c r="D145" s="4">
        <f>1487/(60*60*24)</f>
        <v>1.7210648148148149E-2</v>
      </c>
      <c r="E145" s="3">
        <f>3755/(60*60*24)</f>
        <v>4.3460648148148151E-2</v>
      </c>
      <c r="F145" s="5">
        <f>12702/(60*60*24)</f>
        <v>0.14701388888888889</v>
      </c>
      <c r="G145" s="7" t="s">
        <v>9</v>
      </c>
    </row>
    <row r="146" spans="1:7" x14ac:dyDescent="0.45">
      <c r="A146" t="s">
        <v>241</v>
      </c>
      <c r="B146" s="2" t="s">
        <v>122</v>
      </c>
      <c r="C146" s="3">
        <f>1837/(60*60*24)</f>
        <v>2.1261574074074075E-2</v>
      </c>
      <c r="D146" s="4">
        <f>1453/(60*60*24)</f>
        <v>1.681712962962963E-2</v>
      </c>
      <c r="E146" s="5">
        <f>4171/(60*60*24)</f>
        <v>4.8275462962962964E-2</v>
      </c>
      <c r="F146" s="6">
        <f>14127/(60*60*24)</f>
        <v>0.16350694444444444</v>
      </c>
      <c r="G146" s="7" t="s">
        <v>9</v>
      </c>
    </row>
    <row r="147" spans="1:7" x14ac:dyDescent="0.45">
      <c r="A147" t="s">
        <v>242</v>
      </c>
      <c r="B147" s="2" t="s">
        <v>124</v>
      </c>
      <c r="C147" s="8" t="s">
        <v>12</v>
      </c>
      <c r="D147" s="4">
        <f>1725/(60*60*24)</f>
        <v>1.9965277777777776E-2</v>
      </c>
      <c r="E147" s="3">
        <f>4062/(60*60*24)</f>
        <v>4.701388888888889E-2</v>
      </c>
      <c r="F147" s="5">
        <f>13169/(60*60*24)</f>
        <v>0.15241898148148147</v>
      </c>
      <c r="G147" s="7" t="s">
        <v>9</v>
      </c>
    </row>
    <row r="148" spans="1:7" x14ac:dyDescent="0.45">
      <c r="A148" t="s">
        <v>243</v>
      </c>
      <c r="B148" s="2" t="s">
        <v>126</v>
      </c>
      <c r="C148" s="3">
        <f>2565/(60*60*24)</f>
        <v>2.9687499999999999E-2</v>
      </c>
      <c r="D148" s="4">
        <f>1555/(60*60*24)</f>
        <v>1.7997685185185186E-2</v>
      </c>
      <c r="E148" s="5">
        <f>4600/(60*60*24)</f>
        <v>5.3240740740740741E-2</v>
      </c>
      <c r="F148" s="6">
        <f>14450/(60*60*24)</f>
        <v>0.16724537037037038</v>
      </c>
      <c r="G148" s="7" t="s">
        <v>9</v>
      </c>
    </row>
    <row r="149" spans="1:7" x14ac:dyDescent="0.45">
      <c r="A149" t="s">
        <v>244</v>
      </c>
      <c r="B149" s="2" t="s">
        <v>128</v>
      </c>
      <c r="C149" s="3">
        <f>4366/(60*60*24)</f>
        <v>5.0532407407407408E-2</v>
      </c>
      <c r="D149" s="4">
        <f>1568/(60*60*24)</f>
        <v>1.8148148148148149E-2</v>
      </c>
      <c r="E149" s="5">
        <f>4552/(60*60*24)</f>
        <v>5.2685185185185182E-2</v>
      </c>
      <c r="F149" s="6">
        <f>15167/(60*60*24)</f>
        <v>0.17554398148148148</v>
      </c>
      <c r="G149" s="7" t="s">
        <v>9</v>
      </c>
    </row>
    <row r="150" spans="1:7" x14ac:dyDescent="0.45">
      <c r="A150" t="s">
        <v>245</v>
      </c>
      <c r="B150" s="2" t="s">
        <v>130</v>
      </c>
      <c r="C150" s="3">
        <f>4186/(60*60*24)</f>
        <v>4.8449074074074075E-2</v>
      </c>
      <c r="D150" s="4">
        <f>1693/(60*60*24)</f>
        <v>1.9594907407407408E-2</v>
      </c>
      <c r="E150" s="5">
        <f>4929/(60*60*24)</f>
        <v>5.7048611111111112E-2</v>
      </c>
      <c r="F150" s="6">
        <f>15861/(60*60*24)</f>
        <v>0.18357638888888889</v>
      </c>
      <c r="G150" s="7" t="s">
        <v>9</v>
      </c>
    </row>
    <row r="151" spans="1:7" x14ac:dyDescent="0.45">
      <c r="A151" t="s">
        <v>246</v>
      </c>
      <c r="B151" s="2" t="s">
        <v>132</v>
      </c>
      <c r="C151" s="3">
        <f>3806/(60*60*24)</f>
        <v>4.4050925925925924E-2</v>
      </c>
      <c r="D151" s="4">
        <f>1650/(60*60*24)</f>
        <v>1.9097222222222224E-2</v>
      </c>
      <c r="E151" s="5">
        <f>5005/(60*60*24)</f>
        <v>5.7928240740740738E-2</v>
      </c>
      <c r="F151" s="6">
        <f>16520/(60*60*24)</f>
        <v>0.19120370370370371</v>
      </c>
      <c r="G151" s="7" t="s">
        <v>9</v>
      </c>
    </row>
    <row r="152" spans="1:7" x14ac:dyDescent="0.45">
      <c r="A152" t="s">
        <v>247</v>
      </c>
      <c r="B152" s="2" t="s">
        <v>136</v>
      </c>
      <c r="C152" s="3">
        <f>3778/(60*60*24)</f>
        <v>4.372685185185185E-2</v>
      </c>
      <c r="D152" s="4">
        <f>1657/(60*60*24)</f>
        <v>1.9178240740740742E-2</v>
      </c>
      <c r="E152" s="5">
        <f>5320/(60*60*24)</f>
        <v>6.1574074074074073E-2</v>
      </c>
      <c r="F152" s="6">
        <f>17401/(60*60*24)</f>
        <v>0.20140046296296296</v>
      </c>
      <c r="G152" s="7" t="s">
        <v>9</v>
      </c>
    </row>
    <row r="153" spans="1:7" x14ac:dyDescent="0.45">
      <c r="A153" t="s">
        <v>248</v>
      </c>
      <c r="B153" s="2" t="s">
        <v>134</v>
      </c>
      <c r="C153" s="8" t="s">
        <v>12</v>
      </c>
      <c r="D153" s="4">
        <f>1630/(60*60*24)</f>
        <v>1.8865740740740742E-2</v>
      </c>
      <c r="E153" s="3">
        <f>5576/(60*60*24)</f>
        <v>6.4537037037037032E-2</v>
      </c>
      <c r="F153" s="5">
        <f>18404/(60*60*24)</f>
        <v>0.21300925925925926</v>
      </c>
      <c r="G153" s="7" t="s">
        <v>9</v>
      </c>
    </row>
    <row r="154" spans="1:7" x14ac:dyDescent="0.45">
      <c r="A154" t="s">
        <v>249</v>
      </c>
      <c r="B154" s="2" t="s">
        <v>138</v>
      </c>
      <c r="C154" s="8" t="s">
        <v>12</v>
      </c>
      <c r="D154" s="4">
        <f>1724/(60*60*24)</f>
        <v>1.9953703703703703E-2</v>
      </c>
      <c r="E154" s="3">
        <f>5347/(60*60*24)</f>
        <v>6.1886574074074073E-2</v>
      </c>
      <c r="F154" s="5">
        <f>19048/(60*60*24)</f>
        <v>0.22046296296296297</v>
      </c>
      <c r="G154" s="7" t="s">
        <v>9</v>
      </c>
    </row>
    <row r="155" spans="1:7" x14ac:dyDescent="0.45">
      <c r="A155" t="s">
        <v>250</v>
      </c>
      <c r="B155" s="2" t="s">
        <v>140</v>
      </c>
      <c r="C155" s="8" t="s">
        <v>12</v>
      </c>
      <c r="D155" s="4">
        <f>1894/(60*60*24)</f>
        <v>2.1921296296296296E-2</v>
      </c>
      <c r="E155" s="3">
        <f>5553/(60*60*24)</f>
        <v>6.4270833333333333E-2</v>
      </c>
      <c r="F155" s="5">
        <f>19648/(60*60*24)</f>
        <v>0.22740740740740742</v>
      </c>
      <c r="G155" s="7" t="s">
        <v>9</v>
      </c>
    </row>
    <row r="156" spans="1:7" x14ac:dyDescent="0.45">
      <c r="A156" t="s">
        <v>251</v>
      </c>
      <c r="B156" s="2" t="s">
        <v>144</v>
      </c>
      <c r="C156" s="3">
        <f>5669/(60*60*24)</f>
        <v>6.5613425925925922E-2</v>
      </c>
      <c r="D156" s="4">
        <f>1885/(60*60*24)</f>
        <v>2.1817129629629631E-2</v>
      </c>
      <c r="E156" s="5">
        <f>6391/(60*60*24)</f>
        <v>7.3969907407407401E-2</v>
      </c>
      <c r="F156" s="6">
        <f>21461/(60*60*24)</f>
        <v>0.24839120370370371</v>
      </c>
      <c r="G156" s="7" t="s">
        <v>9</v>
      </c>
    </row>
    <row r="157" spans="1:7" x14ac:dyDescent="0.45">
      <c r="A157" t="s">
        <v>252</v>
      </c>
      <c r="B157" s="2" t="s">
        <v>142</v>
      </c>
      <c r="C157" s="8" t="s">
        <v>12</v>
      </c>
      <c r="D157" s="4">
        <f>1861/(60*60*24)</f>
        <v>2.1539351851851851E-2</v>
      </c>
      <c r="E157" s="3">
        <f>5829/(60*60*24)</f>
        <v>6.7465277777777777E-2</v>
      </c>
      <c r="F157" s="5">
        <f>20048/(60*60*24)</f>
        <v>0.23203703703703704</v>
      </c>
      <c r="G157" s="7" t="s">
        <v>9</v>
      </c>
    </row>
    <row r="158" spans="1:7" x14ac:dyDescent="0.45">
      <c r="A158" t="s">
        <v>253</v>
      </c>
      <c r="B158" s="2" t="s">
        <v>146</v>
      </c>
      <c r="C158" s="3">
        <f>5026/(60*60*24)</f>
        <v>5.8171296296296297E-2</v>
      </c>
      <c r="D158" s="4">
        <f>1746/(60*60*24)</f>
        <v>2.0208333333333332E-2</v>
      </c>
      <c r="E158" s="5">
        <f>6102/(60*60*24)</f>
        <v>7.0624999999999993E-2</v>
      </c>
      <c r="F158" s="6">
        <f>20966/(60*60*24)</f>
        <v>0.24266203703703704</v>
      </c>
      <c r="G158" s="7" t="s">
        <v>9</v>
      </c>
    </row>
    <row r="159" spans="1:7" x14ac:dyDescent="0.45">
      <c r="A159" t="s">
        <v>254</v>
      </c>
      <c r="B159" s="2" t="s">
        <v>148</v>
      </c>
      <c r="C159" s="8" t="s">
        <v>12</v>
      </c>
      <c r="D159" s="4">
        <f>1918/(60*60*24)</f>
        <v>2.2199074074074072E-2</v>
      </c>
      <c r="E159" s="3">
        <f>6706/(60*60*24)</f>
        <v>7.7615740740740735E-2</v>
      </c>
      <c r="F159" s="5">
        <f>22455/(60*60*24)</f>
        <v>0.25989583333333333</v>
      </c>
      <c r="G159" s="7" t="s">
        <v>9</v>
      </c>
    </row>
    <row r="160" spans="1:7" x14ac:dyDescent="0.45">
      <c r="A160" t="s">
        <v>255</v>
      </c>
      <c r="B160" s="2" t="s">
        <v>150</v>
      </c>
      <c r="C160" s="3">
        <f>5298/(60*60*24)</f>
        <v>6.1319444444444447E-2</v>
      </c>
      <c r="D160" s="4">
        <f>1773/(60*60*24)</f>
        <v>2.0520833333333332E-2</v>
      </c>
      <c r="E160" s="5">
        <f>6763/(60*60*24)</f>
        <v>7.8275462962962963E-2</v>
      </c>
      <c r="F160" s="6">
        <f>23510/(60*60*24)</f>
        <v>0.27210648148148148</v>
      </c>
      <c r="G160" s="7" t="s">
        <v>9</v>
      </c>
    </row>
    <row r="161" spans="1:7" x14ac:dyDescent="0.45">
      <c r="A161" t="s">
        <v>256</v>
      </c>
      <c r="B161" s="2" t="s">
        <v>152</v>
      </c>
      <c r="C161" s="3">
        <f>5555/(60*60*24)</f>
        <v>6.429398148148148E-2</v>
      </c>
      <c r="D161" s="4">
        <f>1837/(60*60*24)</f>
        <v>2.1261574074074075E-2</v>
      </c>
      <c r="E161" s="5">
        <f>7013/(60*60*24)</f>
        <v>8.1168981481481481E-2</v>
      </c>
      <c r="F161" s="6">
        <f>23756/(60*60*24)</f>
        <v>0.2749537037037037</v>
      </c>
      <c r="G161" s="7" t="s">
        <v>9</v>
      </c>
    </row>
    <row r="162" spans="1:7" x14ac:dyDescent="0.45">
      <c r="A162" t="s">
        <v>257</v>
      </c>
      <c r="B162" s="2" t="s">
        <v>154</v>
      </c>
      <c r="C162" s="8" t="s">
        <v>12</v>
      </c>
      <c r="D162" s="4">
        <f>1734/(60*60*24)</f>
        <v>2.0069444444444445E-2</v>
      </c>
      <c r="E162" s="3">
        <f>6984/(60*60*24)</f>
        <v>8.0833333333333326E-2</v>
      </c>
      <c r="F162" s="5">
        <f>23656/(60*60*24)</f>
        <v>0.27379629629629632</v>
      </c>
      <c r="G162" s="7" t="s">
        <v>9</v>
      </c>
    </row>
    <row r="163" spans="1:7" x14ac:dyDescent="0.45">
      <c r="A163" t="s">
        <v>258</v>
      </c>
      <c r="B163" s="2" t="s">
        <v>156</v>
      </c>
      <c r="C163" s="8" t="s">
        <v>12</v>
      </c>
      <c r="D163" s="4">
        <f>1857/(60*60*24)</f>
        <v>2.1493055555555557E-2</v>
      </c>
      <c r="E163" s="3">
        <f>7378/(60*60*24)</f>
        <v>8.5393518518518521E-2</v>
      </c>
      <c r="F163" s="5">
        <f>24798/(60*60*24)</f>
        <v>0.2870138888888889</v>
      </c>
      <c r="G163" s="7" t="s">
        <v>9</v>
      </c>
    </row>
    <row r="164" spans="1:7" x14ac:dyDescent="0.45">
      <c r="A164" t="s">
        <v>259</v>
      </c>
      <c r="B164" s="2" t="s">
        <v>160</v>
      </c>
      <c r="C164" s="8" t="s">
        <v>12</v>
      </c>
      <c r="D164" s="4">
        <f>1832/(60*60*24)</f>
        <v>2.1203703703703704E-2</v>
      </c>
      <c r="E164" s="3">
        <f>7297/(60*60*24)</f>
        <v>8.4456018518518514E-2</v>
      </c>
      <c r="F164" s="5">
        <f>24852/(60*60*24)</f>
        <v>0.28763888888888889</v>
      </c>
      <c r="G164" s="7" t="s">
        <v>9</v>
      </c>
    </row>
    <row r="165" spans="1:7" x14ac:dyDescent="0.45">
      <c r="A165" t="s">
        <v>260</v>
      </c>
      <c r="B165" s="2" t="s">
        <v>158</v>
      </c>
      <c r="C165" s="8" t="s">
        <v>12</v>
      </c>
      <c r="D165" s="4">
        <f>2019/(60*60*24)</f>
        <v>2.3368055555555555E-2</v>
      </c>
      <c r="E165" s="3">
        <f>7555/(60*60*24)</f>
        <v>8.7442129629629634E-2</v>
      </c>
      <c r="F165" s="5">
        <f>25482/(60*60*24)</f>
        <v>0.29493055555555553</v>
      </c>
      <c r="G165" s="7" t="s">
        <v>9</v>
      </c>
    </row>
    <row r="166" spans="1:7" x14ac:dyDescent="0.45">
      <c r="A166" t="s">
        <v>261</v>
      </c>
      <c r="B166" s="2" t="s">
        <v>162</v>
      </c>
      <c r="C166" s="3">
        <f>5737/(60*60*24)</f>
        <v>6.6400462962962967E-2</v>
      </c>
      <c r="D166" s="4">
        <f>1912/(60*60*24)</f>
        <v>2.2129629629629631E-2</v>
      </c>
      <c r="E166" s="5">
        <f>7523/(60*60*24)</f>
        <v>8.7071759259259265E-2</v>
      </c>
      <c r="F166" s="6">
        <f>26261/(60*60*24)</f>
        <v>0.30394675925925924</v>
      </c>
      <c r="G166" s="7" t="s">
        <v>9</v>
      </c>
    </row>
    <row r="167" spans="1:7" x14ac:dyDescent="0.45">
      <c r="A167" t="s">
        <v>262</v>
      </c>
      <c r="B167" s="2" t="s">
        <v>164</v>
      </c>
      <c r="C167" s="3">
        <f>5638/(60*60*24)</f>
        <v>6.5254629629629635E-2</v>
      </c>
      <c r="D167" s="4">
        <f>1990/(60*60*24)</f>
        <v>2.3032407407407408E-2</v>
      </c>
      <c r="E167" s="5">
        <f>7725/(60*60*24)</f>
        <v>8.9409722222222224E-2</v>
      </c>
      <c r="F167" s="6">
        <f>28044/(60*60*24)</f>
        <v>0.32458333333333333</v>
      </c>
      <c r="G167" s="7" t="s">
        <v>9</v>
      </c>
    </row>
    <row r="168" spans="1:7" x14ac:dyDescent="0.45">
      <c r="A168" t="s">
        <v>263</v>
      </c>
      <c r="B168" s="2" t="s">
        <v>168</v>
      </c>
      <c r="C168" s="3">
        <f>5844/(60*60*24)</f>
        <v>6.7638888888888887E-2</v>
      </c>
      <c r="D168" s="4">
        <f>1958/(60*60*24)</f>
        <v>2.2662037037037036E-2</v>
      </c>
      <c r="E168" s="5">
        <f>7923/(60*60*24)</f>
        <v>9.1701388888888888E-2</v>
      </c>
      <c r="F168" s="6">
        <f>28528/(60*60*24)</f>
        <v>0.33018518518518519</v>
      </c>
      <c r="G168" s="7" t="s">
        <v>9</v>
      </c>
    </row>
    <row r="169" spans="1:7" x14ac:dyDescent="0.45">
      <c r="A169" t="s">
        <v>264</v>
      </c>
      <c r="B169" s="2" t="s">
        <v>166</v>
      </c>
      <c r="C169" s="3">
        <f>3892/(60*60*24)</f>
        <v>4.50462962962963E-2</v>
      </c>
      <c r="D169" s="4">
        <f>1850/(60*60*24)</f>
        <v>2.1412037037037038E-2</v>
      </c>
      <c r="E169" s="5">
        <f>8184/(60*60*24)</f>
        <v>9.4722222222222222E-2</v>
      </c>
      <c r="F169" s="6">
        <f>29620/(60*60*24)</f>
        <v>0.34282407407407406</v>
      </c>
      <c r="G169" s="7" t="s">
        <v>9</v>
      </c>
    </row>
    <row r="170" spans="1:7" x14ac:dyDescent="0.45">
      <c r="A170" t="s">
        <v>265</v>
      </c>
      <c r="B170" s="2" t="s">
        <v>170</v>
      </c>
      <c r="C170" s="3">
        <f>3534/(60*60*24)</f>
        <v>4.0902777777777781E-2</v>
      </c>
      <c r="D170" s="4">
        <f>1924/(60*60*24)</f>
        <v>2.2268518518518517E-2</v>
      </c>
      <c r="E170" s="5">
        <f>8364/(60*60*24)</f>
        <v>9.6805555555555561E-2</v>
      </c>
      <c r="F170" s="6">
        <f>30198/(60*60*24)</f>
        <v>0.3495138888888889</v>
      </c>
      <c r="G170" s="7" t="s">
        <v>9</v>
      </c>
    </row>
    <row r="171" spans="1:7" x14ac:dyDescent="0.45">
      <c r="A171" t="s">
        <v>266</v>
      </c>
      <c r="B171" s="2" t="s">
        <v>172</v>
      </c>
      <c r="C171" s="3">
        <f>5476/(60*60*24)</f>
        <v>6.3379629629629633E-2</v>
      </c>
      <c r="D171" s="4">
        <f>1914/(60*60*24)</f>
        <v>2.2152777777777778E-2</v>
      </c>
      <c r="E171" s="5">
        <f>8594/(60*60*24)</f>
        <v>9.9467592592592594E-2</v>
      </c>
      <c r="F171" s="6">
        <f>30760/(60*60*24)</f>
        <v>0.35601851851851851</v>
      </c>
      <c r="G171" s="7" t="s">
        <v>9</v>
      </c>
    </row>
    <row r="172" spans="1:7" x14ac:dyDescent="0.45">
      <c r="A172" t="s">
        <v>267</v>
      </c>
      <c r="B172" s="2" t="s">
        <v>176</v>
      </c>
      <c r="C172" s="8" t="s">
        <v>12</v>
      </c>
      <c r="D172" s="4">
        <f>2044/(60*60*24)</f>
        <v>2.3657407407407408E-2</v>
      </c>
      <c r="E172" s="3">
        <f>8974/(60*60*24)</f>
        <v>0.10386574074074074</v>
      </c>
      <c r="F172" s="5">
        <f>31685/(60*60*24)</f>
        <v>0.36672453703703706</v>
      </c>
      <c r="G172" s="7" t="s">
        <v>9</v>
      </c>
    </row>
    <row r="173" spans="1:7" x14ac:dyDescent="0.45">
      <c r="A173" t="s">
        <v>268</v>
      </c>
      <c r="B173" s="2" t="s">
        <v>174</v>
      </c>
      <c r="C173" s="8" t="s">
        <v>12</v>
      </c>
      <c r="D173" s="4">
        <f>1982/(60*60*24)</f>
        <v>2.2939814814814816E-2</v>
      </c>
      <c r="E173" s="3">
        <f>9242/(60*60*24)</f>
        <v>0.10696759259259259</v>
      </c>
      <c r="F173" s="5">
        <f>31351/(60*60*24)</f>
        <v>0.3628587962962963</v>
      </c>
      <c r="G173" s="7" t="s">
        <v>9</v>
      </c>
    </row>
    <row r="174" spans="1:7" x14ac:dyDescent="0.45">
      <c r="A174" t="s">
        <v>269</v>
      </c>
      <c r="B174" s="2" t="s">
        <v>180</v>
      </c>
      <c r="C174" s="3">
        <f>6023/(60*60*24)</f>
        <v>6.9710648148148147E-2</v>
      </c>
      <c r="D174" s="4">
        <f>2221/(60*60*24)</f>
        <v>2.5706018518518517E-2</v>
      </c>
      <c r="E174" s="5">
        <f>9465/(60*60*24)</f>
        <v>0.10954861111111111</v>
      </c>
      <c r="F174" s="6">
        <f>32638/(60*60*24)</f>
        <v>0.37775462962962963</v>
      </c>
      <c r="G174" s="7" t="s">
        <v>9</v>
      </c>
    </row>
    <row r="175" spans="1:7" x14ac:dyDescent="0.45">
      <c r="A175" t="s">
        <v>270</v>
      </c>
      <c r="B175" s="2" t="s">
        <v>178</v>
      </c>
      <c r="C175" s="3">
        <f>5485/(60*60*24)</f>
        <v>6.3483796296296302E-2</v>
      </c>
      <c r="D175" s="4">
        <f>2056/(60*60*24)</f>
        <v>2.3796296296296298E-2</v>
      </c>
      <c r="E175" s="5">
        <f>9393/(60*60*24)</f>
        <v>0.10871527777777777</v>
      </c>
      <c r="F175" s="6">
        <f>32965/(60*60*24)</f>
        <v>0.38153935185185184</v>
      </c>
      <c r="G175" s="7" t="s">
        <v>9</v>
      </c>
    </row>
    <row r="176" spans="1:7" x14ac:dyDescent="0.45">
      <c r="A176" t="s">
        <v>271</v>
      </c>
      <c r="B176" s="2" t="s">
        <v>182</v>
      </c>
      <c r="C176" s="3">
        <f>5728/(60*60*24)</f>
        <v>6.6296296296296298E-2</v>
      </c>
      <c r="D176" s="4">
        <f>2135/(60*60*24)</f>
        <v>2.4710648148148148E-2</v>
      </c>
      <c r="E176" s="5">
        <f>9626/(60*60*24)</f>
        <v>0.11141203703703703</v>
      </c>
      <c r="F176" s="6">
        <f>33699/(60*60*24)</f>
        <v>0.39003472222222224</v>
      </c>
      <c r="G176" s="7" t="s">
        <v>9</v>
      </c>
    </row>
    <row r="177" spans="1:7" x14ac:dyDescent="0.45">
      <c r="A177" t="s">
        <v>272</v>
      </c>
      <c r="B177" s="2" t="s">
        <v>184</v>
      </c>
      <c r="C177" s="3">
        <f>3777/(60*60*24)</f>
        <v>4.3715277777777777E-2</v>
      </c>
      <c r="D177" s="4">
        <f>2234/(60*60*24)</f>
        <v>2.585648148148148E-2</v>
      </c>
      <c r="E177" s="5">
        <f>9768/(60*60*24)</f>
        <v>0.11305555555555556</v>
      </c>
      <c r="F177" s="6">
        <f>34798/(60*60*24)</f>
        <v>0.40275462962962966</v>
      </c>
      <c r="G177" s="7" t="s">
        <v>9</v>
      </c>
    </row>
    <row r="178" spans="1:7" x14ac:dyDescent="0.45">
      <c r="A178" t="s">
        <v>273</v>
      </c>
      <c r="B178" s="2" t="s">
        <v>8</v>
      </c>
      <c r="C178" s="3">
        <f>6925/(60*60*24)</f>
        <v>8.0150462962962965E-2</v>
      </c>
      <c r="D178" s="4">
        <f>1893/(60*60*24)</f>
        <v>2.1909722222222223E-2</v>
      </c>
      <c r="E178" s="5">
        <f>10242/(60*60*24)</f>
        <v>0.11854166666666667</v>
      </c>
      <c r="F178" s="6">
        <f>35761/(60*60*24)</f>
        <v>0.41390046296296296</v>
      </c>
      <c r="G178" s="7" t="s">
        <v>9</v>
      </c>
    </row>
    <row r="179" spans="1:7" x14ac:dyDescent="0.45">
      <c r="A179" t="s">
        <v>274</v>
      </c>
      <c r="B179" s="2" t="s">
        <v>11</v>
      </c>
      <c r="C179" s="8" t="s">
        <v>12</v>
      </c>
      <c r="D179" s="4">
        <f>1797/(60*60*24)</f>
        <v>2.0798611111111111E-2</v>
      </c>
      <c r="E179" s="3">
        <f>9918/(60*60*24)</f>
        <v>0.11479166666666667</v>
      </c>
      <c r="F179" s="5">
        <f>34640/(60*60*24)</f>
        <v>0.40092592592592591</v>
      </c>
      <c r="G179" s="7" t="s">
        <v>9</v>
      </c>
    </row>
    <row r="180" spans="1:7" x14ac:dyDescent="0.45">
      <c r="A180" t="s">
        <v>275</v>
      </c>
      <c r="B180" s="2" t="s">
        <v>14</v>
      </c>
      <c r="C180" s="3">
        <f>6531/(60*60*24)</f>
        <v>7.5590277777777784E-2</v>
      </c>
      <c r="D180" s="4">
        <f>1725/(60*60*24)</f>
        <v>1.9965277777777776E-2</v>
      </c>
      <c r="E180" s="5">
        <f>9734/(60*60*24)</f>
        <v>0.11266203703703703</v>
      </c>
      <c r="F180" s="6">
        <f>33977/(60*60*24)</f>
        <v>0.39325231481481482</v>
      </c>
      <c r="G180" s="7" t="s">
        <v>9</v>
      </c>
    </row>
    <row r="181" spans="1:7" x14ac:dyDescent="0.45">
      <c r="A181" t="s">
        <v>276</v>
      </c>
      <c r="B181" s="2" t="s">
        <v>16</v>
      </c>
      <c r="C181" s="3">
        <f>6077/(60*60*24)</f>
        <v>7.0335648148148147E-2</v>
      </c>
      <c r="D181" s="4">
        <f>1660/(60*60*24)</f>
        <v>1.9212962962962963E-2</v>
      </c>
      <c r="E181" s="5">
        <f>9550/(60*60*24)</f>
        <v>0.11053240740740741</v>
      </c>
      <c r="F181" s="6">
        <f>33245/(60*60*24)</f>
        <v>0.3847800925925926</v>
      </c>
      <c r="G181" s="7" t="s">
        <v>9</v>
      </c>
    </row>
    <row r="182" spans="1:7" x14ac:dyDescent="0.45">
      <c r="A182" t="s">
        <v>277</v>
      </c>
      <c r="B182" s="2" t="s">
        <v>18</v>
      </c>
      <c r="C182" s="3">
        <f>6145/(60*60*24)</f>
        <v>7.1122685185185192E-2</v>
      </c>
      <c r="D182" s="4">
        <f>1716/(60*60*24)</f>
        <v>1.9861111111111111E-2</v>
      </c>
      <c r="E182" s="5">
        <f>9377/(60*60*24)</f>
        <v>0.10853009259259259</v>
      </c>
      <c r="F182" s="6">
        <f>32624/(60*60*24)</f>
        <v>0.37759259259259259</v>
      </c>
      <c r="G182" s="7" t="s">
        <v>9</v>
      </c>
    </row>
    <row r="183" spans="1:7" x14ac:dyDescent="0.45">
      <c r="A183" t="s">
        <v>278</v>
      </c>
      <c r="B183" s="2" t="s">
        <v>20</v>
      </c>
      <c r="C183" s="3">
        <f>6478/(60*60*24)</f>
        <v>7.497685185185185E-2</v>
      </c>
      <c r="D183" s="4">
        <f>1872/(60*60*24)</f>
        <v>2.1666666666666667E-2</v>
      </c>
      <c r="E183" s="5">
        <f>9227/(60*60*24)</f>
        <v>0.10679398148148148</v>
      </c>
      <c r="F183" s="6">
        <f>31581/(60*60*24)</f>
        <v>0.36552083333333335</v>
      </c>
      <c r="G183" s="7" t="s">
        <v>9</v>
      </c>
    </row>
    <row r="184" spans="1:7" x14ac:dyDescent="0.45">
      <c r="A184" t="s">
        <v>279</v>
      </c>
      <c r="B184" s="2" t="s">
        <v>22</v>
      </c>
      <c r="C184" s="3">
        <f>6432/(60*60*24)</f>
        <v>7.4444444444444438E-2</v>
      </c>
      <c r="D184" s="4">
        <f>1811/(60*60*24)</f>
        <v>2.0960648148148148E-2</v>
      </c>
      <c r="E184" s="5">
        <f>9032/(60*60*24)</f>
        <v>0.10453703703703704</v>
      </c>
      <c r="F184" s="6">
        <f>30912/(60*60*24)</f>
        <v>0.35777777777777775</v>
      </c>
      <c r="G184" s="7" t="s">
        <v>9</v>
      </c>
    </row>
    <row r="185" spans="1:7" x14ac:dyDescent="0.45">
      <c r="A185" t="s">
        <v>280</v>
      </c>
      <c r="B185" s="2" t="s">
        <v>24</v>
      </c>
      <c r="C185" s="3">
        <f>6104/(60*60*24)</f>
        <v>7.0648148148148154E-2</v>
      </c>
      <c r="D185" s="4">
        <f>1776/(60*60*24)</f>
        <v>2.0555555555555556E-2</v>
      </c>
      <c r="E185" s="5">
        <f>8818/(60*60*24)</f>
        <v>0.10206018518518518</v>
      </c>
      <c r="F185" s="6">
        <f>30329/(60*60*24)</f>
        <v>0.3510300925925926</v>
      </c>
      <c r="G185" s="7" t="s">
        <v>9</v>
      </c>
    </row>
    <row r="186" spans="1:7" x14ac:dyDescent="0.45">
      <c r="A186" t="s">
        <v>281</v>
      </c>
      <c r="B186" s="2" t="s">
        <v>26</v>
      </c>
      <c r="C186" s="3">
        <f>6689/(60*60*24)</f>
        <v>7.7418981481481478E-2</v>
      </c>
      <c r="D186" s="4">
        <f>1762/(60*60*24)</f>
        <v>2.0393518518518519E-2</v>
      </c>
      <c r="E186" s="5">
        <f>8611/(60*60*24)</f>
        <v>9.9664351851851851E-2</v>
      </c>
      <c r="F186" s="6">
        <f>29574/(60*60*24)</f>
        <v>0.34229166666666666</v>
      </c>
      <c r="G186" s="7" t="s">
        <v>9</v>
      </c>
    </row>
    <row r="187" spans="1:7" x14ac:dyDescent="0.45">
      <c r="A187" t="s">
        <v>282</v>
      </c>
      <c r="B187" s="2" t="s">
        <v>28</v>
      </c>
      <c r="C187" s="3">
        <f>6733/(60*60*24)</f>
        <v>7.7928240740740742E-2</v>
      </c>
      <c r="D187" s="4">
        <f>1783/(60*60*24)</f>
        <v>2.0636574074074075E-2</v>
      </c>
      <c r="E187" s="5">
        <f>8340/(60*60*24)</f>
        <v>9.6527777777777782E-2</v>
      </c>
      <c r="F187" s="6">
        <f>28886/(60*60*24)</f>
        <v>0.33432870370370371</v>
      </c>
      <c r="G187" s="7" t="s">
        <v>9</v>
      </c>
    </row>
    <row r="188" spans="1:7" x14ac:dyDescent="0.45">
      <c r="A188" t="s">
        <v>283</v>
      </c>
      <c r="B188" s="2" t="s">
        <v>30</v>
      </c>
      <c r="C188" s="8" t="s">
        <v>12</v>
      </c>
      <c r="D188" s="4">
        <f>1650/(60*60*24)</f>
        <v>1.9097222222222224E-2</v>
      </c>
      <c r="E188" s="3">
        <f>8234/(60*60*24)</f>
        <v>9.5300925925925928E-2</v>
      </c>
      <c r="F188" s="5">
        <f>28031/(60*60*24)</f>
        <v>0.32443287037037039</v>
      </c>
      <c r="G188" s="7" t="s">
        <v>9</v>
      </c>
    </row>
    <row r="189" spans="1:7" x14ac:dyDescent="0.45">
      <c r="A189" t="s">
        <v>284</v>
      </c>
      <c r="B189" s="2" t="s">
        <v>32</v>
      </c>
      <c r="C189" s="8" t="s">
        <v>12</v>
      </c>
      <c r="D189" s="4">
        <f>1678/(60*60*24)</f>
        <v>1.9421296296296298E-2</v>
      </c>
      <c r="E189" s="3">
        <f>8165/(60*60*24)</f>
        <v>9.4502314814814817E-2</v>
      </c>
      <c r="F189" s="5">
        <f>27376/(60*60*24)</f>
        <v>0.31685185185185183</v>
      </c>
      <c r="G189" s="7" t="s">
        <v>9</v>
      </c>
    </row>
    <row r="190" spans="1:7" x14ac:dyDescent="0.45">
      <c r="A190" t="s">
        <v>285</v>
      </c>
      <c r="B190" s="2" t="s">
        <v>36</v>
      </c>
      <c r="C190" s="8" t="s">
        <v>12</v>
      </c>
      <c r="D190" s="4">
        <f>1639/(60*60*24)</f>
        <v>1.8969907407407408E-2</v>
      </c>
      <c r="E190" s="3">
        <f>8076/(60*60*24)</f>
        <v>9.347222222222222E-2</v>
      </c>
      <c r="F190" s="5">
        <f>26508/(60*60*24)</f>
        <v>0.30680555555555555</v>
      </c>
      <c r="G190" s="7" t="s">
        <v>9</v>
      </c>
    </row>
    <row r="191" spans="1:7" x14ac:dyDescent="0.45">
      <c r="A191" t="s">
        <v>286</v>
      </c>
      <c r="B191" s="2" t="s">
        <v>34</v>
      </c>
      <c r="C191" s="8" t="s">
        <v>12</v>
      </c>
      <c r="D191" s="4">
        <f>1736/(60*60*24)</f>
        <v>2.0092592592592592E-2</v>
      </c>
      <c r="E191" s="3">
        <f>7808/(60*60*24)</f>
        <v>9.0370370370370365E-2</v>
      </c>
      <c r="F191" s="5">
        <f>25918/(60*60*24)</f>
        <v>0.29997685185185186</v>
      </c>
      <c r="G191" s="7" t="s">
        <v>9</v>
      </c>
    </row>
    <row r="192" spans="1:7" x14ac:dyDescent="0.45">
      <c r="A192" t="s">
        <v>287</v>
      </c>
      <c r="B192" s="2" t="s">
        <v>38</v>
      </c>
      <c r="C192" s="8" t="s">
        <v>12</v>
      </c>
      <c r="D192" s="4">
        <f>1820/(60*60*24)</f>
        <v>2.1064814814814814E-2</v>
      </c>
      <c r="E192" s="3">
        <f>7837/(60*60*24)</f>
        <v>9.0706018518518519E-2</v>
      </c>
      <c r="F192" s="5">
        <f>25219/(60*60*24)</f>
        <v>0.29188657407407409</v>
      </c>
      <c r="G192" s="7" t="s">
        <v>9</v>
      </c>
    </row>
    <row r="193" spans="1:7" x14ac:dyDescent="0.45">
      <c r="A193" t="s">
        <v>288</v>
      </c>
      <c r="B193" s="2" t="s">
        <v>40</v>
      </c>
      <c r="C193" s="8" t="s">
        <v>12</v>
      </c>
      <c r="D193" s="4">
        <f>1819/(60*60*24)</f>
        <v>2.105324074074074E-2</v>
      </c>
      <c r="E193" s="3">
        <f>7613/(60*60*24)</f>
        <v>8.8113425925925928E-2</v>
      </c>
      <c r="F193" s="5">
        <f>24963/(60*60*24)</f>
        <v>0.28892361111111109</v>
      </c>
      <c r="G193" s="7" t="s">
        <v>9</v>
      </c>
    </row>
    <row r="194" spans="1:7" x14ac:dyDescent="0.45">
      <c r="A194" t="s">
        <v>289</v>
      </c>
      <c r="B194" s="2" t="s">
        <v>44</v>
      </c>
      <c r="C194" s="3">
        <f>5382/(60*60*24)</f>
        <v>6.2291666666666669E-2</v>
      </c>
      <c r="D194" s="4">
        <f>1870/(60*60*24)</f>
        <v>2.1643518518518517E-2</v>
      </c>
      <c r="E194" s="5">
        <f>7121/(60*60*24)</f>
        <v>8.2418981481481482E-2</v>
      </c>
      <c r="F194" s="6">
        <f>23855/(60*60*24)</f>
        <v>0.27609953703703705</v>
      </c>
      <c r="G194" s="7" t="s">
        <v>9</v>
      </c>
    </row>
    <row r="195" spans="1:7" x14ac:dyDescent="0.45">
      <c r="A195" t="s">
        <v>290</v>
      </c>
      <c r="B195" s="2" t="s">
        <v>42</v>
      </c>
      <c r="C195" s="3">
        <f>5409/(60*60*24)</f>
        <v>6.2604166666666669E-2</v>
      </c>
      <c r="D195" s="4">
        <f>1806/(60*60*24)</f>
        <v>2.0902777777777777E-2</v>
      </c>
      <c r="E195" s="5">
        <f>6991/(60*60*24)</f>
        <v>8.0914351851851848E-2</v>
      </c>
      <c r="F195" s="6">
        <f>23784/(60*60*24)</f>
        <v>0.27527777777777779</v>
      </c>
      <c r="G195" s="7" t="s">
        <v>9</v>
      </c>
    </row>
    <row r="196" spans="1:7" x14ac:dyDescent="0.45">
      <c r="A196" t="s">
        <v>291</v>
      </c>
      <c r="B196" s="2" t="s">
        <v>46</v>
      </c>
      <c r="C196" s="3">
        <f>5747/(60*60*24)</f>
        <v>6.6516203703703702E-2</v>
      </c>
      <c r="D196" s="4">
        <f>1814/(60*60*24)</f>
        <v>2.0995370370370369E-2</v>
      </c>
      <c r="E196" s="5">
        <f>6869/(60*60*24)</f>
        <v>7.9502314814814817E-2</v>
      </c>
      <c r="F196" s="6">
        <f>22858/(60*60*24)</f>
        <v>0.2645601851851852</v>
      </c>
      <c r="G196" s="7" t="s">
        <v>9</v>
      </c>
    </row>
    <row r="197" spans="1:7" x14ac:dyDescent="0.45">
      <c r="A197" t="s">
        <v>292</v>
      </c>
      <c r="B197" s="2" t="s">
        <v>48</v>
      </c>
      <c r="C197" s="3">
        <f>5223/(60*60*24)</f>
        <v>6.0451388888888888E-2</v>
      </c>
      <c r="D197" s="4">
        <f>1729/(60*60*24)</f>
        <v>2.0011574074074074E-2</v>
      </c>
      <c r="E197" s="5">
        <f>6831/(60*60*24)</f>
        <v>7.9062499999999994E-2</v>
      </c>
      <c r="F197" s="6">
        <f>22462/(60*60*24)</f>
        <v>0.25997685185185188</v>
      </c>
      <c r="G197" s="7" t="s">
        <v>9</v>
      </c>
    </row>
    <row r="198" spans="1:7" x14ac:dyDescent="0.45">
      <c r="A198" t="s">
        <v>293</v>
      </c>
      <c r="B198" s="2" t="s">
        <v>50</v>
      </c>
      <c r="C198" s="3">
        <f>5722/(60*60*24)</f>
        <v>6.6226851851851856E-2</v>
      </c>
      <c r="D198" s="4">
        <f>1672/(60*60*24)</f>
        <v>1.9351851851851853E-2</v>
      </c>
      <c r="E198" s="5">
        <f>6799/(60*60*24)</f>
        <v>7.8692129629629626E-2</v>
      </c>
      <c r="F198" s="6">
        <f>22229/(60*60*24)</f>
        <v>0.2572800925925926</v>
      </c>
      <c r="G198" s="7" t="s">
        <v>9</v>
      </c>
    </row>
    <row r="199" spans="1:7" x14ac:dyDescent="0.45">
      <c r="A199" t="s">
        <v>294</v>
      </c>
      <c r="B199" s="2" t="s">
        <v>52</v>
      </c>
      <c r="C199" s="3">
        <f>5460/(60*60*24)</f>
        <v>6.3194444444444442E-2</v>
      </c>
      <c r="D199" s="4">
        <f>1602/(60*60*24)</f>
        <v>1.8541666666666668E-2</v>
      </c>
      <c r="E199" s="5">
        <f>6674/(60*60*24)</f>
        <v>7.7245370370370367E-2</v>
      </c>
      <c r="F199" s="6">
        <f>21448/(60*60*24)</f>
        <v>0.24824074074074073</v>
      </c>
      <c r="G199" s="7" t="s">
        <v>9</v>
      </c>
    </row>
    <row r="200" spans="1:7" x14ac:dyDescent="0.45">
      <c r="A200" t="s">
        <v>295</v>
      </c>
      <c r="B200" s="2" t="s">
        <v>54</v>
      </c>
      <c r="C200" s="3">
        <f>6117/(60*60*24)</f>
        <v>7.0798611111111118E-2</v>
      </c>
      <c r="D200" s="4">
        <f>1581/(60*60*24)</f>
        <v>1.8298611111111113E-2</v>
      </c>
      <c r="E200" s="5">
        <f>7103/(60*60*24)</f>
        <v>8.2210648148148144E-2</v>
      </c>
      <c r="F200" s="6">
        <f>22065/(60*60*24)</f>
        <v>0.25538194444444445</v>
      </c>
      <c r="G200" s="7" t="s">
        <v>9</v>
      </c>
    </row>
    <row r="201" spans="1:7" x14ac:dyDescent="0.45">
      <c r="A201" t="s">
        <v>296</v>
      </c>
      <c r="B201" s="2" t="s">
        <v>56</v>
      </c>
      <c r="C201" s="8" t="s">
        <v>12</v>
      </c>
      <c r="D201" s="4">
        <f>2163/(60*60*24)</f>
        <v>2.5034722222222222E-2</v>
      </c>
      <c r="E201" s="3">
        <f>6076/(60*60*24)</f>
        <v>7.0324074074074081E-2</v>
      </c>
      <c r="F201" s="5">
        <f>19740/(60*60*24)</f>
        <v>0.22847222222222222</v>
      </c>
      <c r="G201" s="7" t="s">
        <v>9</v>
      </c>
    </row>
    <row r="202" spans="1:7" x14ac:dyDescent="0.45">
      <c r="A202" t="s">
        <v>297</v>
      </c>
      <c r="B202" s="2" t="s">
        <v>60</v>
      </c>
      <c r="C202" s="5">
        <f>6463/(60*60*24)</f>
        <v>7.480324074074074E-2</v>
      </c>
      <c r="D202" s="4">
        <f>1986/(60*60*24)</f>
        <v>2.298611111111111E-2</v>
      </c>
      <c r="E202" s="3">
        <f>5677/(60*60*24)</f>
        <v>6.5706018518518525E-2</v>
      </c>
      <c r="F202" s="6">
        <f>19238/(60*60*24)</f>
        <v>0.22266203703703705</v>
      </c>
      <c r="G202" s="7" t="s">
        <v>9</v>
      </c>
    </row>
    <row r="203" spans="1:7" x14ac:dyDescent="0.45">
      <c r="A203" t="s">
        <v>298</v>
      </c>
      <c r="B203" s="2" t="s">
        <v>58</v>
      </c>
      <c r="C203" s="8" t="s">
        <v>12</v>
      </c>
      <c r="D203" s="4">
        <f>1964/(60*60*24)</f>
        <v>2.2731481481481481E-2</v>
      </c>
      <c r="E203" s="3">
        <f>5861/(60*60*24)</f>
        <v>6.7835648148148145E-2</v>
      </c>
      <c r="F203" s="5">
        <f>19420/(60*60*24)</f>
        <v>0.22476851851851851</v>
      </c>
      <c r="G203" s="7" t="s">
        <v>9</v>
      </c>
    </row>
    <row r="204" spans="1:7" x14ac:dyDescent="0.45">
      <c r="A204" t="s">
        <v>299</v>
      </c>
      <c r="B204" s="2" t="s">
        <v>62</v>
      </c>
      <c r="C204" s="5">
        <f>5673/(60*60*24)</f>
        <v>6.5659722222222217E-2</v>
      </c>
      <c r="D204" s="4">
        <f>1535/(60*60*24)</f>
        <v>1.7766203703703704E-2</v>
      </c>
      <c r="E204" s="3">
        <f>5448/(60*60*24)</f>
        <v>6.3055555555555559E-2</v>
      </c>
      <c r="F204" s="6">
        <f>18625/(60*60*24)</f>
        <v>0.21556712962962962</v>
      </c>
      <c r="G204" s="7" t="s">
        <v>9</v>
      </c>
    </row>
    <row r="205" spans="1:7" x14ac:dyDescent="0.45">
      <c r="A205" t="s">
        <v>300</v>
      </c>
      <c r="B205" s="2" t="s">
        <v>64</v>
      </c>
      <c r="C205" s="5">
        <f>6190/(60*60*24)</f>
        <v>7.1643518518518523E-2</v>
      </c>
      <c r="D205" s="4">
        <f>1424/(60*60*24)</f>
        <v>1.6481481481481482E-2</v>
      </c>
      <c r="E205" s="3">
        <f>5277/(60*60*24)</f>
        <v>6.1076388888888888E-2</v>
      </c>
      <c r="F205" s="6">
        <f>18007/(60*60*24)</f>
        <v>0.20841435185185186</v>
      </c>
      <c r="G205" s="7" t="s">
        <v>9</v>
      </c>
    </row>
    <row r="206" spans="1:7" x14ac:dyDescent="0.45">
      <c r="A206" t="s">
        <v>301</v>
      </c>
      <c r="B206" s="2" t="s">
        <v>66</v>
      </c>
      <c r="C206" s="3">
        <f>4634/(60*60*24)</f>
        <v>5.3634259259259257E-2</v>
      </c>
      <c r="D206" s="4">
        <f>1330/(60*60*24)</f>
        <v>1.5393518518518518E-2</v>
      </c>
      <c r="E206" s="5">
        <f>5053/(60*60*24)</f>
        <v>5.8483796296296298E-2</v>
      </c>
      <c r="F206" s="6">
        <f>17410/(60*60*24)</f>
        <v>0.20150462962962962</v>
      </c>
      <c r="G206" s="7" t="s">
        <v>9</v>
      </c>
    </row>
    <row r="207" spans="1:7" x14ac:dyDescent="0.45">
      <c r="A207" t="s">
        <v>302</v>
      </c>
      <c r="B207" s="2" t="s">
        <v>68</v>
      </c>
      <c r="C207" s="3">
        <f>4356/(60*60*24)</f>
        <v>5.0416666666666665E-2</v>
      </c>
      <c r="D207" s="4">
        <f>1377/(60*60*24)</f>
        <v>1.59375E-2</v>
      </c>
      <c r="E207" s="5">
        <f>4837/(60*60*24)</f>
        <v>5.5983796296296295E-2</v>
      </c>
      <c r="F207" s="6">
        <f>16674/(60*60*24)</f>
        <v>0.19298611111111111</v>
      </c>
      <c r="G207" s="7" t="s">
        <v>9</v>
      </c>
    </row>
    <row r="208" spans="1:7" x14ac:dyDescent="0.45">
      <c r="A208" t="s">
        <v>303</v>
      </c>
      <c r="B208" s="2" t="s">
        <v>70</v>
      </c>
      <c r="C208" s="3">
        <f>4151/(60*60*24)</f>
        <v>4.8043981481481479E-2</v>
      </c>
      <c r="D208" s="4">
        <f>1204/(60*60*24)</f>
        <v>1.3935185185185186E-2</v>
      </c>
      <c r="E208" s="5">
        <f>4614/(60*60*24)</f>
        <v>5.3402777777777778E-2</v>
      </c>
      <c r="F208" s="6">
        <f>15846/(60*60*24)</f>
        <v>0.18340277777777778</v>
      </c>
      <c r="G208" s="7" t="s">
        <v>9</v>
      </c>
    </row>
    <row r="209" spans="1:7" x14ac:dyDescent="0.45">
      <c r="A209" t="s">
        <v>304</v>
      </c>
      <c r="B209" s="2" t="s">
        <v>72</v>
      </c>
      <c r="C209" s="3">
        <f>4116/(60*60*24)</f>
        <v>4.763888888888889E-2</v>
      </c>
      <c r="D209" s="4">
        <f>1067/(60*60*24)</f>
        <v>1.2349537037037037E-2</v>
      </c>
      <c r="E209" s="5">
        <f>4346/(60*60*24)</f>
        <v>5.0300925925925923E-2</v>
      </c>
      <c r="F209" s="6">
        <f>15040/(60*60*24)</f>
        <v>0.17407407407407408</v>
      </c>
      <c r="G209" s="7" t="s">
        <v>9</v>
      </c>
    </row>
    <row r="210" spans="1:7" x14ac:dyDescent="0.45">
      <c r="A210" t="s">
        <v>305</v>
      </c>
      <c r="B210" s="2" t="s">
        <v>74</v>
      </c>
      <c r="C210" s="3">
        <f>4405/(60*60*24)</f>
        <v>5.0983796296296298E-2</v>
      </c>
      <c r="D210" s="4">
        <f>1505/(60*60*24)</f>
        <v>1.7418981481481483E-2</v>
      </c>
      <c r="E210" s="5">
        <f>4411/(60*60*24)</f>
        <v>5.1053240740740739E-2</v>
      </c>
      <c r="F210" s="6">
        <f>14559/(60*60*24)</f>
        <v>0.16850694444444445</v>
      </c>
      <c r="G210" s="7" t="s">
        <v>9</v>
      </c>
    </row>
    <row r="211" spans="1:7" x14ac:dyDescent="0.45">
      <c r="A211" t="s">
        <v>306</v>
      </c>
      <c r="B211" s="2" t="s">
        <v>76</v>
      </c>
      <c r="C211" s="8" t="s">
        <v>12</v>
      </c>
      <c r="D211" s="4">
        <f>1184/(60*60*24)</f>
        <v>1.3703703703703704E-2</v>
      </c>
      <c r="E211" s="3">
        <f>4233/(60*60*24)</f>
        <v>4.8993055555555554E-2</v>
      </c>
      <c r="F211" s="5">
        <f>14271/(60*60*24)</f>
        <v>0.16517361111111112</v>
      </c>
      <c r="G211" s="7" t="s">
        <v>9</v>
      </c>
    </row>
    <row r="212" spans="1:7" x14ac:dyDescent="0.45">
      <c r="A212" t="s">
        <v>307</v>
      </c>
      <c r="B212" s="2" t="s">
        <v>78</v>
      </c>
      <c r="C212" s="8" t="s">
        <v>12</v>
      </c>
      <c r="D212" s="4">
        <f>984/(60*60*24)</f>
        <v>1.1388888888888889E-2</v>
      </c>
      <c r="E212" s="3">
        <f>4084/(60*60*24)</f>
        <v>4.7268518518518515E-2</v>
      </c>
      <c r="F212" s="5">
        <f>13671/(60*60*24)</f>
        <v>0.15822916666666667</v>
      </c>
      <c r="G212" s="7" t="s">
        <v>9</v>
      </c>
    </row>
    <row r="213" spans="1:7" x14ac:dyDescent="0.45">
      <c r="A213" t="s">
        <v>308</v>
      </c>
      <c r="B213" s="2" t="s">
        <v>80</v>
      </c>
      <c r="C213" s="8" t="s">
        <v>12</v>
      </c>
      <c r="D213" s="4">
        <f>891/(60*60*24)</f>
        <v>1.03125E-2</v>
      </c>
      <c r="E213" s="3">
        <f>3762/(60*60*24)</f>
        <v>4.3541666666666666E-2</v>
      </c>
      <c r="F213" s="5">
        <f>13090/(60*60*24)</f>
        <v>0.15150462962962963</v>
      </c>
      <c r="G213" s="7" t="s">
        <v>9</v>
      </c>
    </row>
    <row r="214" spans="1:7" x14ac:dyDescent="0.45">
      <c r="A214" t="s">
        <v>309</v>
      </c>
      <c r="B214" s="2" t="s">
        <v>82</v>
      </c>
      <c r="C214" s="5">
        <f>3828/(60*60*24)</f>
        <v>4.4305555555555556E-2</v>
      </c>
      <c r="D214" s="4">
        <f>900/(60*60*24)</f>
        <v>1.0416666666666666E-2</v>
      </c>
      <c r="E214" s="3">
        <f>3660/(60*60*24)</f>
        <v>4.2361111111111113E-2</v>
      </c>
      <c r="F214" s="6">
        <f>12519/(60*60*24)</f>
        <v>0.14489583333333333</v>
      </c>
      <c r="G214" s="7" t="s">
        <v>9</v>
      </c>
    </row>
    <row r="215" spans="1:7" x14ac:dyDescent="0.45">
      <c r="A215" t="s">
        <v>310</v>
      </c>
      <c r="B215" s="2" t="s">
        <v>84</v>
      </c>
      <c r="C215" s="8" t="s">
        <v>12</v>
      </c>
      <c r="D215" s="4">
        <f>716/(60*60*24)</f>
        <v>8.2870370370370372E-3</v>
      </c>
      <c r="E215" s="3">
        <f>3645/(60*60*24)</f>
        <v>4.2187500000000003E-2</v>
      </c>
      <c r="F215" s="5">
        <f>12568/(60*60*24)</f>
        <v>0.14546296296296296</v>
      </c>
      <c r="G215" s="7" t="s">
        <v>9</v>
      </c>
    </row>
    <row r="216" spans="1:7" x14ac:dyDescent="0.45">
      <c r="A216" t="s">
        <v>311</v>
      </c>
      <c r="B216" s="2" t="s">
        <v>88</v>
      </c>
      <c r="C216" s="5">
        <f>3775/(60*60*24)</f>
        <v>4.3692129629629629E-2</v>
      </c>
      <c r="D216" s="4">
        <f>991/(60*60*24)</f>
        <v>1.1469907407407408E-2</v>
      </c>
      <c r="E216" s="3">
        <f>3768/(60*60*24)</f>
        <v>4.3611111111111114E-2</v>
      </c>
      <c r="F216" s="6">
        <f>12348/(60*60*24)</f>
        <v>0.14291666666666666</v>
      </c>
      <c r="G216" s="7" t="s">
        <v>9</v>
      </c>
    </row>
    <row r="217" spans="1:7" x14ac:dyDescent="0.45">
      <c r="A217" t="s">
        <v>312</v>
      </c>
      <c r="B217" s="2" t="s">
        <v>86</v>
      </c>
      <c r="C217" s="8" t="s">
        <v>12</v>
      </c>
      <c r="D217" s="4">
        <f>2093/(60*60*24)</f>
        <v>2.4224537037037037E-2</v>
      </c>
      <c r="E217" s="3">
        <f>3464/(60*60*24)</f>
        <v>4.0092592592592589E-2</v>
      </c>
      <c r="F217" s="5">
        <f>11878/(60*60*24)</f>
        <v>0.13747685185185185</v>
      </c>
      <c r="G217" s="7" t="s">
        <v>9</v>
      </c>
    </row>
    <row r="218" spans="1:7" x14ac:dyDescent="0.45">
      <c r="A218" t="s">
        <v>313</v>
      </c>
      <c r="B218" s="2" t="s">
        <v>90</v>
      </c>
      <c r="C218" s="8" t="s">
        <v>12</v>
      </c>
      <c r="D218" s="4">
        <f>1848/(60*60*24)</f>
        <v>2.1388888888888888E-2</v>
      </c>
      <c r="E218" s="3">
        <f>3508/(60*60*24)</f>
        <v>4.0601851851851854E-2</v>
      </c>
      <c r="F218" s="5">
        <f>11914/(60*60*24)</f>
        <v>0.13789351851851853</v>
      </c>
      <c r="G218" s="7" t="s">
        <v>9</v>
      </c>
    </row>
    <row r="219" spans="1:7" x14ac:dyDescent="0.45">
      <c r="A219" t="s">
        <v>314</v>
      </c>
      <c r="B219" s="2" t="s">
        <v>92</v>
      </c>
      <c r="C219" s="8" t="s">
        <v>12</v>
      </c>
      <c r="D219" s="4">
        <f>1125/(60*60*24)</f>
        <v>1.3020833333333334E-2</v>
      </c>
      <c r="E219" s="3">
        <f>3437/(60*60*24)</f>
        <v>3.9780092592592596E-2</v>
      </c>
      <c r="F219" s="5">
        <f>12031/(60*60*24)</f>
        <v>0.13924768518518518</v>
      </c>
      <c r="G219" s="7" t="s">
        <v>9</v>
      </c>
    </row>
    <row r="220" spans="1:7" x14ac:dyDescent="0.45">
      <c r="A220" t="s">
        <v>315</v>
      </c>
      <c r="B220" s="2" t="s">
        <v>96</v>
      </c>
      <c r="C220" s="5">
        <f>4988/(60*60*24)</f>
        <v>5.7731481481481481E-2</v>
      </c>
      <c r="D220" s="4">
        <f>1297/(60*60*24)</f>
        <v>1.5011574074074075E-2</v>
      </c>
      <c r="E220" s="3">
        <f>3517/(60*60*24)</f>
        <v>4.0706018518518516E-2</v>
      </c>
      <c r="F220" s="6">
        <f>11276/(60*60*24)</f>
        <v>0.13050925925925927</v>
      </c>
      <c r="G220" s="7" t="s">
        <v>9</v>
      </c>
    </row>
    <row r="221" spans="1:7" x14ac:dyDescent="0.45">
      <c r="A221" t="s">
        <v>316</v>
      </c>
      <c r="B221" s="2" t="s">
        <v>94</v>
      </c>
      <c r="C221" s="8" t="s">
        <v>12</v>
      </c>
      <c r="D221" s="4">
        <f>1432/(60*60*24)</f>
        <v>1.6574074074074074E-2</v>
      </c>
      <c r="E221" s="3">
        <f>3666/(60*60*24)</f>
        <v>4.2430555555555555E-2</v>
      </c>
      <c r="F221" s="5">
        <f>12519/(60*60*24)</f>
        <v>0.14489583333333333</v>
      </c>
      <c r="G221" s="7" t="s">
        <v>9</v>
      </c>
    </row>
    <row r="222" spans="1:7" x14ac:dyDescent="0.45">
      <c r="A222" t="s">
        <v>317</v>
      </c>
      <c r="B222" s="2" t="s">
        <v>98</v>
      </c>
      <c r="C222" s="5">
        <f>5020/(60*60*24)</f>
        <v>5.8101851851851849E-2</v>
      </c>
      <c r="D222" s="4">
        <f>1295/(60*60*24)</f>
        <v>1.4988425925925926E-2</v>
      </c>
      <c r="E222" s="3">
        <f>3473/(60*60*24)</f>
        <v>4.0196759259259258E-2</v>
      </c>
      <c r="F222" s="6">
        <f>11026/(60*60*24)</f>
        <v>0.12761574074074075</v>
      </c>
      <c r="G222" s="7" t="s">
        <v>9</v>
      </c>
    </row>
    <row r="223" spans="1:7" x14ac:dyDescent="0.45">
      <c r="A223" t="s">
        <v>318</v>
      </c>
      <c r="B223" s="2" t="s">
        <v>100</v>
      </c>
      <c r="C223" s="5">
        <f>5276/(60*60*24)</f>
        <v>6.1064814814814815E-2</v>
      </c>
      <c r="D223" s="4">
        <f>1388/(60*60*24)</f>
        <v>1.6064814814814816E-2</v>
      </c>
      <c r="E223" s="3">
        <f>3263/(60*60*24)</f>
        <v>3.7766203703703705E-2</v>
      </c>
      <c r="F223" s="6">
        <f>10057/(60*60*24)</f>
        <v>0.11640046296296297</v>
      </c>
      <c r="G223" s="7" t="s">
        <v>9</v>
      </c>
    </row>
    <row r="224" spans="1:7" x14ac:dyDescent="0.45">
      <c r="A224" t="s">
        <v>319</v>
      </c>
      <c r="B224" s="2" t="s">
        <v>102</v>
      </c>
      <c r="C224" s="5">
        <f>5587/(60*60*24)</f>
        <v>6.4664351851851848E-2</v>
      </c>
      <c r="D224" s="4">
        <f>1409/(60*60*24)</f>
        <v>1.6307870370370372E-2</v>
      </c>
      <c r="E224" s="3">
        <f>3948/(60*60*24)</f>
        <v>4.5694444444444447E-2</v>
      </c>
      <c r="F224" s="6">
        <f>14113/(60*60*24)</f>
        <v>0.1633449074074074</v>
      </c>
      <c r="G224" s="7" t="s">
        <v>9</v>
      </c>
    </row>
    <row r="225" spans="1:7" x14ac:dyDescent="0.45">
      <c r="A225" t="s">
        <v>320</v>
      </c>
      <c r="B225" s="2" t="s">
        <v>104</v>
      </c>
      <c r="C225" s="8" t="s">
        <v>12</v>
      </c>
      <c r="D225" s="4">
        <f>1397/(60*60*24)</f>
        <v>1.6168981481481482E-2</v>
      </c>
      <c r="E225" s="3">
        <f>3584/(60*60*24)</f>
        <v>4.148148148148148E-2</v>
      </c>
      <c r="F225" s="5">
        <f>10604/(60*60*24)</f>
        <v>0.12273148148148148</v>
      </c>
      <c r="G225" s="7" t="s">
        <v>9</v>
      </c>
    </row>
    <row r="226" spans="1:7" x14ac:dyDescent="0.45">
      <c r="A226" t="s">
        <v>321</v>
      </c>
      <c r="B226" s="2" t="s">
        <v>108</v>
      </c>
      <c r="C226" s="5">
        <f>5696/(60*60*24)</f>
        <v>6.5925925925925929E-2</v>
      </c>
      <c r="D226" s="4">
        <f>1505/(60*60*24)</f>
        <v>1.7418981481481483E-2</v>
      </c>
      <c r="E226" s="3">
        <f>3418/(60*60*24)</f>
        <v>3.9560185185185184E-2</v>
      </c>
      <c r="F226" s="6">
        <f>11248/(60*60*24)</f>
        <v>0.13018518518518518</v>
      </c>
      <c r="G226" s="7" t="s">
        <v>9</v>
      </c>
    </row>
    <row r="227" spans="1:7" x14ac:dyDescent="0.45">
      <c r="A227" t="s">
        <v>322</v>
      </c>
      <c r="B227" s="2" t="s">
        <v>106</v>
      </c>
      <c r="C227" s="8" t="s">
        <v>12</v>
      </c>
      <c r="D227" s="4">
        <f>1419/(60*60*24)</f>
        <v>1.6423611111111111E-2</v>
      </c>
      <c r="E227" s="3">
        <f>3077/(60*60*24)</f>
        <v>3.5613425925925923E-2</v>
      </c>
      <c r="F227" s="5">
        <f>11285/(60*60*24)</f>
        <v>0.13061342592592592</v>
      </c>
      <c r="G227" s="7" t="s">
        <v>9</v>
      </c>
    </row>
    <row r="228" spans="1:7" x14ac:dyDescent="0.45">
      <c r="A228" t="s">
        <v>323</v>
      </c>
      <c r="B228" s="2" t="s">
        <v>112</v>
      </c>
      <c r="C228" s="5">
        <f>5884/(60*60*24)</f>
        <v>6.8101851851851858E-2</v>
      </c>
      <c r="D228" s="4">
        <f>1499/(60*60*24)</f>
        <v>1.7349537037037038E-2</v>
      </c>
      <c r="E228" s="3">
        <f>3335/(60*60*24)</f>
        <v>3.8599537037037036E-2</v>
      </c>
      <c r="F228" s="6">
        <f>10586/(60*60*24)</f>
        <v>0.12252314814814814</v>
      </c>
      <c r="G228" s="7" t="s">
        <v>9</v>
      </c>
    </row>
    <row r="229" spans="1:7" x14ac:dyDescent="0.45">
      <c r="A229" t="s">
        <v>324</v>
      </c>
      <c r="B229" s="2" t="s">
        <v>110</v>
      </c>
      <c r="C229" s="8" t="s">
        <v>12</v>
      </c>
      <c r="D229" s="4">
        <f>1487/(60*60*24)</f>
        <v>1.7210648148148149E-2</v>
      </c>
      <c r="E229" s="3">
        <f>3360/(60*60*24)</f>
        <v>3.888888888888889E-2</v>
      </c>
      <c r="F229" s="5">
        <f>10856/(60*60*24)</f>
        <v>0.12564814814814815</v>
      </c>
      <c r="G229" s="7" t="s">
        <v>9</v>
      </c>
    </row>
    <row r="230" spans="1:7" x14ac:dyDescent="0.45">
      <c r="A230" t="s">
        <v>325</v>
      </c>
      <c r="B230" s="2" t="s">
        <v>114</v>
      </c>
      <c r="C230" s="5">
        <f>4628/(60*60*24)</f>
        <v>5.3564814814814815E-2</v>
      </c>
      <c r="D230" s="4">
        <f>1411/(60*60*24)</f>
        <v>1.6331018518518519E-2</v>
      </c>
      <c r="E230" s="3">
        <f>3450/(60*60*24)</f>
        <v>3.9930555555555552E-2</v>
      </c>
      <c r="F230" s="6">
        <f>11373/(60*60*24)</f>
        <v>0.13163194444444445</v>
      </c>
      <c r="G230" s="7" t="s">
        <v>9</v>
      </c>
    </row>
    <row r="231" spans="1:7" x14ac:dyDescent="0.45">
      <c r="A231" t="s">
        <v>326</v>
      </c>
      <c r="B231" s="2" t="s">
        <v>116</v>
      </c>
      <c r="C231" s="5">
        <f>4302/(60*60*24)</f>
        <v>4.9791666666666665E-2</v>
      </c>
      <c r="D231" s="4">
        <f>1435/(60*60*24)</f>
        <v>1.6608796296296295E-2</v>
      </c>
      <c r="E231" s="3">
        <f>3166/(60*60*24)</f>
        <v>3.664351851851852E-2</v>
      </c>
      <c r="F231" s="6">
        <f>10976/(60*60*24)</f>
        <v>0.12703703703703703</v>
      </c>
      <c r="G231" s="7" t="s">
        <v>9</v>
      </c>
    </row>
    <row r="232" spans="1:7" x14ac:dyDescent="0.45">
      <c r="A232" t="s">
        <v>327</v>
      </c>
      <c r="B232" s="2" t="s">
        <v>118</v>
      </c>
      <c r="C232" s="8" t="s">
        <v>12</v>
      </c>
      <c r="D232" s="4">
        <f>1515/(60*60*24)</f>
        <v>1.7534722222222222E-2</v>
      </c>
      <c r="E232" s="3">
        <f>3402/(60*60*24)</f>
        <v>3.9375E-2</v>
      </c>
      <c r="F232" s="5">
        <f>11662/(60*60*24)</f>
        <v>0.13497685185185185</v>
      </c>
      <c r="G232" s="7" t="s">
        <v>9</v>
      </c>
    </row>
    <row r="233" spans="1:7" x14ac:dyDescent="0.45">
      <c r="A233" t="s">
        <v>328</v>
      </c>
      <c r="B233" s="2" t="s">
        <v>120</v>
      </c>
      <c r="C233" s="8" t="s">
        <v>12</v>
      </c>
      <c r="D233" s="4">
        <f>1376/(60*60*24)</f>
        <v>1.5925925925925927E-2</v>
      </c>
      <c r="E233" s="3">
        <f>3777/(60*60*24)</f>
        <v>4.3715277777777777E-2</v>
      </c>
      <c r="F233" s="5">
        <f>12057/(60*60*24)</f>
        <v>0.13954861111111111</v>
      </c>
      <c r="G233" s="7" t="s">
        <v>9</v>
      </c>
    </row>
    <row r="234" spans="1:7" x14ac:dyDescent="0.45">
      <c r="A234" t="s">
        <v>329</v>
      </c>
      <c r="B234" s="2" t="s">
        <v>122</v>
      </c>
      <c r="C234" s="3">
        <f>4559/(60*60*24)</f>
        <v>5.2766203703703704E-2</v>
      </c>
      <c r="D234" s="4">
        <f>1507/(60*60*24)</f>
        <v>1.744212962962963E-2</v>
      </c>
      <c r="E234" s="5">
        <f>4573/(60*60*24)</f>
        <v>5.2928240740740741E-2</v>
      </c>
      <c r="F234" s="6">
        <f>13498/(60*60*24)</f>
        <v>0.15622685185185184</v>
      </c>
      <c r="G234" s="7" t="s">
        <v>9</v>
      </c>
    </row>
    <row r="235" spans="1:7" x14ac:dyDescent="0.45">
      <c r="A235" t="s">
        <v>330</v>
      </c>
      <c r="B235" s="2" t="s">
        <v>124</v>
      </c>
      <c r="C235" s="8" t="s">
        <v>12</v>
      </c>
      <c r="D235" s="4">
        <f>1402/(60*60*24)</f>
        <v>1.6226851851851853E-2</v>
      </c>
      <c r="E235" s="3">
        <f>3766/(60*60*24)</f>
        <v>4.358796296296296E-2</v>
      </c>
      <c r="F235" s="5">
        <f>12442/(60*60*24)</f>
        <v>0.14400462962962962</v>
      </c>
      <c r="G235" s="7" t="s">
        <v>9</v>
      </c>
    </row>
    <row r="236" spans="1:7" x14ac:dyDescent="0.45">
      <c r="A236" t="s">
        <v>331</v>
      </c>
      <c r="B236" s="2" t="s">
        <v>126</v>
      </c>
      <c r="C236" s="5">
        <f>4574/(60*60*24)</f>
        <v>5.2939814814814815E-2</v>
      </c>
      <c r="D236" s="4">
        <f>1672/(60*60*24)</f>
        <v>1.9351851851851853E-2</v>
      </c>
      <c r="E236" s="3">
        <f>4355/(60*60*24)</f>
        <v>5.0405092592592592E-2</v>
      </c>
      <c r="F236" s="6">
        <f>14211/(60*60*24)</f>
        <v>0.16447916666666668</v>
      </c>
      <c r="G236" s="7" t="s">
        <v>9</v>
      </c>
    </row>
    <row r="237" spans="1:7" x14ac:dyDescent="0.45">
      <c r="A237" t="s">
        <v>332</v>
      </c>
      <c r="B237" s="2" t="s">
        <v>128</v>
      </c>
      <c r="C237" s="5">
        <f>5155/(60*60*24)</f>
        <v>5.966435185185185E-2</v>
      </c>
      <c r="D237" s="4">
        <f>1613/(60*60*24)</f>
        <v>1.8668981481481481E-2</v>
      </c>
      <c r="E237" s="3">
        <f>4525/(60*60*24)</f>
        <v>5.2372685185185182E-2</v>
      </c>
      <c r="F237" s="6">
        <f>14625/(60*60*24)</f>
        <v>0.16927083333333334</v>
      </c>
      <c r="G237" s="7" t="s">
        <v>9</v>
      </c>
    </row>
    <row r="238" spans="1:7" x14ac:dyDescent="0.45">
      <c r="A238" t="s">
        <v>333</v>
      </c>
      <c r="B238" s="2" t="s">
        <v>130</v>
      </c>
      <c r="C238" s="8" t="s">
        <v>12</v>
      </c>
      <c r="D238" s="4">
        <f>1604/(60*60*24)</f>
        <v>1.8564814814814815E-2</v>
      </c>
      <c r="E238" s="3">
        <f>4855/(60*60*24)</f>
        <v>5.6192129629629627E-2</v>
      </c>
      <c r="F238" s="5">
        <f>15310/(60*60*24)</f>
        <v>0.17719907407407406</v>
      </c>
      <c r="G238" s="7" t="s">
        <v>9</v>
      </c>
    </row>
    <row r="239" spans="1:7" x14ac:dyDescent="0.45">
      <c r="A239" t="s">
        <v>334</v>
      </c>
      <c r="B239" s="2" t="s">
        <v>132</v>
      </c>
      <c r="C239" s="8" t="s">
        <v>12</v>
      </c>
      <c r="D239" s="4">
        <f>1671/(60*60*24)</f>
        <v>1.9340277777777779E-2</v>
      </c>
      <c r="E239" s="3">
        <f>4935/(60*60*24)</f>
        <v>5.7118055555555554E-2</v>
      </c>
      <c r="F239" s="5">
        <f>16437/(60*60*24)</f>
        <v>0.19024305555555557</v>
      </c>
      <c r="G239" s="7" t="s">
        <v>9</v>
      </c>
    </row>
    <row r="240" spans="1:7" x14ac:dyDescent="0.45">
      <c r="A240" t="s">
        <v>335</v>
      </c>
      <c r="B240" s="2" t="s">
        <v>136</v>
      </c>
      <c r="C240" s="3">
        <f>3522/(60*60*24)</f>
        <v>4.0763888888888891E-2</v>
      </c>
      <c r="D240" s="4">
        <f>1566/(60*60*24)</f>
        <v>1.8124999999999999E-2</v>
      </c>
      <c r="E240" s="5">
        <f>5052/(60*60*24)</f>
        <v>5.8472222222222224E-2</v>
      </c>
      <c r="F240" s="6">
        <f>17084/(60*60*24)</f>
        <v>0.19773148148148148</v>
      </c>
      <c r="G240" s="7" t="s">
        <v>9</v>
      </c>
    </row>
    <row r="241" spans="1:7" x14ac:dyDescent="0.45">
      <c r="A241" t="s">
        <v>336</v>
      </c>
      <c r="B241" s="2" t="s">
        <v>134</v>
      </c>
      <c r="C241" s="3">
        <f>3929/(60*60*24)</f>
        <v>4.5474537037037036E-2</v>
      </c>
      <c r="D241" s="4">
        <f>1613/(60*60*24)</f>
        <v>1.8668981481481481E-2</v>
      </c>
      <c r="E241" s="5">
        <f>5217/(60*60*24)</f>
        <v>6.0381944444444446E-2</v>
      </c>
      <c r="F241" s="6">
        <f>17573/(60*60*24)</f>
        <v>0.2033912037037037</v>
      </c>
      <c r="G241" s="7" t="s">
        <v>9</v>
      </c>
    </row>
    <row r="242" spans="1:7" x14ac:dyDescent="0.45">
      <c r="A242" t="s">
        <v>337</v>
      </c>
      <c r="B242" s="2" t="s">
        <v>138</v>
      </c>
      <c r="C242" s="3">
        <f>2542/(60*60*24)</f>
        <v>2.9421296296296296E-2</v>
      </c>
      <c r="D242" s="4">
        <f>1747/(60*60*24)</f>
        <v>2.0219907407407409E-2</v>
      </c>
      <c r="E242" s="5">
        <f>5397/(60*60*24)</f>
        <v>6.2465277777777779E-2</v>
      </c>
      <c r="F242" s="6">
        <f>19011/(60*60*24)</f>
        <v>0.22003472222222223</v>
      </c>
      <c r="G242" s="7" t="s">
        <v>9</v>
      </c>
    </row>
    <row r="243" spans="1:7" x14ac:dyDescent="0.45">
      <c r="A243" t="s">
        <v>338</v>
      </c>
      <c r="B243" s="2" t="s">
        <v>140</v>
      </c>
      <c r="C243" s="8" t="s">
        <v>12</v>
      </c>
      <c r="D243" s="4">
        <f>1779/(60*60*24)</f>
        <v>2.0590277777777777E-2</v>
      </c>
      <c r="E243" s="3">
        <f>5549/(60*60*24)</f>
        <v>6.4224537037037038E-2</v>
      </c>
      <c r="F243" s="5">
        <f>18296/(60*60*24)</f>
        <v>0.21175925925925926</v>
      </c>
      <c r="G243" s="7" t="s">
        <v>9</v>
      </c>
    </row>
    <row r="244" spans="1:7" x14ac:dyDescent="0.45">
      <c r="A244" t="s">
        <v>339</v>
      </c>
      <c r="B244" s="2" t="s">
        <v>142</v>
      </c>
      <c r="C244" s="5">
        <f>5932/(60*60*24)</f>
        <v>6.8657407407407403E-2</v>
      </c>
      <c r="D244" s="4">
        <f>1870/(60*60*24)</f>
        <v>2.1643518518518517E-2</v>
      </c>
      <c r="E244" s="3">
        <f>5663/(60*60*24)</f>
        <v>6.5543981481481481E-2</v>
      </c>
      <c r="F244" s="6">
        <f>19333/(60*60*24)</f>
        <v>0.22376157407407407</v>
      </c>
      <c r="G244" s="7" t="s">
        <v>9</v>
      </c>
    </row>
    <row r="245" spans="1:7" x14ac:dyDescent="0.45">
      <c r="A245" t="s">
        <v>340</v>
      </c>
      <c r="B245" s="2" t="s">
        <v>144</v>
      </c>
      <c r="C245" s="8" t="s">
        <v>12</v>
      </c>
      <c r="D245" s="4">
        <f>2015/(60*60*24)</f>
        <v>2.3321759259259261E-2</v>
      </c>
      <c r="E245" s="3">
        <f>5852/(60*60*24)</f>
        <v>6.7731481481481476E-2</v>
      </c>
      <c r="F245" s="5">
        <f>19480/(60*60*24)</f>
        <v>0.22546296296296298</v>
      </c>
      <c r="G245" s="7" t="s">
        <v>9</v>
      </c>
    </row>
    <row r="246" spans="1:7" x14ac:dyDescent="0.45">
      <c r="A246" t="s">
        <v>341</v>
      </c>
      <c r="B246" s="2" t="s">
        <v>146</v>
      </c>
      <c r="C246" s="3">
        <f>5419/(60*60*24)</f>
        <v>6.2719907407407405E-2</v>
      </c>
      <c r="D246" s="4">
        <f>1665/(60*60*24)</f>
        <v>1.9270833333333334E-2</v>
      </c>
      <c r="E246" s="5">
        <f>5914/(60*60*24)</f>
        <v>6.8449074074074079E-2</v>
      </c>
      <c r="F246" s="6">
        <f>20207/(60*60*24)</f>
        <v>0.2338773148148148</v>
      </c>
      <c r="G246" s="7" t="s">
        <v>9</v>
      </c>
    </row>
    <row r="247" spans="1:7" x14ac:dyDescent="0.45">
      <c r="A247" t="s">
        <v>342</v>
      </c>
      <c r="B247" s="2" t="s">
        <v>148</v>
      </c>
      <c r="C247" s="8" t="s">
        <v>12</v>
      </c>
      <c r="D247" s="4">
        <f>1730/(60*60*24)</f>
        <v>2.0023148148148148E-2</v>
      </c>
      <c r="E247" s="3">
        <f>6515/(60*60*24)</f>
        <v>7.5405092592592593E-2</v>
      </c>
      <c r="F247" s="5">
        <f>21682/(60*60*24)</f>
        <v>0.25094907407407407</v>
      </c>
      <c r="G247" s="7" t="s">
        <v>9</v>
      </c>
    </row>
    <row r="248" spans="1:7" x14ac:dyDescent="0.45">
      <c r="A248" t="s">
        <v>343</v>
      </c>
      <c r="B248" s="2" t="s">
        <v>150</v>
      </c>
      <c r="C248" s="3">
        <f>2698/(60*60*24)</f>
        <v>3.1226851851851853E-2</v>
      </c>
      <c r="D248" s="4">
        <f>1645/(60*60*24)</f>
        <v>1.9039351851851852E-2</v>
      </c>
      <c r="E248" s="5">
        <f>6426/(60*60*24)</f>
        <v>7.4374999999999997E-2</v>
      </c>
      <c r="F248" s="6">
        <f>21528/(60*60*24)</f>
        <v>0.24916666666666668</v>
      </c>
      <c r="G248" s="7" t="s">
        <v>9</v>
      </c>
    </row>
    <row r="249" spans="1:7" x14ac:dyDescent="0.45">
      <c r="A249" t="s">
        <v>344</v>
      </c>
      <c r="B249" s="2" t="s">
        <v>152</v>
      </c>
      <c r="C249" s="3">
        <f>3022/(60*60*24)</f>
        <v>3.4976851851851849E-2</v>
      </c>
      <c r="D249" s="4">
        <f>1633/(60*60*24)</f>
        <v>1.8900462962962963E-2</v>
      </c>
      <c r="E249" s="5">
        <f>6602/(60*60*24)</f>
        <v>7.6412037037037042E-2</v>
      </c>
      <c r="F249" s="6">
        <f>22143/(60*60*24)</f>
        <v>0.25628472222222221</v>
      </c>
      <c r="G249" s="7" t="s">
        <v>9</v>
      </c>
    </row>
    <row r="250" spans="1:7" x14ac:dyDescent="0.45">
      <c r="A250" t="s">
        <v>345</v>
      </c>
      <c r="B250" s="2" t="s">
        <v>154</v>
      </c>
      <c r="C250" s="3">
        <f>5870/(60*60*24)</f>
        <v>6.7939814814814814E-2</v>
      </c>
      <c r="D250" s="4">
        <f>1806/(60*60*24)</f>
        <v>2.0902777777777777E-2</v>
      </c>
      <c r="E250" s="5">
        <f>6932/(60*60*24)</f>
        <v>8.0231481481481487E-2</v>
      </c>
      <c r="F250" s="6">
        <f>23253/(60*60*24)</f>
        <v>0.26913194444444444</v>
      </c>
      <c r="G250" s="7" t="s">
        <v>9</v>
      </c>
    </row>
    <row r="251" spans="1:7" x14ac:dyDescent="0.45">
      <c r="A251" t="s">
        <v>346</v>
      </c>
      <c r="B251" s="2" t="s">
        <v>156</v>
      </c>
      <c r="C251" s="8" t="s">
        <v>12</v>
      </c>
      <c r="D251" s="4">
        <f>1689/(60*60*24)</f>
        <v>1.954861111111111E-2</v>
      </c>
      <c r="E251" s="3">
        <f>6943/(60*60*24)</f>
        <v>8.0358796296296303E-2</v>
      </c>
      <c r="F251" s="5">
        <f>23788/(60*60*24)</f>
        <v>0.27532407407407405</v>
      </c>
      <c r="G251" s="7" t="s">
        <v>9</v>
      </c>
    </row>
    <row r="252" spans="1:7" x14ac:dyDescent="0.45">
      <c r="A252" t="s">
        <v>347</v>
      </c>
      <c r="B252" s="2" t="s">
        <v>160</v>
      </c>
      <c r="C252" s="8" t="s">
        <v>12</v>
      </c>
      <c r="D252" s="4">
        <f>1815/(60*60*24)</f>
        <v>2.1006944444444446E-2</v>
      </c>
      <c r="E252" s="3">
        <f>7214/(60*60*24)</f>
        <v>8.3495370370370373E-2</v>
      </c>
      <c r="F252" s="5">
        <f>25671/(60*60*24)</f>
        <v>0.29711805555555554</v>
      </c>
      <c r="G252" s="7" t="s">
        <v>9</v>
      </c>
    </row>
    <row r="253" spans="1:7" x14ac:dyDescent="0.45">
      <c r="A253" t="s">
        <v>348</v>
      </c>
      <c r="B253" s="2" t="s">
        <v>158</v>
      </c>
      <c r="C253" s="8" t="s">
        <v>12</v>
      </c>
      <c r="D253" s="4">
        <f>1889/(60*60*24)</f>
        <v>2.1863425925925925E-2</v>
      </c>
      <c r="E253" s="3">
        <f>7431/(60*60*24)</f>
        <v>8.6006944444444441E-2</v>
      </c>
      <c r="F253" s="5">
        <f>26277/(60*60*24)</f>
        <v>0.30413194444444447</v>
      </c>
      <c r="G253" s="7" t="s">
        <v>9</v>
      </c>
    </row>
    <row r="254" spans="1:7" x14ac:dyDescent="0.45">
      <c r="A254" t="s">
        <v>349</v>
      </c>
      <c r="B254" s="2" t="s">
        <v>164</v>
      </c>
      <c r="C254" s="3">
        <f>6365/(60*60*24)</f>
        <v>7.3668981481481488E-2</v>
      </c>
      <c r="D254" s="4">
        <f>1875/(60*60*24)</f>
        <v>2.1701388888888888E-2</v>
      </c>
      <c r="E254" s="5">
        <f>8148/(60*60*24)</f>
        <v>9.4305555555555559E-2</v>
      </c>
      <c r="F254" s="6">
        <f>28225/(60*60*24)</f>
        <v>0.32667824074074076</v>
      </c>
      <c r="G254" s="7" t="s">
        <v>9</v>
      </c>
    </row>
    <row r="255" spans="1:7" x14ac:dyDescent="0.45">
      <c r="A255" t="s">
        <v>350</v>
      </c>
      <c r="B255" s="2" t="s">
        <v>162</v>
      </c>
      <c r="C255" s="8" t="s">
        <v>12</v>
      </c>
      <c r="D255" s="4">
        <f>1926/(60*60*24)</f>
        <v>2.2291666666666668E-2</v>
      </c>
      <c r="E255" s="3">
        <f>7829/(60*60*24)</f>
        <v>9.0613425925925931E-2</v>
      </c>
      <c r="F255" s="5">
        <f>27050/(60*60*24)</f>
        <v>0.31307870370370372</v>
      </c>
      <c r="G255" s="7" t="s">
        <v>9</v>
      </c>
    </row>
    <row r="256" spans="1:7" x14ac:dyDescent="0.45">
      <c r="A256" t="s">
        <v>351</v>
      </c>
      <c r="B256" s="2" t="s">
        <v>166</v>
      </c>
      <c r="C256" s="3">
        <f>3502/(60*60*24)</f>
        <v>4.0532407407407406E-2</v>
      </c>
      <c r="D256" s="4">
        <f>1756/(60*60*24)</f>
        <v>2.0324074074074074E-2</v>
      </c>
      <c r="E256" s="5">
        <f>8350/(60*60*24)</f>
        <v>9.6643518518518517E-2</v>
      </c>
      <c r="F256" s="6">
        <f>27860/(60*60*24)</f>
        <v>0.32245370370370369</v>
      </c>
      <c r="G256" s="7" t="s">
        <v>9</v>
      </c>
    </row>
    <row r="257" spans="1:7" x14ac:dyDescent="0.45">
      <c r="A257" t="s">
        <v>352</v>
      </c>
      <c r="B257" s="2" t="s">
        <v>168</v>
      </c>
      <c r="C257" s="8" t="s">
        <v>12</v>
      </c>
      <c r="D257" s="4">
        <f>2010/(60*60*24)</f>
        <v>2.326388888888889E-2</v>
      </c>
      <c r="E257" s="3">
        <f>8666/(60*60*24)</f>
        <v>0.10030092592592593</v>
      </c>
      <c r="F257" s="5">
        <f>27482/(60*60*24)</f>
        <v>0.31807870370370372</v>
      </c>
      <c r="G257" s="7" t="s">
        <v>9</v>
      </c>
    </row>
    <row r="258" spans="1:7" x14ac:dyDescent="0.45">
      <c r="A258" t="s">
        <v>353</v>
      </c>
      <c r="B258" s="2" t="s">
        <v>170</v>
      </c>
      <c r="C258" s="3">
        <f>3141/(60*60*24)</f>
        <v>3.6354166666666667E-2</v>
      </c>
      <c r="D258" s="4">
        <f>1690/(60*60*24)</f>
        <v>1.9560185185185184E-2</v>
      </c>
      <c r="E258" s="5">
        <f>8494/(60*60*24)</f>
        <v>9.8310185185185181E-2</v>
      </c>
      <c r="F258" s="6">
        <f>29485/(60*60*24)</f>
        <v>0.34126157407407409</v>
      </c>
      <c r="G258" s="7" t="s">
        <v>9</v>
      </c>
    </row>
    <row r="259" spans="1:7" x14ac:dyDescent="0.45">
      <c r="A259" t="s">
        <v>354</v>
      </c>
      <c r="B259" s="2" t="s">
        <v>172</v>
      </c>
      <c r="C259" s="3">
        <f>3567/(60*60*24)</f>
        <v>4.1284722222222223E-2</v>
      </c>
      <c r="D259" s="4">
        <f>1732/(60*60*24)</f>
        <v>2.0046296296296295E-2</v>
      </c>
      <c r="E259" s="5">
        <f>8566/(60*60*24)</f>
        <v>9.914351851851852E-2</v>
      </c>
      <c r="F259" s="6">
        <f>29972/(60*60*24)</f>
        <v>0.34689814814814812</v>
      </c>
      <c r="G259" s="7" t="s">
        <v>9</v>
      </c>
    </row>
    <row r="260" spans="1:7" x14ac:dyDescent="0.45">
      <c r="A260" t="s">
        <v>355</v>
      </c>
      <c r="B260" s="2" t="s">
        <v>176</v>
      </c>
      <c r="C260" s="3">
        <f>5151/(60*60*24)</f>
        <v>5.9618055555555556E-2</v>
      </c>
      <c r="D260" s="4">
        <f>1785/(60*60*24)</f>
        <v>2.0659722222222222E-2</v>
      </c>
      <c r="E260" s="5">
        <f>8821/(60*60*24)</f>
        <v>0.10209490740740741</v>
      </c>
      <c r="F260" s="6">
        <f>30562/(60*60*24)</f>
        <v>0.35372685185185188</v>
      </c>
      <c r="G260" s="7" t="s">
        <v>9</v>
      </c>
    </row>
    <row r="261" spans="1:7" x14ac:dyDescent="0.45">
      <c r="A261" t="s">
        <v>356</v>
      </c>
      <c r="B261" s="2" t="s">
        <v>174</v>
      </c>
      <c r="C261" s="3">
        <f>5387/(60*60*24)</f>
        <v>6.2349537037037037E-2</v>
      </c>
      <c r="D261" s="4">
        <f>1868/(60*60*24)</f>
        <v>2.162037037037037E-2</v>
      </c>
      <c r="E261" s="5">
        <f>9020/(60*60*24)</f>
        <v>0.10439814814814814</v>
      </c>
      <c r="F261" s="6">
        <f>31219/(60*60*24)</f>
        <v>0.36133101851851851</v>
      </c>
      <c r="G261" s="7" t="s">
        <v>9</v>
      </c>
    </row>
    <row r="262" spans="1:7" x14ac:dyDescent="0.45">
      <c r="A262" t="s">
        <v>357</v>
      </c>
      <c r="B262" s="2" t="s">
        <v>180</v>
      </c>
      <c r="C262" s="3">
        <f>6005/(60*60*24)</f>
        <v>6.9502314814814808E-2</v>
      </c>
      <c r="D262" s="4">
        <f>2045/(60*60*24)</f>
        <v>2.3668981481481482E-2</v>
      </c>
      <c r="E262" s="5">
        <f>9202/(60*60*24)</f>
        <v>0.10650462962962963</v>
      </c>
      <c r="F262" s="6">
        <f>31981/(60*60*24)</f>
        <v>0.37015046296296295</v>
      </c>
      <c r="G262" s="7" t="s">
        <v>9</v>
      </c>
    </row>
    <row r="263" spans="1:7" x14ac:dyDescent="0.45">
      <c r="A263" t="s">
        <v>358</v>
      </c>
      <c r="B263" s="2" t="s">
        <v>178</v>
      </c>
      <c r="C263" s="3">
        <f>5474/(60*60*24)</f>
        <v>6.3356481481481486E-2</v>
      </c>
      <c r="D263" s="4">
        <f>2056/(60*60*24)</f>
        <v>2.3796296296296298E-2</v>
      </c>
      <c r="E263" s="5">
        <f>9296/(60*60*24)</f>
        <v>0.10759259259259259</v>
      </c>
      <c r="F263" s="6">
        <f>32721/(60*60*24)</f>
        <v>0.3787152777777778</v>
      </c>
      <c r="G263" s="7" t="s">
        <v>9</v>
      </c>
    </row>
    <row r="264" spans="1:7" x14ac:dyDescent="0.45">
      <c r="A264" t="s">
        <v>359</v>
      </c>
      <c r="B264" s="2" t="s">
        <v>182</v>
      </c>
      <c r="C264" s="3">
        <f>6175/(60*60*24)</f>
        <v>7.1469907407407413E-2</v>
      </c>
      <c r="D264" s="4">
        <f>2079/(60*60*24)</f>
        <v>2.4062500000000001E-2</v>
      </c>
      <c r="E264" s="5">
        <f>9470/(60*60*24)</f>
        <v>0.10960648148148149</v>
      </c>
      <c r="F264" s="6">
        <f>32841/(60*60*24)</f>
        <v>0.38010416666666669</v>
      </c>
      <c r="G264" s="7" t="s">
        <v>9</v>
      </c>
    </row>
    <row r="265" spans="1:7" x14ac:dyDescent="0.45">
      <c r="A265" t="s">
        <v>360</v>
      </c>
      <c r="B265" s="2" t="s">
        <v>184</v>
      </c>
      <c r="C265" s="3">
        <f>4218/(60*60*24)</f>
        <v>4.8819444444444443E-2</v>
      </c>
      <c r="D265" s="4">
        <f>2121/(60*60*24)</f>
        <v>2.4548611111111111E-2</v>
      </c>
      <c r="E265" s="5">
        <f>9526/(60*60*24)</f>
        <v>0.11025462962962963</v>
      </c>
      <c r="F265" s="6">
        <f>33163/(60*60*24)</f>
        <v>0.38383101851851853</v>
      </c>
      <c r="G265" s="7" t="s">
        <v>9</v>
      </c>
    </row>
    <row r="266" spans="1:7" x14ac:dyDescent="0.45">
      <c r="A266" t="s">
        <v>361</v>
      </c>
      <c r="B266" s="2" t="s">
        <v>8</v>
      </c>
      <c r="C266" s="8" t="s">
        <v>12</v>
      </c>
      <c r="D266" s="4">
        <f>1825/(60*60*24)</f>
        <v>2.1122685185185185E-2</v>
      </c>
      <c r="E266" s="3">
        <f>10244/(60*60*24)</f>
        <v>0.11856481481481482</v>
      </c>
      <c r="F266" s="5">
        <f>35576/(60*60*24)</f>
        <v>0.41175925925925927</v>
      </c>
      <c r="G266" s="7" t="s">
        <v>9</v>
      </c>
    </row>
    <row r="267" spans="1:7" x14ac:dyDescent="0.45">
      <c r="A267" t="s">
        <v>362</v>
      </c>
      <c r="B267" s="2" t="s">
        <v>11</v>
      </c>
      <c r="C267" s="8" t="s">
        <v>12</v>
      </c>
      <c r="D267" s="4">
        <f>1836/(60*60*24)</f>
        <v>2.1250000000000002E-2</v>
      </c>
      <c r="E267" s="3">
        <f>10248/(60*60*24)</f>
        <v>0.11861111111111111</v>
      </c>
      <c r="F267" s="5">
        <f>35563/(60*60*24)</f>
        <v>0.41160879629629632</v>
      </c>
      <c r="G267" s="7" t="s">
        <v>9</v>
      </c>
    </row>
    <row r="268" spans="1:7" x14ac:dyDescent="0.45">
      <c r="A268" t="s">
        <v>363</v>
      </c>
      <c r="B268" s="2" t="s">
        <v>16</v>
      </c>
      <c r="C268" s="3">
        <f>6946/(60*60*24)</f>
        <v>8.0393518518518517E-2</v>
      </c>
      <c r="D268" s="4">
        <f>1746/(60*60*24)</f>
        <v>2.0208333333333332E-2</v>
      </c>
      <c r="E268" s="5">
        <f>9794/(60*60*24)</f>
        <v>0.11335648148148147</v>
      </c>
      <c r="F268" s="6">
        <f>33615/(60*60*24)</f>
        <v>0.38906249999999998</v>
      </c>
      <c r="G268" s="7" t="s">
        <v>9</v>
      </c>
    </row>
    <row r="269" spans="1:7" x14ac:dyDescent="0.45">
      <c r="A269" t="s">
        <v>364</v>
      </c>
      <c r="B269" s="2" t="s">
        <v>14</v>
      </c>
      <c r="C269" s="8" t="s">
        <v>12</v>
      </c>
      <c r="D269" s="4">
        <f>1904/(60*60*24)</f>
        <v>2.2037037037037036E-2</v>
      </c>
      <c r="E269" s="3">
        <f>10141/(60*60*24)</f>
        <v>0.11737268518518519</v>
      </c>
      <c r="F269" s="5">
        <f>34649/(60*60*24)</f>
        <v>0.40103009259259259</v>
      </c>
      <c r="G269" s="7" t="s">
        <v>9</v>
      </c>
    </row>
    <row r="270" spans="1:7" x14ac:dyDescent="0.45">
      <c r="A270" t="s">
        <v>365</v>
      </c>
      <c r="B270" s="2" t="s">
        <v>18</v>
      </c>
      <c r="C270" s="8" t="s">
        <v>12</v>
      </c>
      <c r="D270" s="4">
        <f>1857/(60*60*24)</f>
        <v>2.1493055555555557E-2</v>
      </c>
      <c r="E270" s="3">
        <f>9957/(60*60*24)</f>
        <v>0.11524305555555556</v>
      </c>
      <c r="F270" s="5">
        <f>32626/(60*60*24)</f>
        <v>0.37761574074074072</v>
      </c>
      <c r="G270" s="7" t="s">
        <v>9</v>
      </c>
    </row>
    <row r="271" spans="1:7" x14ac:dyDescent="0.45">
      <c r="A271" t="s">
        <v>366</v>
      </c>
      <c r="B271" s="2" t="s">
        <v>20</v>
      </c>
      <c r="C271" s="8" t="s">
        <v>12</v>
      </c>
      <c r="D271" s="4">
        <f>1958/(60*60*24)</f>
        <v>2.2662037037037036E-2</v>
      </c>
      <c r="E271" s="3">
        <f>9547/(60*60*24)</f>
        <v>0.11049768518518518</v>
      </c>
      <c r="F271" s="5">
        <f>31742/(60*60*24)</f>
        <v>0.36738425925925927</v>
      </c>
      <c r="G271" s="7" t="s">
        <v>9</v>
      </c>
    </row>
    <row r="272" spans="1:7" x14ac:dyDescent="0.45">
      <c r="A272" t="s">
        <v>367</v>
      </c>
      <c r="B272" s="2" t="s">
        <v>22</v>
      </c>
      <c r="C272" s="3">
        <f>6628/(60*60*24)</f>
        <v>7.6712962962962969E-2</v>
      </c>
      <c r="D272" s="4">
        <f>1770/(60*60*24)</f>
        <v>2.0486111111111111E-2</v>
      </c>
      <c r="E272" s="5">
        <f>9149/(60*60*24)</f>
        <v>0.10589120370370371</v>
      </c>
      <c r="F272" s="6">
        <f>30756/(60*60*24)</f>
        <v>0.35597222222222225</v>
      </c>
      <c r="G272" s="7" t="s">
        <v>9</v>
      </c>
    </row>
    <row r="273" spans="1:7" x14ac:dyDescent="0.45">
      <c r="A273" t="s">
        <v>368</v>
      </c>
      <c r="B273" s="2" t="s">
        <v>24</v>
      </c>
      <c r="C273" s="3">
        <f>6288/(60*60*24)</f>
        <v>7.2777777777777775E-2</v>
      </c>
      <c r="D273" s="4">
        <f>1721/(60*60*24)</f>
        <v>1.9918981481481482E-2</v>
      </c>
      <c r="E273" s="5">
        <f>8933/(60*60*24)</f>
        <v>0.10339120370370371</v>
      </c>
      <c r="F273" s="6">
        <f>30041/(60*60*24)</f>
        <v>0.34769675925925925</v>
      </c>
      <c r="G273" s="7" t="s">
        <v>9</v>
      </c>
    </row>
    <row r="274" spans="1:7" x14ac:dyDescent="0.45">
      <c r="A274" t="s">
        <v>369</v>
      </c>
      <c r="B274" s="2" t="s">
        <v>26</v>
      </c>
      <c r="C274" s="3">
        <f>6473/(60*60*24)</f>
        <v>7.4918981481481475E-2</v>
      </c>
      <c r="D274" s="4">
        <f>1661/(60*60*24)</f>
        <v>1.9224537037037037E-2</v>
      </c>
      <c r="E274" s="5">
        <f>8406/(60*60*24)</f>
        <v>9.7291666666666665E-2</v>
      </c>
      <c r="F274" s="6">
        <f>29121/(60*60*24)</f>
        <v>0.33704861111111112</v>
      </c>
      <c r="G274" s="7" t="s">
        <v>9</v>
      </c>
    </row>
    <row r="275" spans="1:7" x14ac:dyDescent="0.45">
      <c r="A275" t="s">
        <v>370</v>
      </c>
      <c r="B275" s="2" t="s">
        <v>28</v>
      </c>
      <c r="C275" s="3">
        <f>6170/(60*60*24)</f>
        <v>7.1412037037037038E-2</v>
      </c>
      <c r="D275" s="4">
        <f>1738/(60*60*24)</f>
        <v>2.011574074074074E-2</v>
      </c>
      <c r="E275" s="5">
        <f>8365/(60*60*24)</f>
        <v>9.6817129629629628E-2</v>
      </c>
      <c r="F275" s="6">
        <f>28878/(60*60*24)</f>
        <v>0.33423611111111112</v>
      </c>
      <c r="G275" s="7" t="s">
        <v>9</v>
      </c>
    </row>
    <row r="276" spans="1:7" x14ac:dyDescent="0.45">
      <c r="A276" t="s">
        <v>371</v>
      </c>
      <c r="B276" s="2" t="s">
        <v>30</v>
      </c>
      <c r="C276" s="3">
        <f>6704/(60*60*24)</f>
        <v>7.7592592592592588E-2</v>
      </c>
      <c r="D276" s="4">
        <f>1653/(60*60*24)</f>
        <v>1.9131944444444444E-2</v>
      </c>
      <c r="E276" s="5">
        <f>8090/(60*60*24)</f>
        <v>9.3634259259259264E-2</v>
      </c>
      <c r="F276" s="6">
        <f>28200/(60*60*24)</f>
        <v>0.3263888888888889</v>
      </c>
      <c r="G276" s="7" t="s">
        <v>9</v>
      </c>
    </row>
    <row r="277" spans="1:7" x14ac:dyDescent="0.45">
      <c r="A277" t="s">
        <v>372</v>
      </c>
      <c r="B277" s="2" t="s">
        <v>32</v>
      </c>
      <c r="C277" s="3">
        <f>6206/(60*60*24)</f>
        <v>7.18287037037037E-2</v>
      </c>
      <c r="D277" s="4">
        <f>1590/(60*60*24)</f>
        <v>1.8402777777777778E-2</v>
      </c>
      <c r="E277" s="5">
        <f>8011/(60*60*24)</f>
        <v>9.2719907407407404E-2</v>
      </c>
      <c r="F277" s="6">
        <f>27276/(60*60*24)</f>
        <v>0.31569444444444444</v>
      </c>
      <c r="G277" s="7" t="s">
        <v>9</v>
      </c>
    </row>
    <row r="278" spans="1:7" x14ac:dyDescent="0.45">
      <c r="A278" t="s">
        <v>373</v>
      </c>
      <c r="B278" s="2" t="s">
        <v>36</v>
      </c>
      <c r="C278" s="3">
        <f>6424/(60*60*24)</f>
        <v>7.435185185185185E-2</v>
      </c>
      <c r="D278" s="4">
        <f>1647/(60*60*24)</f>
        <v>1.90625E-2</v>
      </c>
      <c r="E278" s="5">
        <f>7800/(60*60*24)</f>
        <v>9.0277777777777776E-2</v>
      </c>
      <c r="F278" s="6">
        <f>26968/(60*60*24)</f>
        <v>0.31212962962962965</v>
      </c>
      <c r="G278" s="7" t="s">
        <v>9</v>
      </c>
    </row>
    <row r="279" spans="1:7" x14ac:dyDescent="0.45">
      <c r="A279" t="s">
        <v>374</v>
      </c>
      <c r="B279" s="2" t="s">
        <v>34</v>
      </c>
      <c r="C279" s="8" t="s">
        <v>12</v>
      </c>
      <c r="D279" s="4">
        <f>1634/(60*60*24)</f>
        <v>1.8912037037037036E-2</v>
      </c>
      <c r="E279" s="3">
        <f>7713/(60*60*24)</f>
        <v>8.9270833333333327E-2</v>
      </c>
      <c r="F279" s="5">
        <f>26167/(60*60*24)</f>
        <v>0.30285879629629631</v>
      </c>
      <c r="G279" s="7" t="s">
        <v>9</v>
      </c>
    </row>
    <row r="280" spans="1:7" x14ac:dyDescent="0.45">
      <c r="A280" t="s">
        <v>375</v>
      </c>
      <c r="B280" s="2" t="s">
        <v>40</v>
      </c>
      <c r="C280" s="3">
        <f>5079/(60*60*24)</f>
        <v>5.8784722222222224E-2</v>
      </c>
      <c r="D280" s="4">
        <f>1820/(60*60*24)</f>
        <v>2.1064814814814814E-2</v>
      </c>
      <c r="E280" s="5">
        <f>7254/(60*60*24)</f>
        <v>8.3958333333333329E-2</v>
      </c>
      <c r="F280" s="6">
        <f>24136/(60*60*24)</f>
        <v>0.27935185185185185</v>
      </c>
      <c r="G280" s="7" t="s">
        <v>9</v>
      </c>
    </row>
    <row r="281" spans="1:7" x14ac:dyDescent="0.45">
      <c r="A281" t="s">
        <v>376</v>
      </c>
      <c r="B281" s="2" t="s">
        <v>38</v>
      </c>
      <c r="C281" s="8" t="s">
        <v>12</v>
      </c>
      <c r="D281" s="4">
        <f>1772/(60*60*24)</f>
        <v>2.0509259259259258E-2</v>
      </c>
      <c r="E281" s="3">
        <f>7397/(60*60*24)</f>
        <v>8.5613425925925926E-2</v>
      </c>
      <c r="F281" s="5">
        <f>24999/(60*60*24)</f>
        <v>0.28934027777777777</v>
      </c>
      <c r="G281" s="7" t="s">
        <v>9</v>
      </c>
    </row>
    <row r="282" spans="1:7" x14ac:dyDescent="0.45">
      <c r="A282" t="s">
        <v>377</v>
      </c>
      <c r="B282" s="2" t="s">
        <v>44</v>
      </c>
      <c r="C282" s="3">
        <f>4792/(60*60*24)</f>
        <v>5.5462962962962964E-2</v>
      </c>
      <c r="D282" s="4">
        <f>1993/(60*60*24)</f>
        <v>2.3067129629629628E-2</v>
      </c>
      <c r="E282" s="5">
        <f>7038/(60*60*24)</f>
        <v>8.1458333333333327E-2</v>
      </c>
      <c r="F282" s="6">
        <f>23577/(60*60*24)</f>
        <v>0.27288194444444447</v>
      </c>
      <c r="G282" s="7" t="s">
        <v>9</v>
      </c>
    </row>
    <row r="283" spans="1:7" x14ac:dyDescent="0.45">
      <c r="A283" t="s">
        <v>378</v>
      </c>
      <c r="B283" s="2" t="s">
        <v>42</v>
      </c>
      <c r="C283" s="3">
        <f>4939/(60*60*24)</f>
        <v>5.7164351851851855E-2</v>
      </c>
      <c r="D283" s="4">
        <f>1774/(60*60*24)</f>
        <v>2.0532407407407409E-2</v>
      </c>
      <c r="E283" s="5">
        <f>6857/(60*60*24)</f>
        <v>7.9363425925925921E-2</v>
      </c>
      <c r="F283" s="6">
        <f>22868/(60*60*24)</f>
        <v>0.26467592592592593</v>
      </c>
      <c r="G283" s="7" t="s">
        <v>9</v>
      </c>
    </row>
    <row r="284" spans="1:7" x14ac:dyDescent="0.45">
      <c r="A284" t="s">
        <v>379</v>
      </c>
      <c r="B284" s="2" t="s">
        <v>46</v>
      </c>
      <c r="C284" s="3">
        <f>4606/(60*60*24)</f>
        <v>5.3310185185185183E-2</v>
      </c>
      <c r="D284" s="4">
        <f>1774/(60*60*24)</f>
        <v>2.0532407407407409E-2</v>
      </c>
      <c r="E284" s="5">
        <f>6685/(60*60*24)</f>
        <v>7.7372685185185183E-2</v>
      </c>
      <c r="F284" s="6">
        <f>22778/(60*60*24)</f>
        <v>0.26363425925925926</v>
      </c>
      <c r="G284" s="7" t="s">
        <v>9</v>
      </c>
    </row>
    <row r="285" spans="1:7" x14ac:dyDescent="0.45">
      <c r="A285" t="s">
        <v>380</v>
      </c>
      <c r="B285" s="2" t="s">
        <v>48</v>
      </c>
      <c r="C285" s="3">
        <f>4954/(60*60*24)</f>
        <v>5.7337962962962966E-2</v>
      </c>
      <c r="D285" s="4">
        <f>1629/(60*60*24)</f>
        <v>1.8854166666666668E-2</v>
      </c>
      <c r="E285" s="5">
        <f>6614/(60*60*24)</f>
        <v>7.6550925925925925E-2</v>
      </c>
      <c r="F285" s="6">
        <f>21786/(60*60*24)</f>
        <v>0.25215277777777778</v>
      </c>
      <c r="G285" s="7" t="s">
        <v>9</v>
      </c>
    </row>
    <row r="286" spans="1:7" x14ac:dyDescent="0.45">
      <c r="A286" t="s">
        <v>381</v>
      </c>
      <c r="B286" s="2" t="s">
        <v>50</v>
      </c>
      <c r="C286" s="3">
        <f>4995/(60*60*24)</f>
        <v>5.7812500000000003E-2</v>
      </c>
      <c r="D286" s="4">
        <f>1504/(60*60*24)</f>
        <v>1.7407407407407406E-2</v>
      </c>
      <c r="E286" s="5">
        <f>6463/(60*60*24)</f>
        <v>7.480324074074074E-2</v>
      </c>
      <c r="F286" s="6">
        <f>21274/(60*60*24)</f>
        <v>0.24622685185185186</v>
      </c>
      <c r="G286" s="7" t="s">
        <v>9</v>
      </c>
    </row>
    <row r="287" spans="1:7" x14ac:dyDescent="0.45">
      <c r="A287" t="s">
        <v>382</v>
      </c>
      <c r="B287" s="2" t="s">
        <v>52</v>
      </c>
      <c r="C287" s="3">
        <f>4992/(60*60*24)</f>
        <v>5.7777777777777775E-2</v>
      </c>
      <c r="D287" s="4">
        <f>1448/(60*60*24)</f>
        <v>1.6759259259259258E-2</v>
      </c>
      <c r="E287" s="5">
        <f>6305/(60*60*24)</f>
        <v>7.2974537037037032E-2</v>
      </c>
      <c r="F287" s="6">
        <f>20877/(60*60*24)</f>
        <v>0.24163194444444444</v>
      </c>
      <c r="G287" s="7" t="s">
        <v>9</v>
      </c>
    </row>
    <row r="288" spans="1:7" x14ac:dyDescent="0.45">
      <c r="A288" t="s">
        <v>383</v>
      </c>
      <c r="B288" s="2" t="s">
        <v>54</v>
      </c>
      <c r="C288" s="5">
        <f>6830/(60*60*24)</f>
        <v>7.9050925925925927E-2</v>
      </c>
      <c r="D288" s="4">
        <f>1496/(60*60*24)</f>
        <v>1.7314814814814814E-2</v>
      </c>
      <c r="E288" s="3">
        <f>6574/(60*60*24)</f>
        <v>7.6087962962962968E-2</v>
      </c>
      <c r="F288" s="6">
        <f>20014/(60*60*24)</f>
        <v>0.23164351851851853</v>
      </c>
      <c r="G288" s="7" t="s">
        <v>9</v>
      </c>
    </row>
    <row r="289" spans="1:7" x14ac:dyDescent="0.45">
      <c r="A289" t="s">
        <v>384</v>
      </c>
      <c r="B289" s="2" t="s">
        <v>56</v>
      </c>
      <c r="C289" s="8" t="s">
        <v>12</v>
      </c>
      <c r="D289" s="4">
        <f>1582/(60*60*24)</f>
        <v>1.8310185185185186E-2</v>
      </c>
      <c r="E289" s="3">
        <f>5980/(60*60*24)</f>
        <v>6.9212962962962962E-2</v>
      </c>
      <c r="F289" s="5">
        <f>20295/(60*60*24)</f>
        <v>0.23489583333333333</v>
      </c>
      <c r="G289" s="7" t="s">
        <v>9</v>
      </c>
    </row>
    <row r="290" spans="1:7" x14ac:dyDescent="0.45">
      <c r="A290" t="s">
        <v>385</v>
      </c>
      <c r="B290" s="2" t="s">
        <v>58</v>
      </c>
      <c r="C290" s="8" t="s">
        <v>12</v>
      </c>
      <c r="D290" s="4">
        <f>2026/(60*60*24)</f>
        <v>2.3449074074074074E-2</v>
      </c>
      <c r="E290" s="3">
        <f>6113/(60*60*24)</f>
        <v>7.075231481481481E-2</v>
      </c>
      <c r="F290" s="5">
        <f>19413/(60*60*24)</f>
        <v>0.22468750000000001</v>
      </c>
      <c r="G290" s="7" t="s">
        <v>9</v>
      </c>
    </row>
    <row r="291" spans="1:7" x14ac:dyDescent="0.45">
      <c r="A291" t="s">
        <v>386</v>
      </c>
      <c r="B291" s="2" t="s">
        <v>60</v>
      </c>
      <c r="C291" s="8" t="s">
        <v>12</v>
      </c>
      <c r="D291" s="4">
        <f>2197/(60*60*24)</f>
        <v>2.5428240740740741E-2</v>
      </c>
      <c r="E291" s="3">
        <f>5749/(60*60*24)</f>
        <v>6.653935185185185E-2</v>
      </c>
      <c r="F291" s="5">
        <f>18711/(60*60*24)</f>
        <v>0.21656249999999999</v>
      </c>
      <c r="G291" s="7" t="s">
        <v>9</v>
      </c>
    </row>
    <row r="292" spans="1:7" x14ac:dyDescent="0.45">
      <c r="A292" t="s">
        <v>387</v>
      </c>
      <c r="B292" s="2" t="s">
        <v>62</v>
      </c>
      <c r="C292" s="5">
        <f>6392/(60*60*24)</f>
        <v>7.3981481481481481E-2</v>
      </c>
      <c r="D292" s="4">
        <f>1310/(60*60*24)</f>
        <v>1.5162037037037036E-2</v>
      </c>
      <c r="E292" s="3">
        <f>5527/(60*60*24)</f>
        <v>6.3969907407407406E-2</v>
      </c>
      <c r="F292" s="6">
        <f>17509/(60*60*24)</f>
        <v>0.20265046296296296</v>
      </c>
      <c r="G292" s="7" t="s">
        <v>9</v>
      </c>
    </row>
    <row r="293" spans="1:7" x14ac:dyDescent="0.45">
      <c r="A293" t="s">
        <v>388</v>
      </c>
      <c r="B293" s="2" t="s">
        <v>64</v>
      </c>
      <c r="C293" s="5">
        <f>5347/(60*60*24)</f>
        <v>6.1886574074074073E-2</v>
      </c>
      <c r="D293" s="4">
        <f>1371/(60*60*24)</f>
        <v>1.5868055555555555E-2</v>
      </c>
      <c r="E293" s="3">
        <f>5291/(60*60*24)</f>
        <v>6.1238425925925925E-2</v>
      </c>
      <c r="F293" s="6">
        <f>17369/(60*60*24)</f>
        <v>0.20103009259259258</v>
      </c>
      <c r="G293" s="7" t="s">
        <v>9</v>
      </c>
    </row>
    <row r="294" spans="1:7" x14ac:dyDescent="0.45">
      <c r="A294" t="s">
        <v>389</v>
      </c>
      <c r="B294" s="2" t="s">
        <v>66</v>
      </c>
      <c r="C294" s="3">
        <f>4493/(60*60*24)</f>
        <v>5.2002314814814814E-2</v>
      </c>
      <c r="D294" s="4">
        <f>1258/(60*60*24)</f>
        <v>1.4560185185185185E-2</v>
      </c>
      <c r="E294" s="5">
        <f>5245/(60*60*24)</f>
        <v>6.070601851851852E-2</v>
      </c>
      <c r="F294" s="6">
        <f>17028/(60*60*24)</f>
        <v>0.19708333333333333</v>
      </c>
      <c r="G294" s="7" t="s">
        <v>9</v>
      </c>
    </row>
    <row r="295" spans="1:7" x14ac:dyDescent="0.45">
      <c r="A295" t="s">
        <v>390</v>
      </c>
      <c r="B295" s="2" t="s">
        <v>68</v>
      </c>
      <c r="C295" s="5">
        <f>5715/(60*60*24)</f>
        <v>6.6145833333333334E-2</v>
      </c>
      <c r="D295" s="4">
        <f>1429/(60*60*24)</f>
        <v>1.653935185185185E-2</v>
      </c>
      <c r="E295" s="3">
        <f>4866/(60*60*24)</f>
        <v>5.6319444444444443E-2</v>
      </c>
      <c r="F295" s="6">
        <f>16218/(60*60*24)</f>
        <v>0.18770833333333334</v>
      </c>
      <c r="G295" s="7" t="s">
        <v>9</v>
      </c>
    </row>
    <row r="296" spans="1:7" x14ac:dyDescent="0.45">
      <c r="A296" t="s">
        <v>391</v>
      </c>
      <c r="B296" s="2" t="s">
        <v>70</v>
      </c>
      <c r="C296" s="3">
        <f>4212/(60*60*24)</f>
        <v>4.8750000000000002E-2</v>
      </c>
      <c r="D296" s="4">
        <f>1202/(60*60*24)</f>
        <v>1.3912037037037037E-2</v>
      </c>
      <c r="E296" s="5">
        <f>4560/(60*60*24)</f>
        <v>5.2777777777777778E-2</v>
      </c>
      <c r="F296" s="6">
        <f>15748/(60*60*24)</f>
        <v>0.18226851851851852</v>
      </c>
      <c r="G296" s="7" t="s">
        <v>9</v>
      </c>
    </row>
    <row r="297" spans="1:7" x14ac:dyDescent="0.45">
      <c r="A297" t="s">
        <v>392</v>
      </c>
      <c r="B297" s="2" t="s">
        <v>72</v>
      </c>
      <c r="C297" s="3">
        <f>4130/(60*60*24)</f>
        <v>4.7800925925925927E-2</v>
      </c>
      <c r="D297" s="4">
        <f>1173/(60*60*24)</f>
        <v>1.357638888888889E-2</v>
      </c>
      <c r="E297" s="5">
        <f>4376/(60*60*24)</f>
        <v>5.064814814814815E-2</v>
      </c>
      <c r="F297" s="6">
        <f>15051/(60*60*24)</f>
        <v>0.17420138888888889</v>
      </c>
      <c r="G297" s="7" t="s">
        <v>9</v>
      </c>
    </row>
    <row r="298" spans="1:7" x14ac:dyDescent="0.45">
      <c r="A298" t="s">
        <v>393</v>
      </c>
      <c r="B298" s="2" t="s">
        <v>74</v>
      </c>
      <c r="C298" s="8" t="s">
        <v>12</v>
      </c>
      <c r="D298" s="4">
        <f>1335/(60*60*24)</f>
        <v>1.545138888888889E-2</v>
      </c>
      <c r="E298" s="3">
        <f>4068/(60*60*24)</f>
        <v>4.7083333333333331E-2</v>
      </c>
      <c r="F298" s="5">
        <f>14009/(60*60*24)</f>
        <v>0.16214120370370369</v>
      </c>
      <c r="G298" s="7" t="s">
        <v>9</v>
      </c>
    </row>
    <row r="299" spans="1:7" x14ac:dyDescent="0.45">
      <c r="A299" t="s">
        <v>394</v>
      </c>
      <c r="B299" s="2" t="s">
        <v>76</v>
      </c>
      <c r="C299" s="8" t="s">
        <v>12</v>
      </c>
      <c r="D299" s="4">
        <f>1267/(60*60*24)</f>
        <v>1.4664351851851852E-2</v>
      </c>
      <c r="E299" s="3">
        <f>3864/(60*60*24)</f>
        <v>4.4722222222222219E-2</v>
      </c>
      <c r="F299" s="5">
        <f>13281/(60*60*24)</f>
        <v>0.15371527777777777</v>
      </c>
      <c r="G299" s="7" t="s">
        <v>9</v>
      </c>
    </row>
    <row r="300" spans="1:7" x14ac:dyDescent="0.45">
      <c r="A300" t="s">
        <v>395</v>
      </c>
      <c r="B300" s="2" t="s">
        <v>78</v>
      </c>
      <c r="C300" s="8" t="s">
        <v>12</v>
      </c>
      <c r="D300" s="4">
        <f>1268/(60*60*24)</f>
        <v>1.4675925925925926E-2</v>
      </c>
      <c r="E300" s="3">
        <f>3665/(60*60*24)</f>
        <v>4.2418981481481481E-2</v>
      </c>
      <c r="F300" s="5">
        <f>12919/(60*60*24)</f>
        <v>0.14952546296296296</v>
      </c>
      <c r="G300" s="7" t="s">
        <v>9</v>
      </c>
    </row>
    <row r="301" spans="1:7" x14ac:dyDescent="0.45">
      <c r="A301" t="s">
        <v>396</v>
      </c>
      <c r="B301" s="2" t="s">
        <v>80</v>
      </c>
      <c r="C301" s="8" t="s">
        <v>12</v>
      </c>
      <c r="D301" s="4">
        <f>845/(60*60*24)</f>
        <v>9.780092592592592E-3</v>
      </c>
      <c r="E301" s="3">
        <f>3590/(60*60*24)</f>
        <v>4.1550925925925929E-2</v>
      </c>
      <c r="F301" s="5">
        <f>12568/(60*60*24)</f>
        <v>0.14546296296296296</v>
      </c>
      <c r="G301" s="7" t="s">
        <v>9</v>
      </c>
    </row>
    <row r="302" spans="1:7" x14ac:dyDescent="0.45">
      <c r="A302" t="s">
        <v>397</v>
      </c>
      <c r="B302" s="2" t="s">
        <v>84</v>
      </c>
      <c r="C302" s="5">
        <f>3510/(60*60*24)</f>
        <v>4.0625000000000001E-2</v>
      </c>
      <c r="D302" s="4">
        <f>704/(60*60*24)</f>
        <v>8.1481481481481474E-3</v>
      </c>
      <c r="E302" s="3">
        <f>3424/(60*60*24)</f>
        <v>3.9629629629629633E-2</v>
      </c>
      <c r="F302" s="6">
        <f>11945/(60*60*24)</f>
        <v>0.13825231481481481</v>
      </c>
      <c r="G302" s="7" t="s">
        <v>9</v>
      </c>
    </row>
    <row r="303" spans="1:7" x14ac:dyDescent="0.45">
      <c r="A303" t="s">
        <v>398</v>
      </c>
      <c r="B303" s="2" t="s">
        <v>82</v>
      </c>
      <c r="C303" s="3">
        <f>3318/(60*60*24)</f>
        <v>3.8402777777777779E-2</v>
      </c>
      <c r="D303" s="4">
        <f>844/(60*60*24)</f>
        <v>9.7685185185185184E-3</v>
      </c>
      <c r="E303" s="5">
        <f>3464/(60*60*24)</f>
        <v>4.0092592592592589E-2</v>
      </c>
      <c r="F303" s="6">
        <f>11896/(60*60*24)</f>
        <v>0.13768518518518519</v>
      </c>
      <c r="G303" s="7" t="s">
        <v>9</v>
      </c>
    </row>
    <row r="304" spans="1:7" x14ac:dyDescent="0.45">
      <c r="A304" t="s">
        <v>399</v>
      </c>
      <c r="B304" s="2" t="s">
        <v>88</v>
      </c>
      <c r="C304" s="5">
        <f>3573/(60*60*24)</f>
        <v>4.1354166666666664E-2</v>
      </c>
      <c r="D304" s="4">
        <f>919/(60*60*24)</f>
        <v>1.0636574074074074E-2</v>
      </c>
      <c r="E304" s="3">
        <f>3555/(60*60*24)</f>
        <v>4.1145833333333333E-2</v>
      </c>
      <c r="F304" s="6">
        <f>11686/(60*60*24)</f>
        <v>0.13525462962962964</v>
      </c>
      <c r="G304" s="7" t="s">
        <v>9</v>
      </c>
    </row>
    <row r="305" spans="1:7" x14ac:dyDescent="0.45">
      <c r="A305" t="s">
        <v>400</v>
      </c>
      <c r="B305" s="2" t="s">
        <v>86</v>
      </c>
      <c r="C305" s="8" t="s">
        <v>12</v>
      </c>
      <c r="D305" s="4">
        <f>1957/(60*60*24)</f>
        <v>2.2650462962962963E-2</v>
      </c>
      <c r="E305" s="3">
        <f>3326/(60*60*24)</f>
        <v>3.8495370370370367E-2</v>
      </c>
      <c r="F305" s="5">
        <f>11318/(60*60*24)</f>
        <v>0.13099537037037037</v>
      </c>
      <c r="G305" s="7" t="s">
        <v>9</v>
      </c>
    </row>
    <row r="306" spans="1:7" x14ac:dyDescent="0.45">
      <c r="A306" t="s">
        <v>401</v>
      </c>
      <c r="B306" s="2" t="s">
        <v>90</v>
      </c>
      <c r="C306" s="5">
        <f>4272/(60*60*24)</f>
        <v>4.9444444444444444E-2</v>
      </c>
      <c r="D306" s="4">
        <f>1961/(60*60*24)</f>
        <v>2.269675925925926E-2</v>
      </c>
      <c r="E306" s="3">
        <f>3199/(60*60*24)</f>
        <v>3.7025462962962961E-2</v>
      </c>
      <c r="F306" s="6">
        <f>11116/(60*60*24)</f>
        <v>0.12865740740740741</v>
      </c>
      <c r="G306" s="7" t="s">
        <v>9</v>
      </c>
    </row>
    <row r="307" spans="1:7" x14ac:dyDescent="0.45">
      <c r="A307" t="s">
        <v>402</v>
      </c>
      <c r="B307" s="2" t="s">
        <v>92</v>
      </c>
      <c r="C307" s="8" t="s">
        <v>12</v>
      </c>
      <c r="D307" s="4">
        <f>1442/(60*60*24)</f>
        <v>1.6689814814814814E-2</v>
      </c>
      <c r="E307" s="3">
        <f>3346/(60*60*24)</f>
        <v>3.8726851851851853E-2</v>
      </c>
      <c r="F307" s="5">
        <f>11643/(60*60*24)</f>
        <v>0.13475694444444444</v>
      </c>
      <c r="G307" s="7" t="s">
        <v>9</v>
      </c>
    </row>
    <row r="308" spans="1:7" x14ac:dyDescent="0.45">
      <c r="A308" t="s">
        <v>403</v>
      </c>
      <c r="B308" s="2" t="s">
        <v>94</v>
      </c>
      <c r="C308" s="5">
        <f>4927/(60*60*24)</f>
        <v>5.7025462962962965E-2</v>
      </c>
      <c r="D308" s="4">
        <f>1187/(60*60*24)</f>
        <v>1.3738425925925926E-2</v>
      </c>
      <c r="E308" s="3">
        <f>3454/(60*60*24)</f>
        <v>3.9976851851851854E-2</v>
      </c>
      <c r="F308" s="6">
        <f>11966/(60*60*24)</f>
        <v>0.13849537037037038</v>
      </c>
      <c r="G308" s="7" t="s">
        <v>9</v>
      </c>
    </row>
    <row r="309" spans="1:7" x14ac:dyDescent="0.45">
      <c r="A309" t="s">
        <v>404</v>
      </c>
      <c r="B309" s="2" t="s">
        <v>96</v>
      </c>
      <c r="C309" s="5">
        <f>4851/(60*60*24)</f>
        <v>5.6145833333333332E-2</v>
      </c>
      <c r="D309" s="4">
        <f>1265/(60*60*24)</f>
        <v>1.4641203703703703E-2</v>
      </c>
      <c r="E309" s="3">
        <f>3433/(60*60*24)</f>
        <v>3.9733796296296295E-2</v>
      </c>
      <c r="F309" s="6">
        <f>10564/(60*60*24)</f>
        <v>0.12226851851851851</v>
      </c>
      <c r="G309" s="7" t="s">
        <v>9</v>
      </c>
    </row>
    <row r="310" spans="1:7" x14ac:dyDescent="0.45">
      <c r="A310" t="s">
        <v>405</v>
      </c>
      <c r="B310" s="2" t="s">
        <v>98</v>
      </c>
      <c r="C310" s="8" t="s">
        <v>12</v>
      </c>
      <c r="D310" s="4">
        <f>1349/(60*60*24)</f>
        <v>1.5613425925925926E-2</v>
      </c>
      <c r="E310" s="3">
        <f>3271/(60*60*24)</f>
        <v>3.7858796296296293E-2</v>
      </c>
      <c r="F310" s="5">
        <f>10074/(60*60*24)</f>
        <v>0.11659722222222223</v>
      </c>
      <c r="G310" s="7" t="s">
        <v>9</v>
      </c>
    </row>
    <row r="311" spans="1:7" x14ac:dyDescent="0.45">
      <c r="A311" t="s">
        <v>406</v>
      </c>
      <c r="B311" s="2" t="s">
        <v>100</v>
      </c>
      <c r="C311" s="8" t="s">
        <v>12</v>
      </c>
      <c r="D311" s="4">
        <f>1321/(60*60*24)</f>
        <v>1.5289351851851853E-2</v>
      </c>
      <c r="E311" s="3">
        <f>2915/(60*60*24)</f>
        <v>3.3738425925925929E-2</v>
      </c>
      <c r="F311" s="5">
        <f>9224/(60*60*24)</f>
        <v>0.10675925925925926</v>
      </c>
      <c r="G311" s="7" t="s">
        <v>9</v>
      </c>
    </row>
    <row r="312" spans="1:7" x14ac:dyDescent="0.45">
      <c r="A312" t="s">
        <v>407</v>
      </c>
      <c r="B312" s="2" t="s">
        <v>104</v>
      </c>
      <c r="C312" s="5">
        <f>4628/(60*60*24)</f>
        <v>5.3564814814814815E-2</v>
      </c>
      <c r="D312" s="4">
        <f>1292/(60*60*24)</f>
        <v>1.4953703703703703E-2</v>
      </c>
      <c r="E312" s="3">
        <f>2838/(60*60*24)</f>
        <v>3.2847222222222222E-2</v>
      </c>
      <c r="F312" s="6">
        <f>9496/(60*60*24)</f>
        <v>0.10990740740740741</v>
      </c>
      <c r="G312" s="7" t="s">
        <v>9</v>
      </c>
    </row>
    <row r="313" spans="1:7" x14ac:dyDescent="0.45">
      <c r="A313" t="s">
        <v>408</v>
      </c>
      <c r="B313" s="2" t="s">
        <v>102</v>
      </c>
      <c r="C313" s="8" t="s">
        <v>12</v>
      </c>
      <c r="D313" s="4">
        <f>1454/(60*60*24)</f>
        <v>1.6828703703703703E-2</v>
      </c>
      <c r="E313" s="3">
        <f>3118/(60*60*24)</f>
        <v>3.6087962962962961E-2</v>
      </c>
      <c r="F313" s="5">
        <f>11718/(60*60*24)</f>
        <v>0.135625</v>
      </c>
      <c r="G313" s="7" t="s">
        <v>9</v>
      </c>
    </row>
    <row r="314" spans="1:7" x14ac:dyDescent="0.45">
      <c r="A314" t="s">
        <v>409</v>
      </c>
      <c r="B314" s="2" t="s">
        <v>106</v>
      </c>
      <c r="C314" s="8" t="s">
        <v>12</v>
      </c>
      <c r="D314" s="4">
        <f>1394/(60*60*24)</f>
        <v>1.6134259259259258E-2</v>
      </c>
      <c r="E314" s="3">
        <f>3048/(60*60*24)</f>
        <v>3.5277777777777776E-2</v>
      </c>
      <c r="F314" s="5">
        <f>10393/(60*60*24)</f>
        <v>0.12028935185185186</v>
      </c>
      <c r="G314" s="7" t="s">
        <v>9</v>
      </c>
    </row>
    <row r="315" spans="1:7" x14ac:dyDescent="0.45">
      <c r="A315" t="s">
        <v>410</v>
      </c>
      <c r="B315" s="2" t="s">
        <v>108</v>
      </c>
      <c r="C315" s="8" t="s">
        <v>12</v>
      </c>
      <c r="D315" s="4">
        <f>1406/(60*60*24)</f>
        <v>1.6273148148148148E-2</v>
      </c>
      <c r="E315" s="3">
        <f>3181/(60*60*24)</f>
        <v>3.681712962962963E-2</v>
      </c>
      <c r="F315" s="5">
        <f>11082/(60*60*24)</f>
        <v>0.1282638888888889</v>
      </c>
      <c r="G315" s="7" t="s">
        <v>9</v>
      </c>
    </row>
    <row r="316" spans="1:7" x14ac:dyDescent="0.45">
      <c r="A316" t="s">
        <v>411</v>
      </c>
      <c r="B316" s="2" t="s">
        <v>110</v>
      </c>
      <c r="C316" s="8" t="s">
        <v>12</v>
      </c>
      <c r="D316" s="4">
        <f>1470/(60*60*24)</f>
        <v>1.7013888888888887E-2</v>
      </c>
      <c r="E316" s="3">
        <f>3292/(60*60*24)</f>
        <v>3.8101851851851852E-2</v>
      </c>
      <c r="F316" s="5">
        <f>10210/(60*60*24)</f>
        <v>0.1181712962962963</v>
      </c>
      <c r="G316" s="7" t="s">
        <v>9</v>
      </c>
    </row>
    <row r="317" spans="1:7" x14ac:dyDescent="0.45">
      <c r="A317" t="s">
        <v>412</v>
      </c>
      <c r="B317" s="2" t="s">
        <v>112</v>
      </c>
      <c r="C317" s="8" t="s">
        <v>12</v>
      </c>
      <c r="D317" s="4">
        <f>1498/(60*60*24)</f>
        <v>1.7337962962962961E-2</v>
      </c>
      <c r="E317" s="3">
        <f>2942/(60*60*24)</f>
        <v>3.4050925925925929E-2</v>
      </c>
      <c r="F317" s="5">
        <f>9628/(60*60*24)</f>
        <v>0.11143518518518518</v>
      </c>
      <c r="G317" s="7" t="s">
        <v>9</v>
      </c>
    </row>
    <row r="318" spans="1:7" x14ac:dyDescent="0.45">
      <c r="A318" t="s">
        <v>413</v>
      </c>
      <c r="B318" s="2" t="s">
        <v>116</v>
      </c>
      <c r="C318" s="5">
        <f>4222/(60*60*24)</f>
        <v>4.8865740740740737E-2</v>
      </c>
      <c r="D318" s="4">
        <f>1352/(60*60*24)</f>
        <v>1.5648148148148147E-2</v>
      </c>
      <c r="E318" s="3">
        <f>2954/(60*60*24)</f>
        <v>3.4189814814814812E-2</v>
      </c>
      <c r="F318" s="6">
        <f>10340/(60*60*24)</f>
        <v>0.11967592592592592</v>
      </c>
      <c r="G318" s="7" t="s">
        <v>9</v>
      </c>
    </row>
    <row r="319" spans="1:7" x14ac:dyDescent="0.45">
      <c r="A319" t="s">
        <v>414</v>
      </c>
      <c r="B319" s="2" t="s">
        <v>114</v>
      </c>
      <c r="C319" s="8" t="s">
        <v>12</v>
      </c>
      <c r="D319" s="4">
        <f>1507/(60*60*24)</f>
        <v>1.744212962962963E-2</v>
      </c>
      <c r="E319" s="3">
        <f>3101/(60*60*24)</f>
        <v>3.5891203703703703E-2</v>
      </c>
      <c r="F319" s="5">
        <f>10094/(60*60*24)</f>
        <v>0.1168287037037037</v>
      </c>
      <c r="G319" s="7" t="s">
        <v>9</v>
      </c>
    </row>
    <row r="320" spans="1:7" x14ac:dyDescent="0.45">
      <c r="A320" t="s">
        <v>415</v>
      </c>
      <c r="B320" s="2" t="s">
        <v>118</v>
      </c>
      <c r="C320" s="8" t="s">
        <v>12</v>
      </c>
      <c r="D320" s="4">
        <f>1358/(60*60*24)</f>
        <v>1.5717592592592592E-2</v>
      </c>
      <c r="E320" s="3">
        <f>3256/(60*60*24)</f>
        <v>3.7685185185185183E-2</v>
      </c>
      <c r="F320" s="5">
        <f>10926/(60*60*24)</f>
        <v>0.12645833333333334</v>
      </c>
      <c r="G320" s="7" t="s">
        <v>9</v>
      </c>
    </row>
    <row r="321" spans="1:7" x14ac:dyDescent="0.45">
      <c r="A321" t="s">
        <v>416</v>
      </c>
      <c r="B321" s="2" t="s">
        <v>120</v>
      </c>
      <c r="C321" s="8" t="s">
        <v>12</v>
      </c>
      <c r="D321" s="4">
        <f>1289/(60*60*24)</f>
        <v>1.4918981481481481E-2</v>
      </c>
      <c r="E321" s="3">
        <f>3390/(60*60*24)</f>
        <v>3.923611111111111E-2</v>
      </c>
      <c r="F321" s="5">
        <f>11400/(60*60*24)</f>
        <v>0.13194444444444445</v>
      </c>
      <c r="G321" s="7" t="s">
        <v>9</v>
      </c>
    </row>
    <row r="322" spans="1:7" x14ac:dyDescent="0.45">
      <c r="A322" t="s">
        <v>417</v>
      </c>
      <c r="B322" s="2" t="s">
        <v>122</v>
      </c>
      <c r="C322" s="5">
        <f>5181/(60*60*24)</f>
        <v>5.9965277777777777E-2</v>
      </c>
      <c r="D322" s="4">
        <f>1429/(60*60*24)</f>
        <v>1.653935185185185E-2</v>
      </c>
      <c r="E322" s="3">
        <f>4273/(60*60*24)</f>
        <v>4.9456018518518517E-2</v>
      </c>
      <c r="F322" s="6">
        <f>13036/(60*60*24)</f>
        <v>0.15087962962962964</v>
      </c>
      <c r="G322" s="7" t="s">
        <v>9</v>
      </c>
    </row>
    <row r="323" spans="1:7" x14ac:dyDescent="0.45">
      <c r="A323" t="s">
        <v>418</v>
      </c>
      <c r="B323" s="2" t="s">
        <v>124</v>
      </c>
      <c r="C323" s="8" t="s">
        <v>12</v>
      </c>
      <c r="D323" s="4">
        <f>1480/(60*60*24)</f>
        <v>1.712962962962963E-2</v>
      </c>
      <c r="E323" s="3">
        <f>3801/(60*60*24)</f>
        <v>4.3993055555555556E-2</v>
      </c>
      <c r="F323" s="5">
        <f>12638/(60*60*24)</f>
        <v>0.14627314814814815</v>
      </c>
      <c r="G323" s="7" t="s">
        <v>9</v>
      </c>
    </row>
    <row r="324" spans="1:7" x14ac:dyDescent="0.45">
      <c r="A324" t="s">
        <v>419</v>
      </c>
      <c r="B324" s="2" t="s">
        <v>126</v>
      </c>
      <c r="C324" s="5">
        <f>4722/(60*60*24)</f>
        <v>5.4652777777777779E-2</v>
      </c>
      <c r="D324" s="4">
        <f>1516/(60*60*24)</f>
        <v>1.7546296296296296E-2</v>
      </c>
      <c r="E324" s="3">
        <f>4095/(60*60*24)</f>
        <v>4.7395833333333331E-2</v>
      </c>
      <c r="F324" s="6">
        <f>13761/(60*60*24)</f>
        <v>0.15927083333333333</v>
      </c>
      <c r="G324" s="7" t="s">
        <v>9</v>
      </c>
    </row>
    <row r="325" spans="1:7" x14ac:dyDescent="0.45">
      <c r="A325" t="s">
        <v>420</v>
      </c>
      <c r="B325" s="2" t="s">
        <v>128</v>
      </c>
      <c r="C325" s="5">
        <f>5453/(60*60*24)</f>
        <v>6.311342592592592E-2</v>
      </c>
      <c r="D325" s="4">
        <f>1519/(60*60*24)</f>
        <v>1.758101851851852E-2</v>
      </c>
      <c r="E325" s="3">
        <f>4267/(60*60*24)</f>
        <v>4.9386574074074076E-2</v>
      </c>
      <c r="F325" s="6">
        <f>14661/(60*60*24)</f>
        <v>0.16968749999999999</v>
      </c>
      <c r="G325" s="7" t="s">
        <v>9</v>
      </c>
    </row>
    <row r="326" spans="1:7" x14ac:dyDescent="0.45">
      <c r="A326" t="s">
        <v>421</v>
      </c>
      <c r="B326" s="2" t="s">
        <v>130</v>
      </c>
      <c r="C326" s="8" t="s">
        <v>12</v>
      </c>
      <c r="D326" s="4">
        <f>1518/(60*60*24)</f>
        <v>1.7569444444444443E-2</v>
      </c>
      <c r="E326" s="3">
        <f>4445/(60*60*24)</f>
        <v>5.1446759259259262E-2</v>
      </c>
      <c r="F326" s="5">
        <f>15223/(60*60*24)</f>
        <v>0.17619212962962963</v>
      </c>
      <c r="G326" s="7" t="s">
        <v>9</v>
      </c>
    </row>
    <row r="327" spans="1:7" x14ac:dyDescent="0.45">
      <c r="A327" t="s">
        <v>422</v>
      </c>
      <c r="B327" s="2" t="s">
        <v>132</v>
      </c>
      <c r="C327" s="8" t="s">
        <v>12</v>
      </c>
      <c r="D327" s="4">
        <f>1622/(60*60*24)</f>
        <v>1.8773148148148146E-2</v>
      </c>
      <c r="E327" s="3">
        <f>4715/(60*60*24)</f>
        <v>5.4571759259259257E-2</v>
      </c>
      <c r="F327" s="5">
        <f>16038/(60*60*24)</f>
        <v>0.18562500000000001</v>
      </c>
      <c r="G327" s="7" t="s">
        <v>9</v>
      </c>
    </row>
    <row r="328" spans="1:7" x14ac:dyDescent="0.45">
      <c r="A328" t="s">
        <v>423</v>
      </c>
      <c r="B328" s="2" t="s">
        <v>136</v>
      </c>
      <c r="C328" s="3">
        <f>3932/(60*60*24)</f>
        <v>4.5509259259259256E-2</v>
      </c>
      <c r="D328" s="4">
        <f>1500/(60*60*24)</f>
        <v>1.7361111111111112E-2</v>
      </c>
      <c r="E328" s="5">
        <f>4862/(60*60*24)</f>
        <v>5.6273148148148149E-2</v>
      </c>
      <c r="F328" s="6">
        <f>16149/(60*60*24)</f>
        <v>0.18690972222222221</v>
      </c>
      <c r="G328" s="7" t="s">
        <v>9</v>
      </c>
    </row>
    <row r="329" spans="1:7" x14ac:dyDescent="0.45">
      <c r="A329" t="s">
        <v>424</v>
      </c>
      <c r="B329" s="2" t="s">
        <v>134</v>
      </c>
      <c r="C329" s="3">
        <f>2453/(60*60*24)</f>
        <v>2.8391203703703703E-2</v>
      </c>
      <c r="D329" s="4">
        <f>1622/(60*60*24)</f>
        <v>1.8773148148148146E-2</v>
      </c>
      <c r="E329" s="5">
        <f>5062/(60*60*24)</f>
        <v>5.858796296296296E-2</v>
      </c>
      <c r="F329" s="6">
        <f>16847/(60*60*24)</f>
        <v>0.19498842592592591</v>
      </c>
      <c r="G329" s="7" t="s">
        <v>9</v>
      </c>
    </row>
    <row r="330" spans="1:7" x14ac:dyDescent="0.45">
      <c r="A330" t="s">
        <v>425</v>
      </c>
      <c r="B330" s="2" t="s">
        <v>138</v>
      </c>
      <c r="C330" s="3">
        <f>2313/(60*60*24)</f>
        <v>2.6770833333333334E-2</v>
      </c>
      <c r="D330" s="4">
        <f>1647/(60*60*24)</f>
        <v>1.90625E-2</v>
      </c>
      <c r="E330" s="5">
        <f>5080/(60*60*24)</f>
        <v>5.8796296296296298E-2</v>
      </c>
      <c r="F330" s="6">
        <f>17040/(60*60*24)</f>
        <v>0.19722222222222222</v>
      </c>
      <c r="G330" s="7" t="s">
        <v>9</v>
      </c>
    </row>
    <row r="331" spans="1:7" x14ac:dyDescent="0.45">
      <c r="A331" t="s">
        <v>426</v>
      </c>
      <c r="B331" s="2" t="s">
        <v>140</v>
      </c>
      <c r="C331" s="5">
        <f>5920/(60*60*24)</f>
        <v>6.851851851851852E-2</v>
      </c>
      <c r="D331" s="4">
        <f>1677/(60*60*24)</f>
        <v>1.9409722222222221E-2</v>
      </c>
      <c r="E331" s="3">
        <f>5309/(60*60*24)</f>
        <v>6.1446759259259257E-2</v>
      </c>
      <c r="F331" s="6">
        <f>17843/(60*60*24)</f>
        <v>0.20651620370370372</v>
      </c>
      <c r="G331" s="7" t="s">
        <v>9</v>
      </c>
    </row>
    <row r="332" spans="1:7" x14ac:dyDescent="0.45">
      <c r="A332" t="s">
        <v>427</v>
      </c>
      <c r="B332" s="2" t="s">
        <v>142</v>
      </c>
      <c r="C332" s="3">
        <f>5211/(60*60*24)</f>
        <v>6.0312499999999998E-2</v>
      </c>
      <c r="D332" s="4">
        <f>1736/(60*60*24)</f>
        <v>2.0092592592592592E-2</v>
      </c>
      <c r="E332" s="5">
        <f>5475/(60*60*24)</f>
        <v>6.3368055555555552E-2</v>
      </c>
      <c r="F332" s="6">
        <f>19040/(60*60*24)</f>
        <v>0.22037037037037038</v>
      </c>
      <c r="G332" s="7" t="s">
        <v>9</v>
      </c>
    </row>
    <row r="333" spans="1:7" x14ac:dyDescent="0.45">
      <c r="A333" t="s">
        <v>428</v>
      </c>
      <c r="B333" s="2" t="s">
        <v>144</v>
      </c>
      <c r="C333" s="3">
        <f>5790/(60*60*24)</f>
        <v>6.7013888888888887E-2</v>
      </c>
      <c r="D333" s="4">
        <f>1737/(60*60*24)</f>
        <v>2.0104166666666666E-2</v>
      </c>
      <c r="E333" s="5">
        <f>5834/(60*60*24)</f>
        <v>6.7523148148148152E-2</v>
      </c>
      <c r="F333" s="6">
        <f>19518/(60*60*24)</f>
        <v>0.22590277777777779</v>
      </c>
      <c r="G333" s="7" t="s">
        <v>9</v>
      </c>
    </row>
    <row r="334" spans="1:7" x14ac:dyDescent="0.45">
      <c r="A334" t="s">
        <v>429</v>
      </c>
      <c r="B334" s="2" t="s">
        <v>146</v>
      </c>
      <c r="C334" s="3">
        <f>5657/(60*60*24)</f>
        <v>6.5474537037037039E-2</v>
      </c>
      <c r="D334" s="4">
        <f>1701/(60*60*24)</f>
        <v>1.96875E-2</v>
      </c>
      <c r="E334" s="5">
        <f>5940/(60*60*24)</f>
        <v>6.8750000000000006E-2</v>
      </c>
      <c r="F334" s="6">
        <f>20068/(60*60*24)</f>
        <v>0.23226851851851851</v>
      </c>
      <c r="G334" s="7" t="s">
        <v>9</v>
      </c>
    </row>
    <row r="335" spans="1:7" x14ac:dyDescent="0.45">
      <c r="A335" t="s">
        <v>430</v>
      </c>
      <c r="B335" s="2" t="s">
        <v>148</v>
      </c>
      <c r="C335" s="3">
        <f>5986/(60*60*24)</f>
        <v>6.9282407407407404E-2</v>
      </c>
      <c r="D335" s="4">
        <f>1607/(60*60*24)</f>
        <v>1.8599537037037036E-2</v>
      </c>
      <c r="E335" s="5">
        <f>6021/(60*60*24)</f>
        <v>6.9687499999999999E-2</v>
      </c>
      <c r="F335" s="6">
        <f>21024/(60*60*24)</f>
        <v>0.24333333333333335</v>
      </c>
      <c r="G335" s="7" t="s">
        <v>9</v>
      </c>
    </row>
    <row r="336" spans="1:7" x14ac:dyDescent="0.45">
      <c r="A336" t="s">
        <v>431</v>
      </c>
      <c r="B336" s="2" t="s">
        <v>150</v>
      </c>
      <c r="C336" s="3">
        <f>3091/(60*60*24)</f>
        <v>3.577546296296296E-2</v>
      </c>
      <c r="D336" s="4">
        <f>1720/(60*60*24)</f>
        <v>1.9907407407407408E-2</v>
      </c>
      <c r="E336" s="5">
        <f>6456/(60*60*24)</f>
        <v>7.4722222222222218E-2</v>
      </c>
      <c r="F336" s="6">
        <f>21897/(60*60*24)</f>
        <v>0.25343749999999998</v>
      </c>
      <c r="G336" s="7" t="s">
        <v>9</v>
      </c>
    </row>
    <row r="337" spans="1:7" x14ac:dyDescent="0.45">
      <c r="A337" t="s">
        <v>432</v>
      </c>
      <c r="B337" s="2" t="s">
        <v>152</v>
      </c>
      <c r="C337" s="3">
        <f>3138/(60*60*24)</f>
        <v>3.6319444444444446E-2</v>
      </c>
      <c r="D337" s="4">
        <f>1565/(60*60*24)</f>
        <v>1.8113425925925925E-2</v>
      </c>
      <c r="E337" s="5">
        <f>6405/(60*60*24)</f>
        <v>7.4131944444444445E-2</v>
      </c>
      <c r="F337" s="6">
        <f>22057/(60*60*24)</f>
        <v>0.25528935185185186</v>
      </c>
      <c r="G337" s="7" t="s">
        <v>9</v>
      </c>
    </row>
    <row r="338" spans="1:7" x14ac:dyDescent="0.45">
      <c r="A338" t="s">
        <v>433</v>
      </c>
      <c r="B338" s="2" t="s">
        <v>154</v>
      </c>
      <c r="C338" s="8" t="s">
        <v>12</v>
      </c>
      <c r="D338" s="4">
        <f>1526/(60*60*24)</f>
        <v>1.7662037037037039E-2</v>
      </c>
      <c r="E338" s="3">
        <f>6697/(60*60*24)</f>
        <v>7.751157407407408E-2</v>
      </c>
      <c r="F338" s="5">
        <f>23033/(60*60*24)</f>
        <v>0.26658564814814817</v>
      </c>
      <c r="G338" s="7" t="s">
        <v>9</v>
      </c>
    </row>
    <row r="339" spans="1:7" x14ac:dyDescent="0.45">
      <c r="A339" t="s">
        <v>434</v>
      </c>
      <c r="B339" s="2" t="s">
        <v>156</v>
      </c>
      <c r="C339" s="8" t="s">
        <v>12</v>
      </c>
      <c r="D339" s="4">
        <f>1655/(60*60*24)</f>
        <v>1.9155092592592592E-2</v>
      </c>
      <c r="E339" s="3">
        <f>6913/(60*60*24)</f>
        <v>8.0011574074074068E-2</v>
      </c>
      <c r="F339" s="5">
        <f>23671/(60*60*24)</f>
        <v>0.2739699074074074</v>
      </c>
      <c r="G339" s="7" t="s">
        <v>9</v>
      </c>
    </row>
    <row r="340" spans="1:7" x14ac:dyDescent="0.45">
      <c r="A340" t="s">
        <v>435</v>
      </c>
      <c r="B340" s="2" t="s">
        <v>160</v>
      </c>
      <c r="C340" s="8" t="s">
        <v>12</v>
      </c>
      <c r="D340" s="4">
        <f>1805/(60*60*24)</f>
        <v>2.0891203703703703E-2</v>
      </c>
      <c r="E340" s="3">
        <f>7509/(60*60*24)</f>
        <v>8.6909722222222222E-2</v>
      </c>
      <c r="F340" s="5">
        <f>25769/(60*60*24)</f>
        <v>0.29825231481481479</v>
      </c>
      <c r="G340" s="7" t="s">
        <v>9</v>
      </c>
    </row>
    <row r="341" spans="1:7" x14ac:dyDescent="0.45">
      <c r="A341" t="s">
        <v>436</v>
      </c>
      <c r="B341" s="2" t="s">
        <v>158</v>
      </c>
      <c r="C341" s="8" t="s">
        <v>12</v>
      </c>
      <c r="D341" s="4">
        <f>1822/(60*60*24)</f>
        <v>2.1087962962962965E-2</v>
      </c>
      <c r="E341" s="3">
        <f>7573/(60*60*24)</f>
        <v>8.7650462962962958E-2</v>
      </c>
      <c r="F341" s="5">
        <f>25398/(60*60*24)</f>
        <v>0.29395833333333332</v>
      </c>
      <c r="G341" s="7" t="s">
        <v>9</v>
      </c>
    </row>
    <row r="342" spans="1:7" x14ac:dyDescent="0.45">
      <c r="A342" t="s">
        <v>437</v>
      </c>
      <c r="B342" s="2" t="s">
        <v>162</v>
      </c>
      <c r="C342" s="8" t="s">
        <v>12</v>
      </c>
      <c r="D342" s="4">
        <f>1752/(60*60*24)</f>
        <v>2.0277777777777777E-2</v>
      </c>
      <c r="E342" s="3">
        <f>7429/(60*60*24)</f>
        <v>8.5983796296296294E-2</v>
      </c>
      <c r="F342" s="5">
        <f>25745/(60*60*24)</f>
        <v>0.29797453703703702</v>
      </c>
      <c r="G342" s="7" t="s">
        <v>9</v>
      </c>
    </row>
    <row r="343" spans="1:7" x14ac:dyDescent="0.45">
      <c r="A343" t="s">
        <v>438</v>
      </c>
      <c r="B343" s="2" t="s">
        <v>164</v>
      </c>
      <c r="C343" s="8" t="s">
        <v>12</v>
      </c>
      <c r="D343" s="4">
        <f>1857/(60*60*24)</f>
        <v>2.1493055555555557E-2</v>
      </c>
      <c r="E343" s="3">
        <f>7658/(60*60*24)</f>
        <v>8.863425925925926E-2</v>
      </c>
      <c r="F343" s="5">
        <f>26169/(60*60*24)</f>
        <v>0.30288194444444444</v>
      </c>
      <c r="G343" s="7" t="s">
        <v>9</v>
      </c>
    </row>
    <row r="344" spans="1:7" x14ac:dyDescent="0.45">
      <c r="A344" t="s">
        <v>439</v>
      </c>
      <c r="B344" s="2" t="s">
        <v>166</v>
      </c>
      <c r="C344" s="3">
        <f>5108/(60*60*24)</f>
        <v>5.9120370370370372E-2</v>
      </c>
      <c r="D344" s="4">
        <f>1715/(60*60*24)</f>
        <v>1.9849537037037037E-2</v>
      </c>
      <c r="E344" s="5">
        <f>8079/(60*60*24)</f>
        <v>9.3506944444444448E-2</v>
      </c>
      <c r="F344" s="6">
        <f>27678/(60*60*24)</f>
        <v>0.32034722222222223</v>
      </c>
      <c r="G344" s="7" t="s">
        <v>9</v>
      </c>
    </row>
    <row r="345" spans="1:7" x14ac:dyDescent="0.45">
      <c r="A345" t="s">
        <v>440</v>
      </c>
      <c r="B345" s="2" t="s">
        <v>168</v>
      </c>
      <c r="C345" s="8" t="s">
        <v>12</v>
      </c>
      <c r="D345" s="4">
        <f>1882/(60*60*24)</f>
        <v>2.1782407407407407E-2</v>
      </c>
      <c r="E345" s="3">
        <f>7887/(60*60*24)</f>
        <v>9.1284722222222225E-2</v>
      </c>
      <c r="F345" s="5">
        <f>26949/(60*60*24)</f>
        <v>0.31190972222222224</v>
      </c>
      <c r="G345" s="7" t="s">
        <v>9</v>
      </c>
    </row>
    <row r="346" spans="1:7" x14ac:dyDescent="0.45">
      <c r="A346" t="s">
        <v>441</v>
      </c>
      <c r="B346" s="2" t="s">
        <v>170</v>
      </c>
      <c r="C346" s="3">
        <f>4909/(60*60*24)</f>
        <v>5.6817129629629627E-2</v>
      </c>
      <c r="D346" s="4">
        <f>1723/(60*60*24)</f>
        <v>1.9942129629629629E-2</v>
      </c>
      <c r="E346" s="5">
        <f>8474/(60*60*24)</f>
        <v>9.807870370370371E-2</v>
      </c>
      <c r="F346" s="6">
        <f>29251/(60*60*24)</f>
        <v>0.33855324074074072</v>
      </c>
      <c r="G346" s="7" t="s">
        <v>9</v>
      </c>
    </row>
    <row r="347" spans="1:7" x14ac:dyDescent="0.45">
      <c r="A347" t="s">
        <v>442</v>
      </c>
      <c r="B347" s="2" t="s">
        <v>172</v>
      </c>
      <c r="C347" s="8" t="s">
        <v>12</v>
      </c>
      <c r="D347" s="4">
        <f>1700/(60*60*24)</f>
        <v>1.9675925925925927E-2</v>
      </c>
      <c r="E347" s="3">
        <f>8350/(60*60*24)</f>
        <v>9.6643518518518517E-2</v>
      </c>
      <c r="F347" s="5">
        <f>29199/(60*60*24)</f>
        <v>0.33795138888888887</v>
      </c>
      <c r="G347" s="7" t="s">
        <v>9</v>
      </c>
    </row>
    <row r="348" spans="1:7" x14ac:dyDescent="0.45">
      <c r="A348" t="s">
        <v>443</v>
      </c>
      <c r="B348" s="2" t="s">
        <v>174</v>
      </c>
      <c r="C348" s="3">
        <f>5389/(60*60*24)</f>
        <v>6.2372685185185184E-2</v>
      </c>
      <c r="D348" s="4">
        <f>1796/(60*60*24)</f>
        <v>2.0787037037037038E-2</v>
      </c>
      <c r="E348" s="5">
        <f>8700/(60*60*24)</f>
        <v>0.10069444444444445</v>
      </c>
      <c r="F348" s="6">
        <f>30646/(60*60*24)</f>
        <v>0.35469907407407408</v>
      </c>
      <c r="G348" s="7" t="s">
        <v>9</v>
      </c>
    </row>
    <row r="349" spans="1:7" x14ac:dyDescent="0.45">
      <c r="A349" t="s">
        <v>444</v>
      </c>
      <c r="B349" s="2" t="s">
        <v>176</v>
      </c>
      <c r="C349" s="8" t="s">
        <v>12</v>
      </c>
      <c r="D349" s="4">
        <f>1814/(60*60*24)</f>
        <v>2.0995370370370369E-2</v>
      </c>
      <c r="E349" s="3">
        <f>8672/(60*60*24)</f>
        <v>0.10037037037037037</v>
      </c>
      <c r="F349" s="5">
        <f>29823/(60*60*24)</f>
        <v>0.34517361111111111</v>
      </c>
      <c r="G349" s="7" t="s">
        <v>9</v>
      </c>
    </row>
    <row r="350" spans="1:7" x14ac:dyDescent="0.45">
      <c r="A350" t="s">
        <v>445</v>
      </c>
      <c r="B350" s="2" t="s">
        <v>180</v>
      </c>
      <c r="C350" s="3">
        <f>5467/(60*60*24)</f>
        <v>6.3275462962962964E-2</v>
      </c>
      <c r="D350" s="4">
        <f>1846/(60*60*24)</f>
        <v>2.1365740740740741E-2</v>
      </c>
      <c r="E350" s="5">
        <f>8855/(60*60*24)</f>
        <v>0.10248842592592593</v>
      </c>
      <c r="F350" s="6">
        <f>30872/(60*60*24)</f>
        <v>0.35731481481481481</v>
      </c>
      <c r="G350" s="7" t="s">
        <v>9</v>
      </c>
    </row>
    <row r="351" spans="1:7" x14ac:dyDescent="0.45">
      <c r="A351" t="s">
        <v>446</v>
      </c>
      <c r="B351" s="2" t="s">
        <v>178</v>
      </c>
      <c r="C351" s="3">
        <f>5473/(60*60*24)</f>
        <v>6.3344907407407405E-2</v>
      </c>
      <c r="D351" s="4">
        <f>1980/(60*60*24)</f>
        <v>2.2916666666666665E-2</v>
      </c>
      <c r="E351" s="5">
        <f>9108/(60*60*24)</f>
        <v>0.10541666666666667</v>
      </c>
      <c r="F351" s="6">
        <f>31776/(60*60*24)</f>
        <v>0.36777777777777776</v>
      </c>
      <c r="G351" s="7" t="s">
        <v>9</v>
      </c>
    </row>
    <row r="352" spans="1:7" x14ac:dyDescent="0.45">
      <c r="A352" t="s">
        <v>447</v>
      </c>
      <c r="B352" s="2" t="s">
        <v>182</v>
      </c>
      <c r="C352" s="8" t="s">
        <v>12</v>
      </c>
      <c r="D352" s="4">
        <f>2094/(60*60*24)</f>
        <v>2.4236111111111111E-2</v>
      </c>
      <c r="E352" s="3">
        <f>9337/(60*60*24)</f>
        <v>0.10806712962962962</v>
      </c>
      <c r="F352" s="5">
        <f>32461/(60*60*24)</f>
        <v>0.37570601851851854</v>
      </c>
      <c r="G352" s="7" t="s">
        <v>9</v>
      </c>
    </row>
    <row r="353" spans="1:7" x14ac:dyDescent="0.45">
      <c r="A353" t="s">
        <v>448</v>
      </c>
      <c r="B353" s="2" t="s">
        <v>184</v>
      </c>
      <c r="C353" s="8" t="s">
        <v>12</v>
      </c>
      <c r="D353" s="4">
        <f>2260/(60*60*24)</f>
        <v>2.6157407407407407E-2</v>
      </c>
      <c r="E353" s="3">
        <f>9664/(60*60*24)</f>
        <v>0.11185185185185186</v>
      </c>
      <c r="F353" s="5">
        <f>33399/(60*60*24)</f>
        <v>0.38656249999999998</v>
      </c>
      <c r="G353" s="7" t="s">
        <v>9</v>
      </c>
    </row>
    <row r="354" spans="1:7" x14ac:dyDescent="0.45">
      <c r="A354" t="s">
        <v>449</v>
      </c>
      <c r="B354" s="2" t="s">
        <v>8</v>
      </c>
      <c r="C354" s="3">
        <f>8171/(60*60*24)</f>
        <v>9.4571759259259258E-2</v>
      </c>
      <c r="D354" s="4">
        <f>1952/(60*60*24)</f>
        <v>2.2592592592592591E-2</v>
      </c>
      <c r="E354" s="5">
        <f>10733/(60*60*24)</f>
        <v>0.12422453703703704</v>
      </c>
      <c r="F354" s="6">
        <f>36170/(60*60*24)</f>
        <v>0.41863425925925923</v>
      </c>
      <c r="G354" s="7" t="s">
        <v>9</v>
      </c>
    </row>
    <row r="355" spans="1:7" x14ac:dyDescent="0.45">
      <c r="A355" t="s">
        <v>450</v>
      </c>
      <c r="B355" s="2" t="s">
        <v>11</v>
      </c>
      <c r="C355" s="3">
        <f>7496/(60*60*24)</f>
        <v>8.6759259259259258E-2</v>
      </c>
      <c r="D355" s="4">
        <f>1868/(60*60*24)</f>
        <v>2.162037037037037E-2</v>
      </c>
      <c r="E355" s="5">
        <f>10664/(60*60*24)</f>
        <v>0.12342592592592593</v>
      </c>
      <c r="F355" s="6">
        <f>35180/(60*60*24)</f>
        <v>0.40717592592592594</v>
      </c>
      <c r="G355" s="7" t="s">
        <v>9</v>
      </c>
    </row>
    <row r="356" spans="1:7" x14ac:dyDescent="0.45">
      <c r="A356" t="s">
        <v>451</v>
      </c>
      <c r="B356" s="2" t="s">
        <v>14</v>
      </c>
      <c r="C356" s="8" t="s">
        <v>12</v>
      </c>
      <c r="D356" s="4">
        <f>1815/(60*60*24)</f>
        <v>2.1006944444444446E-2</v>
      </c>
      <c r="E356" s="3">
        <f>10108/(60*60*24)</f>
        <v>0.11699074074074074</v>
      </c>
      <c r="F356" s="5">
        <f>34458/(60*60*24)</f>
        <v>0.39881944444444445</v>
      </c>
      <c r="G356" s="7" t="s">
        <v>9</v>
      </c>
    </row>
    <row r="357" spans="1:7" x14ac:dyDescent="0.45">
      <c r="A357" t="s">
        <v>452</v>
      </c>
      <c r="B357" s="2" t="s">
        <v>16</v>
      </c>
      <c r="C357" s="8" t="s">
        <v>12</v>
      </c>
      <c r="D357" s="4">
        <f>1789/(60*60*24)</f>
        <v>2.0706018518518519E-2</v>
      </c>
      <c r="E357" s="3">
        <f>9961/(60*60*24)</f>
        <v>0.11528935185185185</v>
      </c>
      <c r="F357" s="5">
        <f>33947/(60*60*24)</f>
        <v>0.3929050925925926</v>
      </c>
      <c r="G357" s="7" t="s">
        <v>9</v>
      </c>
    </row>
    <row r="358" spans="1:7" x14ac:dyDescent="0.45">
      <c r="A358" t="s">
        <v>453</v>
      </c>
      <c r="B358" s="2" t="s">
        <v>18</v>
      </c>
      <c r="C358" s="8" t="s">
        <v>12</v>
      </c>
      <c r="D358" s="4">
        <f>1939/(60*60*24)</f>
        <v>2.2442129629629631E-2</v>
      </c>
      <c r="E358" s="3">
        <f>10149/(60*60*24)</f>
        <v>0.11746527777777778</v>
      </c>
      <c r="F358" s="5">
        <f>32857/(60*60*24)</f>
        <v>0.38028935185185186</v>
      </c>
      <c r="G358" s="7" t="s">
        <v>9</v>
      </c>
    </row>
    <row r="359" spans="1:7" x14ac:dyDescent="0.45">
      <c r="A359" t="s">
        <v>454</v>
      </c>
      <c r="B359" s="2" t="s">
        <v>20</v>
      </c>
      <c r="C359" s="8" t="s">
        <v>12</v>
      </c>
      <c r="D359" s="4">
        <f>1912/(60*60*24)</f>
        <v>2.2129629629629631E-2</v>
      </c>
      <c r="E359" s="3">
        <f>9753/(60*60*24)</f>
        <v>0.11288194444444444</v>
      </c>
      <c r="F359" s="5">
        <f>31492/(60*60*24)</f>
        <v>0.36449074074074073</v>
      </c>
      <c r="G359" s="7" t="s">
        <v>9</v>
      </c>
    </row>
    <row r="360" spans="1:7" x14ac:dyDescent="0.45">
      <c r="A360" t="s">
        <v>455</v>
      </c>
      <c r="B360" s="2" t="s">
        <v>22</v>
      </c>
      <c r="C360" s="3">
        <f>6574/(60*60*24)</f>
        <v>7.6087962962962968E-2</v>
      </c>
      <c r="D360" s="4">
        <f>1775/(60*60*24)</f>
        <v>2.0543981481481483E-2</v>
      </c>
      <c r="E360" s="5">
        <f>9442/(60*60*24)</f>
        <v>0.10928240740740741</v>
      </c>
      <c r="F360" s="6">
        <f>30583/(60*60*24)</f>
        <v>0.35396990740740741</v>
      </c>
      <c r="G360" s="7" t="s">
        <v>9</v>
      </c>
    </row>
    <row r="361" spans="1:7" x14ac:dyDescent="0.45">
      <c r="A361" t="s">
        <v>456</v>
      </c>
      <c r="B361" s="2" t="s">
        <v>24</v>
      </c>
      <c r="C361" s="3">
        <f>6464/(60*60*24)</f>
        <v>7.481481481481482E-2</v>
      </c>
      <c r="D361" s="4">
        <f>1705/(60*60*24)</f>
        <v>1.9733796296296298E-2</v>
      </c>
      <c r="E361" s="5">
        <f>9311/(60*60*24)</f>
        <v>0.1077662037037037</v>
      </c>
      <c r="F361" s="6">
        <f>29896/(60*60*24)</f>
        <v>0.3460185185185185</v>
      </c>
      <c r="G361" s="7" t="s">
        <v>9</v>
      </c>
    </row>
    <row r="362" spans="1:7" x14ac:dyDescent="0.45">
      <c r="A362" t="s">
        <v>457</v>
      </c>
      <c r="B362" s="2" t="s">
        <v>26</v>
      </c>
      <c r="C362" s="3">
        <f>6580/(60*60*24)</f>
        <v>7.615740740740741E-2</v>
      </c>
      <c r="D362" s="4">
        <f>1597/(60*60*24)</f>
        <v>1.8483796296296297E-2</v>
      </c>
      <c r="E362" s="5">
        <f>8608/(60*60*24)</f>
        <v>9.9629629629629624E-2</v>
      </c>
      <c r="F362" s="6">
        <f>28941/(60*60*24)</f>
        <v>0.33496527777777779</v>
      </c>
      <c r="G362" s="7" t="s">
        <v>9</v>
      </c>
    </row>
    <row r="363" spans="1:7" x14ac:dyDescent="0.45">
      <c r="A363" t="s">
        <v>458</v>
      </c>
      <c r="B363" s="2" t="s">
        <v>28</v>
      </c>
      <c r="C363" s="3">
        <f>6057/(60*60*24)</f>
        <v>7.0104166666666662E-2</v>
      </c>
      <c r="D363" s="4">
        <f>1563/(60*60*24)</f>
        <v>1.8090277777777778E-2</v>
      </c>
      <c r="E363" s="5">
        <f>8278/(60*60*24)</f>
        <v>9.5810185185185179E-2</v>
      </c>
      <c r="F363" s="6">
        <f>28428/(60*60*24)</f>
        <v>0.32902777777777775</v>
      </c>
      <c r="G363" s="7" t="s">
        <v>9</v>
      </c>
    </row>
    <row r="364" spans="1:7" x14ac:dyDescent="0.45">
      <c r="A364" t="s">
        <v>459</v>
      </c>
      <c r="B364" s="2" t="s">
        <v>32</v>
      </c>
      <c r="C364" s="3">
        <f>5925/(60*60*24)</f>
        <v>6.8576388888888895E-2</v>
      </c>
      <c r="D364" s="4">
        <f>1506/(60*60*24)</f>
        <v>1.7430555555555557E-2</v>
      </c>
      <c r="E364" s="5">
        <f>7981/(60*60*24)</f>
        <v>9.2372685185185183E-2</v>
      </c>
      <c r="F364" s="6">
        <f>26948/(60*60*24)</f>
        <v>0.31189814814814815</v>
      </c>
      <c r="G364" s="7" t="s">
        <v>9</v>
      </c>
    </row>
    <row r="365" spans="1:7" x14ac:dyDescent="0.45">
      <c r="A365" t="s">
        <v>460</v>
      </c>
      <c r="B365" s="2" t="s">
        <v>30</v>
      </c>
      <c r="C365" s="8" t="s">
        <v>12</v>
      </c>
      <c r="D365" s="4">
        <f>1637/(60*60*24)</f>
        <v>1.894675925925926E-2</v>
      </c>
      <c r="E365" s="3">
        <f>8172/(60*60*24)</f>
        <v>9.4583333333333339E-2</v>
      </c>
      <c r="F365" s="5">
        <f>27393/(60*60*24)</f>
        <v>0.3170486111111111</v>
      </c>
      <c r="G365" s="7" t="s">
        <v>9</v>
      </c>
    </row>
    <row r="366" spans="1:7" x14ac:dyDescent="0.45">
      <c r="A366" t="s">
        <v>461</v>
      </c>
      <c r="B366" s="2" t="s">
        <v>36</v>
      </c>
      <c r="C366" s="3">
        <f>6429/(60*60*24)</f>
        <v>7.4409722222222224E-2</v>
      </c>
      <c r="D366" s="4">
        <f>1540/(60*60*24)</f>
        <v>1.7824074074074076E-2</v>
      </c>
      <c r="E366" s="5">
        <f>7830/(60*60*24)</f>
        <v>9.0624999999999997E-2</v>
      </c>
      <c r="F366" s="6">
        <f>26045/(60*60*24)</f>
        <v>0.30144675925925923</v>
      </c>
      <c r="G366" s="7" t="s">
        <v>9</v>
      </c>
    </row>
    <row r="367" spans="1:7" x14ac:dyDescent="0.45">
      <c r="A367" t="s">
        <v>462</v>
      </c>
      <c r="B367" s="2" t="s">
        <v>34</v>
      </c>
      <c r="C367" s="8" t="s">
        <v>12</v>
      </c>
      <c r="D367" s="4">
        <f>1666/(60*60*24)</f>
        <v>1.9282407407407408E-2</v>
      </c>
      <c r="E367" s="3">
        <f>7588/(60*60*24)</f>
        <v>8.7824074074074068E-2</v>
      </c>
      <c r="F367" s="5">
        <f>25463/(60*60*24)</f>
        <v>0.29471064814814812</v>
      </c>
      <c r="G367" s="7" t="s">
        <v>9</v>
      </c>
    </row>
    <row r="368" spans="1:7" x14ac:dyDescent="0.45">
      <c r="A368" t="s">
        <v>463</v>
      </c>
      <c r="B368" s="2" t="s">
        <v>38</v>
      </c>
      <c r="C368" s="3">
        <f>4743/(60*60*24)</f>
        <v>5.4895833333333331E-2</v>
      </c>
      <c r="D368" s="4">
        <f>1620/(60*60*24)</f>
        <v>1.8749999999999999E-2</v>
      </c>
      <c r="E368" s="5">
        <f>7281/(60*60*24)</f>
        <v>8.4270833333333336E-2</v>
      </c>
      <c r="F368" s="6">
        <f>24801/(60*60*24)</f>
        <v>0.28704861111111113</v>
      </c>
      <c r="G368" s="7" t="s">
        <v>9</v>
      </c>
    </row>
    <row r="369" spans="1:7" x14ac:dyDescent="0.45">
      <c r="A369" t="s">
        <v>464</v>
      </c>
      <c r="B369" s="2" t="s">
        <v>40</v>
      </c>
      <c r="C369" s="3">
        <f>4864/(60*60*24)</f>
        <v>5.6296296296296296E-2</v>
      </c>
      <c r="D369" s="4">
        <f>1661/(60*60*24)</f>
        <v>1.9224537037037037E-2</v>
      </c>
      <c r="E369" s="5">
        <f>7054/(60*60*24)</f>
        <v>8.1643518518518518E-2</v>
      </c>
      <c r="F369" s="6">
        <f>23971/(60*60*24)</f>
        <v>0.27744212962962961</v>
      </c>
      <c r="G369" s="7" t="s">
        <v>9</v>
      </c>
    </row>
    <row r="370" spans="1:7" x14ac:dyDescent="0.45">
      <c r="A370" t="s">
        <v>465</v>
      </c>
      <c r="B370" s="2" t="s">
        <v>44</v>
      </c>
      <c r="C370" s="3">
        <f>4528/(60*60*24)</f>
        <v>5.2407407407407409E-2</v>
      </c>
      <c r="D370" s="4">
        <f>1826/(60*60*24)</f>
        <v>2.1134259259259259E-2</v>
      </c>
      <c r="E370" s="5">
        <f>6826/(60*60*24)</f>
        <v>7.9004629629629633E-2</v>
      </c>
      <c r="F370" s="6">
        <f>23188/(60*60*24)</f>
        <v>0.26837962962962963</v>
      </c>
      <c r="G370" s="7" t="s">
        <v>9</v>
      </c>
    </row>
    <row r="371" spans="1:7" x14ac:dyDescent="0.45">
      <c r="A371" t="s">
        <v>466</v>
      </c>
      <c r="B371" s="2" t="s">
        <v>42</v>
      </c>
      <c r="C371" s="3">
        <f>4401/(60*60*24)</f>
        <v>5.0937499999999997E-2</v>
      </c>
      <c r="D371" s="4">
        <f>1624/(60*60*24)</f>
        <v>1.8796296296296297E-2</v>
      </c>
      <c r="E371" s="5">
        <f>6689/(60*60*24)</f>
        <v>7.7418981481481478E-2</v>
      </c>
      <c r="F371" s="6">
        <f>22529/(60*60*24)</f>
        <v>0.26075231481481481</v>
      </c>
      <c r="G371" s="7" t="s">
        <v>9</v>
      </c>
    </row>
    <row r="372" spans="1:7" x14ac:dyDescent="0.45">
      <c r="A372" t="s">
        <v>467</v>
      </c>
      <c r="B372" s="2" t="s">
        <v>46</v>
      </c>
      <c r="C372" s="3">
        <f>3869/(60*60*24)</f>
        <v>4.4780092592592594E-2</v>
      </c>
      <c r="D372" s="4">
        <f>1534/(60*60*24)</f>
        <v>1.7754629629629631E-2</v>
      </c>
      <c r="E372" s="5">
        <f>6453/(60*60*24)</f>
        <v>7.4687500000000004E-2</v>
      </c>
      <c r="F372" s="6">
        <f>22059/(60*60*24)</f>
        <v>0.2553125</v>
      </c>
      <c r="G372" s="7" t="s">
        <v>9</v>
      </c>
    </row>
    <row r="373" spans="1:7" x14ac:dyDescent="0.45">
      <c r="A373" t="s">
        <v>468</v>
      </c>
      <c r="B373" s="2" t="s">
        <v>48</v>
      </c>
      <c r="C373" s="3">
        <f>4570/(60*60*24)</f>
        <v>5.289351851851852E-2</v>
      </c>
      <c r="D373" s="4">
        <f>1495/(60*60*24)</f>
        <v>1.7303240740740741E-2</v>
      </c>
      <c r="E373" s="5">
        <f>6426/(60*60*24)</f>
        <v>7.4374999999999997E-2</v>
      </c>
      <c r="F373" s="6">
        <f>21859/(60*60*24)</f>
        <v>0.25299768518518517</v>
      </c>
      <c r="G373" s="7" t="s">
        <v>9</v>
      </c>
    </row>
    <row r="374" spans="1:7" x14ac:dyDescent="0.45">
      <c r="A374" t="s">
        <v>469</v>
      </c>
      <c r="B374" s="2" t="s">
        <v>50</v>
      </c>
      <c r="C374" s="3">
        <f>5152/(60*60*24)</f>
        <v>5.962962962962963E-2</v>
      </c>
      <c r="D374" s="4">
        <f>1399/(60*60*24)</f>
        <v>1.6192129629629629E-2</v>
      </c>
      <c r="E374" s="5">
        <f>6309/(60*60*24)</f>
        <v>7.3020833333333326E-2</v>
      </c>
      <c r="F374" s="6">
        <f>20773/(60*60*24)</f>
        <v>0.24042824074074073</v>
      </c>
      <c r="G374" s="7" t="s">
        <v>9</v>
      </c>
    </row>
    <row r="375" spans="1:7" x14ac:dyDescent="0.45">
      <c r="A375" t="s">
        <v>470</v>
      </c>
      <c r="B375" s="2" t="s">
        <v>52</v>
      </c>
      <c r="C375" s="8" t="s">
        <v>12</v>
      </c>
      <c r="D375" s="4">
        <f>1291/(60*60*24)</f>
        <v>1.494212962962963E-2</v>
      </c>
      <c r="E375" s="3">
        <f>6097/(60*60*24)</f>
        <v>7.0567129629629632E-2</v>
      </c>
      <c r="F375" s="5">
        <f>20389/(60*60*24)</f>
        <v>0.23598379629629629</v>
      </c>
      <c r="G375" s="7" t="s">
        <v>9</v>
      </c>
    </row>
    <row r="376" spans="1:7" x14ac:dyDescent="0.45">
      <c r="A376" t="s">
        <v>471</v>
      </c>
      <c r="B376" s="2" t="s">
        <v>54</v>
      </c>
      <c r="C376" s="5">
        <f>6337/(60*60*24)</f>
        <v>7.3344907407407414E-2</v>
      </c>
      <c r="D376" s="4">
        <f>1227/(60*60*24)</f>
        <v>1.4201388888888888E-2</v>
      </c>
      <c r="E376" s="3">
        <f>5973/(60*60*24)</f>
        <v>6.913194444444444E-2</v>
      </c>
      <c r="F376" s="6">
        <f>19533/(60*60*24)</f>
        <v>0.2260763888888889</v>
      </c>
      <c r="G376" s="7" t="s">
        <v>9</v>
      </c>
    </row>
    <row r="377" spans="1:7" x14ac:dyDescent="0.45">
      <c r="A377" t="s">
        <v>472</v>
      </c>
      <c r="B377" s="2" t="s">
        <v>56</v>
      </c>
      <c r="C377" s="5">
        <f>6617/(60*60*24)</f>
        <v>7.6585648148148153E-2</v>
      </c>
      <c r="D377" s="4">
        <f>1166/(60*60*24)</f>
        <v>1.3495370370370371E-2</v>
      </c>
      <c r="E377" s="3">
        <f>5745/(60*60*24)</f>
        <v>6.6493055555555555E-2</v>
      </c>
      <c r="F377" s="6">
        <f>18857/(60*60*24)</f>
        <v>0.2182523148148148</v>
      </c>
      <c r="G377" s="7" t="s">
        <v>9</v>
      </c>
    </row>
    <row r="378" spans="1:7" x14ac:dyDescent="0.45">
      <c r="A378" t="s">
        <v>473</v>
      </c>
      <c r="B378" s="2" t="s">
        <v>58</v>
      </c>
      <c r="C378" s="3">
        <f>5500/(60*60*24)</f>
        <v>6.3657407407407413E-2</v>
      </c>
      <c r="D378" s="4">
        <f>1095/(60*60*24)</f>
        <v>1.2673611111111111E-2</v>
      </c>
      <c r="E378" s="5">
        <f>5572/(60*60*24)</f>
        <v>6.4490740740740737E-2</v>
      </c>
      <c r="F378" s="6">
        <f>18238/(60*60*24)</f>
        <v>0.21108796296296295</v>
      </c>
      <c r="G378" s="7" t="s">
        <v>9</v>
      </c>
    </row>
    <row r="379" spans="1:7" x14ac:dyDescent="0.45">
      <c r="A379" t="s">
        <v>474</v>
      </c>
      <c r="B379" s="2" t="s">
        <v>60</v>
      </c>
      <c r="C379" s="3">
        <f>5224/(60*60*24)</f>
        <v>6.0462962962962961E-2</v>
      </c>
      <c r="D379" s="4">
        <f>1043/(60*60*24)</f>
        <v>1.207175925925926E-2</v>
      </c>
      <c r="E379" s="5">
        <f>5481/(60*60*24)</f>
        <v>6.3437499999999994E-2</v>
      </c>
      <c r="F379" s="6">
        <f>17843/(60*60*24)</f>
        <v>0.20651620370370372</v>
      </c>
      <c r="G379" s="7" t="s">
        <v>9</v>
      </c>
    </row>
    <row r="380" spans="1:7" x14ac:dyDescent="0.45">
      <c r="A380" t="s">
        <v>475</v>
      </c>
      <c r="B380" s="2" t="s">
        <v>62</v>
      </c>
      <c r="C380" s="5">
        <f>5477/(60*60*24)</f>
        <v>6.33912037037037E-2</v>
      </c>
      <c r="D380" s="4">
        <f>914/(60*60*24)</f>
        <v>1.0578703703703703E-2</v>
      </c>
      <c r="E380" s="3">
        <f>5376/(60*60*24)</f>
        <v>6.222222222222222E-2</v>
      </c>
      <c r="F380" s="6">
        <f>17037/(60*60*24)</f>
        <v>0.19718749999999999</v>
      </c>
      <c r="G380" s="7" t="s">
        <v>9</v>
      </c>
    </row>
    <row r="381" spans="1:7" x14ac:dyDescent="0.45">
      <c r="A381" t="s">
        <v>476</v>
      </c>
      <c r="B381" s="2" t="s">
        <v>64</v>
      </c>
      <c r="C381" s="3">
        <f>4824/(60*60*24)</f>
        <v>5.5833333333333332E-2</v>
      </c>
      <c r="D381" s="4">
        <f>1108/(60*60*24)</f>
        <v>1.2824074074074075E-2</v>
      </c>
      <c r="E381" s="5">
        <f>5149/(60*60*24)</f>
        <v>5.9594907407407409E-2</v>
      </c>
      <c r="F381" s="6">
        <f>16581/(60*60*24)</f>
        <v>0.19190972222222222</v>
      </c>
      <c r="G381" s="7" t="s">
        <v>9</v>
      </c>
    </row>
    <row r="382" spans="1:7" x14ac:dyDescent="0.45">
      <c r="A382" t="s">
        <v>477</v>
      </c>
      <c r="B382" s="2" t="s">
        <v>66</v>
      </c>
      <c r="C382" s="3">
        <f>4486/(60*60*24)</f>
        <v>5.1921296296296299E-2</v>
      </c>
      <c r="D382" s="4">
        <f>1167/(60*60*24)</f>
        <v>1.3506944444444445E-2</v>
      </c>
      <c r="E382" s="5">
        <f>5035/(60*60*24)</f>
        <v>5.8275462962962966E-2</v>
      </c>
      <c r="F382" s="6">
        <f>16395/(60*60*24)</f>
        <v>0.18975694444444444</v>
      </c>
      <c r="G382" s="7" t="s">
        <v>9</v>
      </c>
    </row>
    <row r="383" spans="1:7" x14ac:dyDescent="0.45">
      <c r="A383" t="s">
        <v>478</v>
      </c>
      <c r="B383" s="2" t="s">
        <v>68</v>
      </c>
      <c r="C383" s="5">
        <f>4871/(60*60*24)</f>
        <v>5.6377314814814818E-2</v>
      </c>
      <c r="D383" s="4">
        <f>1163/(60*60*24)</f>
        <v>1.3460648148148149E-2</v>
      </c>
      <c r="E383" s="3">
        <f>4838/(60*60*24)</f>
        <v>5.5995370370370369E-2</v>
      </c>
      <c r="F383" s="6">
        <f>15608/(60*60*24)</f>
        <v>0.18064814814814814</v>
      </c>
      <c r="G383" s="7" t="s">
        <v>9</v>
      </c>
    </row>
    <row r="384" spans="1:7" x14ac:dyDescent="0.45">
      <c r="A384" t="s">
        <v>479</v>
      </c>
      <c r="B384" s="2" t="s">
        <v>70</v>
      </c>
      <c r="C384" s="5">
        <f>4906/(60*60*24)</f>
        <v>5.6782407407407406E-2</v>
      </c>
      <c r="D384" s="4">
        <f>927/(60*60*24)</f>
        <v>1.0729166666666666E-2</v>
      </c>
      <c r="E384" s="3">
        <f>4582/(60*60*24)</f>
        <v>5.303240740740741E-2</v>
      </c>
      <c r="F384" s="6">
        <f>15276/(60*60*24)</f>
        <v>0.17680555555555555</v>
      </c>
      <c r="G384" s="7" t="s">
        <v>9</v>
      </c>
    </row>
    <row r="385" spans="1:7" x14ac:dyDescent="0.45">
      <c r="A385" t="s">
        <v>480</v>
      </c>
      <c r="B385" s="2" t="s">
        <v>72</v>
      </c>
      <c r="C385" s="5">
        <f>4350/(60*60*24)</f>
        <v>5.0347222222222224E-2</v>
      </c>
      <c r="D385" s="4">
        <f>959/(60*60*24)</f>
        <v>1.1099537037037036E-2</v>
      </c>
      <c r="E385" s="3">
        <f>4252/(60*60*24)</f>
        <v>4.9212962962962965E-2</v>
      </c>
      <c r="F385" s="6">
        <f>14424/(60*60*24)</f>
        <v>0.16694444444444445</v>
      </c>
      <c r="G385" s="7" t="s">
        <v>9</v>
      </c>
    </row>
    <row r="386" spans="1:7" x14ac:dyDescent="0.45">
      <c r="A386" t="s">
        <v>481</v>
      </c>
      <c r="B386" s="2" t="s">
        <v>74</v>
      </c>
      <c r="C386" s="3">
        <f>3786/(60*60*24)</f>
        <v>4.3819444444444446E-2</v>
      </c>
      <c r="D386" s="4">
        <f>1082/(60*60*24)</f>
        <v>1.2523148148148148E-2</v>
      </c>
      <c r="E386" s="5">
        <f>3937/(60*60*24)</f>
        <v>4.5567129629629631E-2</v>
      </c>
      <c r="F386" s="6">
        <f>13800/(60*60*24)</f>
        <v>0.15972222222222221</v>
      </c>
      <c r="G386" s="7" t="s">
        <v>9</v>
      </c>
    </row>
    <row r="387" spans="1:7" x14ac:dyDescent="0.45">
      <c r="A387" t="s">
        <v>482</v>
      </c>
      <c r="B387" s="2" t="s">
        <v>76</v>
      </c>
      <c r="C387" s="5">
        <f>4040/(60*60*24)</f>
        <v>4.6759259259259257E-2</v>
      </c>
      <c r="D387" s="4">
        <f>1124/(60*60*24)</f>
        <v>1.3009259259259259E-2</v>
      </c>
      <c r="E387" s="3">
        <f>3775/(60*60*24)</f>
        <v>4.3692129629629629E-2</v>
      </c>
      <c r="F387" s="6">
        <f>13221/(60*60*24)</f>
        <v>0.15302083333333333</v>
      </c>
      <c r="G387" s="7" t="s">
        <v>9</v>
      </c>
    </row>
    <row r="388" spans="1:7" x14ac:dyDescent="0.45">
      <c r="A388" t="s">
        <v>483</v>
      </c>
      <c r="B388" s="2" t="s">
        <v>78</v>
      </c>
      <c r="C388" s="5">
        <f>3820/(60*60*24)</f>
        <v>4.4212962962962961E-2</v>
      </c>
      <c r="D388" s="4">
        <f>927/(60*60*24)</f>
        <v>1.0729166666666666E-2</v>
      </c>
      <c r="E388" s="3">
        <f>3595/(60*60*24)</f>
        <v>4.1608796296296297E-2</v>
      </c>
      <c r="F388" s="6">
        <f>12375/(60*60*24)</f>
        <v>0.14322916666666666</v>
      </c>
      <c r="G388" s="7" t="s">
        <v>9</v>
      </c>
    </row>
    <row r="389" spans="1:7" x14ac:dyDescent="0.45">
      <c r="A389" t="s">
        <v>484</v>
      </c>
      <c r="B389" s="2" t="s">
        <v>80</v>
      </c>
      <c r="C389" s="5">
        <f>3715/(60*60*24)</f>
        <v>4.2997685185185187E-2</v>
      </c>
      <c r="D389" s="4">
        <f>916/(60*60*24)</f>
        <v>1.0601851851851852E-2</v>
      </c>
      <c r="E389" s="3">
        <f>3375/(60*60*24)</f>
        <v>3.90625E-2</v>
      </c>
      <c r="F389" s="6">
        <f>11868/(60*60*24)</f>
        <v>0.1373611111111111</v>
      </c>
      <c r="G389" s="7" t="s">
        <v>9</v>
      </c>
    </row>
    <row r="390" spans="1:7" x14ac:dyDescent="0.45">
      <c r="A390" t="s">
        <v>485</v>
      </c>
      <c r="B390" s="2" t="s">
        <v>84</v>
      </c>
      <c r="C390" s="3">
        <f>3091/(60*60*24)</f>
        <v>3.577546296296296E-2</v>
      </c>
      <c r="D390" s="4">
        <f>945/(60*60*24)</f>
        <v>1.0937499999999999E-2</v>
      </c>
      <c r="E390" s="5">
        <f>3273/(60*60*24)</f>
        <v>3.7881944444444447E-2</v>
      </c>
      <c r="F390" s="6">
        <f>11393/(60*60*24)</f>
        <v>0.13186342592592593</v>
      </c>
      <c r="G390" s="7" t="s">
        <v>9</v>
      </c>
    </row>
    <row r="391" spans="1:7" x14ac:dyDescent="0.45">
      <c r="A391" t="s">
        <v>486</v>
      </c>
      <c r="B391" s="2" t="s">
        <v>82</v>
      </c>
      <c r="C391" s="5">
        <f>3540/(60*60*24)</f>
        <v>4.0972222222222222E-2</v>
      </c>
      <c r="D391" s="4">
        <f>1312/(60*60*24)</f>
        <v>1.5185185185185185E-2</v>
      </c>
      <c r="E391" s="3">
        <f>3272/(60*60*24)</f>
        <v>3.7870370370370374E-2</v>
      </c>
      <c r="F391" s="6">
        <f>11200/(60*60*24)</f>
        <v>0.12962962962962962</v>
      </c>
      <c r="G391" s="7" t="s">
        <v>9</v>
      </c>
    </row>
    <row r="392" spans="1:7" x14ac:dyDescent="0.45">
      <c r="A392" t="s">
        <v>487</v>
      </c>
      <c r="B392" s="2" t="s">
        <v>88</v>
      </c>
      <c r="C392" s="8" t="s">
        <v>12</v>
      </c>
      <c r="D392" s="4">
        <f>972/(60*60*24)</f>
        <v>1.125E-2</v>
      </c>
      <c r="E392" s="3">
        <f>3200/(60*60*24)</f>
        <v>3.7037037037037035E-2</v>
      </c>
      <c r="F392" s="5">
        <f>10874/(60*60*24)</f>
        <v>0.12585648148148149</v>
      </c>
      <c r="G392" s="7" t="s">
        <v>9</v>
      </c>
    </row>
    <row r="393" spans="1:7" x14ac:dyDescent="0.45">
      <c r="A393" t="s">
        <v>488</v>
      </c>
      <c r="B393" s="2" t="s">
        <v>86</v>
      </c>
      <c r="C393" s="8" t="s">
        <v>12</v>
      </c>
      <c r="D393" s="4">
        <f>1994/(60*60*24)</f>
        <v>2.3078703703703702E-2</v>
      </c>
      <c r="E393" s="3">
        <f>3041/(60*60*24)</f>
        <v>3.5196759259259261E-2</v>
      </c>
      <c r="F393" s="5">
        <f>10523/(60*60*24)</f>
        <v>0.12179398148148148</v>
      </c>
      <c r="G393" s="7" t="s">
        <v>9</v>
      </c>
    </row>
    <row r="394" spans="1:7" x14ac:dyDescent="0.45">
      <c r="A394" t="s">
        <v>489</v>
      </c>
      <c r="B394" s="2" t="s">
        <v>90</v>
      </c>
      <c r="C394" s="5">
        <f>3691/(60*60*24)</f>
        <v>4.2719907407407408E-2</v>
      </c>
      <c r="D394" s="4">
        <f>1157/(60*60*24)</f>
        <v>1.3391203703703704E-2</v>
      </c>
      <c r="E394" s="3">
        <f>3030/(60*60*24)</f>
        <v>3.5069444444444445E-2</v>
      </c>
      <c r="F394" s="6">
        <f>10612/(60*60*24)</f>
        <v>0.12282407407407407</v>
      </c>
      <c r="G394" s="7" t="s">
        <v>9</v>
      </c>
    </row>
    <row r="395" spans="1:7" x14ac:dyDescent="0.45">
      <c r="A395" t="s">
        <v>490</v>
      </c>
      <c r="B395" s="2" t="s">
        <v>92</v>
      </c>
      <c r="C395" s="8" t="s">
        <v>12</v>
      </c>
      <c r="D395" s="4">
        <f>1499/(60*60*24)</f>
        <v>1.7349537037037038E-2</v>
      </c>
      <c r="E395" s="3">
        <f>3218/(60*60*24)</f>
        <v>3.7245370370370373E-2</v>
      </c>
      <c r="F395" s="5">
        <f>11129/(60*60*24)</f>
        <v>0.12880787037037036</v>
      </c>
      <c r="G395" s="7" t="s">
        <v>9</v>
      </c>
    </row>
    <row r="396" spans="1:7" x14ac:dyDescent="0.45">
      <c r="A396" t="s">
        <v>491</v>
      </c>
      <c r="B396" s="2" t="s">
        <v>94</v>
      </c>
      <c r="C396" s="8" t="s">
        <v>12</v>
      </c>
      <c r="D396" s="4">
        <f>1348/(60*60*24)</f>
        <v>1.5601851851851851E-2</v>
      </c>
      <c r="E396" s="3">
        <f>3243/(60*60*24)</f>
        <v>3.7534722222222219E-2</v>
      </c>
      <c r="F396" s="5">
        <f>10492/(60*60*24)</f>
        <v>0.12143518518518519</v>
      </c>
      <c r="G396" s="7" t="s">
        <v>9</v>
      </c>
    </row>
    <row r="397" spans="1:7" x14ac:dyDescent="0.45">
      <c r="A397" t="s">
        <v>492</v>
      </c>
      <c r="B397" s="2" t="s">
        <v>96</v>
      </c>
      <c r="C397" s="8" t="s">
        <v>12</v>
      </c>
      <c r="D397" s="4">
        <f>1482/(60*60*24)</f>
        <v>1.7152777777777777E-2</v>
      </c>
      <c r="E397" s="3">
        <f>3180/(60*60*24)</f>
        <v>3.6805555555555557E-2</v>
      </c>
      <c r="F397" s="5">
        <f>9956/(60*60*24)</f>
        <v>0.11523148148148148</v>
      </c>
      <c r="G397" s="7" t="s">
        <v>9</v>
      </c>
    </row>
    <row r="398" spans="1:7" x14ac:dyDescent="0.45">
      <c r="A398" t="s">
        <v>493</v>
      </c>
      <c r="B398" s="2" t="s">
        <v>98</v>
      </c>
      <c r="C398" s="8" t="s">
        <v>12</v>
      </c>
      <c r="D398" s="4">
        <f>1630/(60*60*24)</f>
        <v>1.8865740740740742E-2</v>
      </c>
      <c r="E398" s="3">
        <f>3006/(60*60*24)</f>
        <v>3.4791666666666665E-2</v>
      </c>
      <c r="F398" s="5">
        <f>9654/(60*60*24)</f>
        <v>0.11173611111111111</v>
      </c>
      <c r="G398" s="7" t="s">
        <v>9</v>
      </c>
    </row>
    <row r="399" spans="1:7" x14ac:dyDescent="0.45">
      <c r="A399" t="s">
        <v>494</v>
      </c>
      <c r="B399" s="2" t="s">
        <v>100</v>
      </c>
      <c r="C399" s="8" t="s">
        <v>12</v>
      </c>
      <c r="D399" s="4">
        <f>1696/(60*60*24)</f>
        <v>1.9629629629629629E-2</v>
      </c>
      <c r="E399" s="3">
        <f>2734/(60*60*24)</f>
        <v>3.1643518518518515E-2</v>
      </c>
      <c r="F399" s="5">
        <f>8959/(60*60*24)</f>
        <v>0.10369212962962963</v>
      </c>
      <c r="G399" s="7" t="s">
        <v>9</v>
      </c>
    </row>
    <row r="400" spans="1:7" x14ac:dyDescent="0.45">
      <c r="A400" t="s">
        <v>495</v>
      </c>
      <c r="B400" s="2" t="s">
        <v>104</v>
      </c>
      <c r="C400" s="5">
        <f>4546/(60*60*24)</f>
        <v>5.2615740740740741E-2</v>
      </c>
      <c r="D400" s="4">
        <f>1253/(60*60*24)</f>
        <v>1.4502314814814815E-2</v>
      </c>
      <c r="E400" s="3">
        <f>2737/(60*60*24)</f>
        <v>3.1678240740740743E-2</v>
      </c>
      <c r="F400" s="6">
        <f>9007/(60*60*24)</f>
        <v>0.10424768518518518</v>
      </c>
      <c r="G400" s="7" t="s">
        <v>9</v>
      </c>
    </row>
    <row r="401" spans="1:7" x14ac:dyDescent="0.45">
      <c r="A401" t="s">
        <v>496</v>
      </c>
      <c r="B401" s="2" t="s">
        <v>102</v>
      </c>
      <c r="C401" s="5">
        <f>3904/(60*60*24)</f>
        <v>4.5185185185185182E-2</v>
      </c>
      <c r="D401" s="4">
        <f>1186/(60*60*24)</f>
        <v>1.3726851851851851E-2</v>
      </c>
      <c r="E401" s="3">
        <f>2549/(60*60*24)</f>
        <v>2.9502314814814815E-2</v>
      </c>
      <c r="F401" s="6">
        <f>9007/(60*60*24)</f>
        <v>0.10424768518518518</v>
      </c>
      <c r="G401" s="7" t="s">
        <v>9</v>
      </c>
    </row>
    <row r="402" spans="1:7" x14ac:dyDescent="0.45">
      <c r="A402" t="s">
        <v>497</v>
      </c>
      <c r="B402" s="2" t="s">
        <v>106</v>
      </c>
      <c r="C402" s="8" t="s">
        <v>12</v>
      </c>
      <c r="D402" s="4">
        <f>1244/(60*60*24)</f>
        <v>1.4398148148148148E-2</v>
      </c>
      <c r="E402" s="3">
        <f>2741/(60*60*24)</f>
        <v>3.1724537037037037E-2</v>
      </c>
      <c r="F402" s="5">
        <f>9923/(60*60*24)</f>
        <v>0.11484953703703704</v>
      </c>
      <c r="G402" s="7" t="s">
        <v>9</v>
      </c>
    </row>
    <row r="403" spans="1:7" x14ac:dyDescent="0.45">
      <c r="A403" t="s">
        <v>498</v>
      </c>
      <c r="B403" s="2" t="s">
        <v>108</v>
      </c>
      <c r="C403" s="8" t="s">
        <v>12</v>
      </c>
      <c r="D403" s="4">
        <f>1278/(60*60*24)</f>
        <v>1.4791666666666667E-2</v>
      </c>
      <c r="E403" s="3">
        <f>2881/(60*60*24)</f>
        <v>3.3344907407407406E-2</v>
      </c>
      <c r="F403" s="5">
        <f>9979/(60*60*24)</f>
        <v>0.11549768518518519</v>
      </c>
      <c r="G403" s="7" t="s">
        <v>9</v>
      </c>
    </row>
    <row r="404" spans="1:7" x14ac:dyDescent="0.45">
      <c r="A404" t="s">
        <v>499</v>
      </c>
      <c r="B404" s="2" t="s">
        <v>110</v>
      </c>
      <c r="C404" s="8" t="s">
        <v>12</v>
      </c>
      <c r="D404" s="4">
        <f>1339/(60*60*24)</f>
        <v>1.5497685185185186E-2</v>
      </c>
      <c r="E404" s="3">
        <f>2728/(60*60*24)</f>
        <v>3.1574074074074074E-2</v>
      </c>
      <c r="F404" s="5">
        <f>9415/(60*60*24)</f>
        <v>0.1089699074074074</v>
      </c>
      <c r="G404" s="7" t="s">
        <v>9</v>
      </c>
    </row>
    <row r="405" spans="1:7" x14ac:dyDescent="0.45">
      <c r="A405" t="s">
        <v>500</v>
      </c>
      <c r="B405" s="2" t="s">
        <v>112</v>
      </c>
      <c r="C405" s="8" t="s">
        <v>12</v>
      </c>
      <c r="D405" s="4">
        <f>1411/(60*60*24)</f>
        <v>1.6331018518518519E-2</v>
      </c>
      <c r="E405" s="3">
        <f>2683/(60*60*24)</f>
        <v>3.1053240740740742E-2</v>
      </c>
      <c r="F405" s="5">
        <f>9141/(60*60*24)</f>
        <v>0.10579861111111111</v>
      </c>
      <c r="G405" s="7" t="s">
        <v>9</v>
      </c>
    </row>
    <row r="406" spans="1:7" x14ac:dyDescent="0.45">
      <c r="A406" t="s">
        <v>501</v>
      </c>
      <c r="B406" s="2" t="s">
        <v>114</v>
      </c>
      <c r="C406" s="5">
        <f>3829/(60*60*24)</f>
        <v>4.431712962962963E-2</v>
      </c>
      <c r="D406" s="4">
        <f>1339/(60*60*24)</f>
        <v>1.5497685185185186E-2</v>
      </c>
      <c r="E406" s="3">
        <f>2749/(60*60*24)</f>
        <v>3.1817129629629633E-2</v>
      </c>
      <c r="F406" s="6">
        <f>9459/(60*60*24)</f>
        <v>0.10947916666666667</v>
      </c>
      <c r="G406" s="7" t="s">
        <v>9</v>
      </c>
    </row>
    <row r="407" spans="1:7" x14ac:dyDescent="0.45">
      <c r="A407" t="s">
        <v>502</v>
      </c>
      <c r="B407" s="2" t="s">
        <v>116</v>
      </c>
      <c r="C407" s="5">
        <f>3616/(60*60*24)</f>
        <v>4.1851851851851848E-2</v>
      </c>
      <c r="D407" s="4">
        <f>1293/(60*60*24)</f>
        <v>1.4965277777777777E-2</v>
      </c>
      <c r="E407" s="3">
        <f>2797/(60*60*24)</f>
        <v>3.2372685185185185E-2</v>
      </c>
      <c r="F407" s="6">
        <f>9708/(60*60*24)</f>
        <v>0.11236111111111111</v>
      </c>
      <c r="G407" s="7" t="s">
        <v>9</v>
      </c>
    </row>
    <row r="408" spans="1:7" x14ac:dyDescent="0.45">
      <c r="A408" t="s">
        <v>503</v>
      </c>
      <c r="B408" s="2" t="s">
        <v>118</v>
      </c>
      <c r="C408" s="8" t="s">
        <v>12</v>
      </c>
      <c r="D408" s="4">
        <f>1466/(60*60*24)</f>
        <v>1.6967592592592593E-2</v>
      </c>
      <c r="E408" s="3">
        <f>3218/(60*60*24)</f>
        <v>3.7245370370370373E-2</v>
      </c>
      <c r="F408" s="5">
        <f>10360/(60*60*24)</f>
        <v>0.11990740740740741</v>
      </c>
      <c r="G408" s="7" t="s">
        <v>9</v>
      </c>
    </row>
    <row r="409" spans="1:7" x14ac:dyDescent="0.45">
      <c r="A409" t="s">
        <v>504</v>
      </c>
      <c r="B409" s="2" t="s">
        <v>120</v>
      </c>
      <c r="C409" s="8" t="s">
        <v>12</v>
      </c>
      <c r="D409" s="4">
        <f>1228/(60*60*24)</f>
        <v>1.4212962962962964E-2</v>
      </c>
      <c r="E409" s="3">
        <f>3324/(60*60*24)</f>
        <v>3.847222222222222E-2</v>
      </c>
      <c r="F409" s="5">
        <f>11008/(60*60*24)</f>
        <v>0.12740740740740741</v>
      </c>
      <c r="G409" s="7" t="s">
        <v>9</v>
      </c>
    </row>
    <row r="410" spans="1:7" x14ac:dyDescent="0.45">
      <c r="A410" t="s">
        <v>505</v>
      </c>
      <c r="B410" s="2" t="s">
        <v>124</v>
      </c>
      <c r="C410" s="3">
        <f>2282/(60*60*24)</f>
        <v>2.6412037037037036E-2</v>
      </c>
      <c r="D410" s="4">
        <f>1324/(60*60*24)</f>
        <v>1.5324074074074073E-2</v>
      </c>
      <c r="E410" s="5">
        <f>3573/(60*60*24)</f>
        <v>4.1354166666666664E-2</v>
      </c>
      <c r="F410" s="6">
        <f>11983/(60*60*24)</f>
        <v>0.13869212962962962</v>
      </c>
      <c r="G410" s="7" t="s">
        <v>9</v>
      </c>
    </row>
    <row r="411" spans="1:7" x14ac:dyDescent="0.45">
      <c r="A411" t="s">
        <v>506</v>
      </c>
      <c r="B411" s="2" t="s">
        <v>122</v>
      </c>
      <c r="C411" s="5">
        <f>5125/(60*60*24)</f>
        <v>5.9317129629629629E-2</v>
      </c>
      <c r="D411" s="4">
        <f>1396/(60*60*24)</f>
        <v>1.6157407407407409E-2</v>
      </c>
      <c r="E411" s="3">
        <f>3826/(60*60*24)</f>
        <v>4.4282407407407409E-2</v>
      </c>
      <c r="F411" s="6">
        <f>12546/(60*60*24)</f>
        <v>0.14520833333333333</v>
      </c>
      <c r="G411" s="7" t="s">
        <v>9</v>
      </c>
    </row>
    <row r="412" spans="1:7" x14ac:dyDescent="0.45">
      <c r="A412" t="s">
        <v>507</v>
      </c>
      <c r="B412" s="2" t="s">
        <v>126</v>
      </c>
      <c r="C412" s="5">
        <f>4848/(60*60*24)</f>
        <v>5.6111111111111112E-2</v>
      </c>
      <c r="D412" s="4">
        <f>1451/(60*60*24)</f>
        <v>1.6793981481481483E-2</v>
      </c>
      <c r="E412" s="3">
        <f>3943/(60*60*24)</f>
        <v>4.5636574074074072E-2</v>
      </c>
      <c r="F412" s="6">
        <f>13087/(60*60*24)</f>
        <v>0.1514699074074074</v>
      </c>
      <c r="G412" s="7" t="s">
        <v>9</v>
      </c>
    </row>
    <row r="413" spans="1:7" x14ac:dyDescent="0.45">
      <c r="A413" t="s">
        <v>508</v>
      </c>
      <c r="B413" s="2" t="s">
        <v>128</v>
      </c>
      <c r="C413" s="5">
        <f>5450/(60*60*24)</f>
        <v>6.3078703703703706E-2</v>
      </c>
      <c r="D413" s="4">
        <f>1494/(60*60*24)</f>
        <v>1.7291666666666667E-2</v>
      </c>
      <c r="E413" s="3">
        <f>4098/(60*60*24)</f>
        <v>4.7430555555555552E-2</v>
      </c>
      <c r="F413" s="6">
        <f>13700/(60*60*24)</f>
        <v>0.15856481481481483</v>
      </c>
      <c r="G413" s="7" t="s">
        <v>9</v>
      </c>
    </row>
    <row r="414" spans="1:7" x14ac:dyDescent="0.45">
      <c r="A414" t="s">
        <v>509</v>
      </c>
      <c r="B414" s="2" t="s">
        <v>130</v>
      </c>
      <c r="C414" s="8" t="s">
        <v>12</v>
      </c>
      <c r="D414" s="4">
        <f>1469/(60*60*24)</f>
        <v>1.7002314814814814E-2</v>
      </c>
      <c r="E414" s="3">
        <f>4262/(60*60*24)</f>
        <v>4.9328703703703701E-2</v>
      </c>
      <c r="F414" s="5">
        <f>14290/(60*60*24)</f>
        <v>0.16539351851851852</v>
      </c>
      <c r="G414" s="7" t="s">
        <v>9</v>
      </c>
    </row>
    <row r="415" spans="1:7" x14ac:dyDescent="0.45">
      <c r="A415" t="s">
        <v>510</v>
      </c>
      <c r="B415" s="2" t="s">
        <v>132</v>
      </c>
      <c r="C415" s="8" t="s">
        <v>12</v>
      </c>
      <c r="D415" s="4">
        <f>1534/(60*60*24)</f>
        <v>1.7754629629629631E-2</v>
      </c>
      <c r="E415" s="3">
        <f>4516/(60*60*24)</f>
        <v>5.226851851851852E-2</v>
      </c>
      <c r="F415" s="5">
        <f>15372/(60*60*24)</f>
        <v>0.17791666666666667</v>
      </c>
      <c r="G415" s="7" t="s">
        <v>9</v>
      </c>
    </row>
    <row r="416" spans="1:7" x14ac:dyDescent="0.45">
      <c r="A416" t="s">
        <v>511</v>
      </c>
      <c r="B416" s="2" t="s">
        <v>136</v>
      </c>
      <c r="C416" s="8" t="s">
        <v>12</v>
      </c>
      <c r="D416" s="4">
        <f>1514/(60*60*24)</f>
        <v>1.7523148148148149E-2</v>
      </c>
      <c r="E416" s="3">
        <f>4730/(60*60*24)</f>
        <v>5.4745370370370368E-2</v>
      </c>
      <c r="F416" s="5">
        <f>15568/(60*60*24)</f>
        <v>0.1801851851851852</v>
      </c>
      <c r="G416" s="7" t="s">
        <v>9</v>
      </c>
    </row>
    <row r="417" spans="1:7" x14ac:dyDescent="0.45">
      <c r="A417" t="s">
        <v>512</v>
      </c>
      <c r="B417" s="2" t="s">
        <v>134</v>
      </c>
      <c r="C417" s="8" t="s">
        <v>12</v>
      </c>
      <c r="D417" s="4">
        <f>1629/(60*60*24)</f>
        <v>1.8854166666666668E-2</v>
      </c>
      <c r="E417" s="3">
        <f>4871/(60*60*24)</f>
        <v>5.6377314814814818E-2</v>
      </c>
      <c r="F417" s="5">
        <f>15993/(60*60*24)</f>
        <v>0.18510416666666665</v>
      </c>
      <c r="G417" s="7" t="s">
        <v>9</v>
      </c>
    </row>
    <row r="418" spans="1:7" x14ac:dyDescent="0.45">
      <c r="A418" t="s">
        <v>513</v>
      </c>
      <c r="B418" s="2" t="s">
        <v>140</v>
      </c>
      <c r="C418" s="5">
        <f>5744/(60*60*24)</f>
        <v>6.6481481481481475E-2</v>
      </c>
      <c r="D418" s="4">
        <f>1669/(60*60*24)</f>
        <v>1.9317129629629629E-2</v>
      </c>
      <c r="E418" s="3">
        <f>5363/(60*60*24)</f>
        <v>6.2071759259259257E-2</v>
      </c>
      <c r="F418" s="6">
        <f>18022/(60*60*24)</f>
        <v>0.20858796296296298</v>
      </c>
      <c r="G418" s="7" t="s">
        <v>9</v>
      </c>
    </row>
    <row r="419" spans="1:7" x14ac:dyDescent="0.45">
      <c r="A419" t="s">
        <v>514</v>
      </c>
      <c r="B419" s="2" t="s">
        <v>138</v>
      </c>
      <c r="C419" s="8" t="s">
        <v>12</v>
      </c>
      <c r="D419" s="4">
        <f>1676/(60*60*24)</f>
        <v>1.9398148148148147E-2</v>
      </c>
      <c r="E419" s="3">
        <f>5240/(60*60*24)</f>
        <v>6.0648148148148145E-2</v>
      </c>
      <c r="F419" s="5">
        <f>17359/(60*60*24)</f>
        <v>0.20091435185185186</v>
      </c>
      <c r="G419" s="7" t="s">
        <v>9</v>
      </c>
    </row>
    <row r="420" spans="1:7" x14ac:dyDescent="0.45">
      <c r="A420" t="s">
        <v>515</v>
      </c>
      <c r="B420" s="2" t="s">
        <v>142</v>
      </c>
      <c r="C420" s="5">
        <f>5901/(60*60*24)</f>
        <v>6.8298611111111115E-2</v>
      </c>
      <c r="D420" s="4">
        <f>1779/(60*60*24)</f>
        <v>2.0590277777777777E-2</v>
      </c>
      <c r="E420" s="3">
        <f>5632/(60*60*24)</f>
        <v>6.5185185185185179E-2</v>
      </c>
      <c r="F420" s="6">
        <f>18456/(60*60*24)</f>
        <v>0.21361111111111111</v>
      </c>
      <c r="G420" s="7" t="s">
        <v>9</v>
      </c>
    </row>
    <row r="421" spans="1:7" x14ac:dyDescent="0.45">
      <c r="A421" t="s">
        <v>516</v>
      </c>
      <c r="B421" s="2" t="s">
        <v>144</v>
      </c>
      <c r="C421" s="5">
        <f>6069/(60*60*24)</f>
        <v>7.0243055555555559E-2</v>
      </c>
      <c r="D421" s="4">
        <f>1671/(60*60*24)</f>
        <v>1.9340277777777779E-2</v>
      </c>
      <c r="E421" s="3">
        <f>5804/(60*60*24)</f>
        <v>6.7175925925925931E-2</v>
      </c>
      <c r="F421" s="6">
        <f>19353/(60*60*24)</f>
        <v>0.22399305555555554</v>
      </c>
      <c r="G421" s="7" t="s">
        <v>9</v>
      </c>
    </row>
    <row r="422" spans="1:7" x14ac:dyDescent="0.45">
      <c r="A422" t="s">
        <v>517</v>
      </c>
      <c r="B422" s="2" t="s">
        <v>146</v>
      </c>
      <c r="C422" s="8" t="s">
        <v>12</v>
      </c>
      <c r="D422" s="4">
        <f>1774/(60*60*24)</f>
        <v>2.0532407407407409E-2</v>
      </c>
      <c r="E422" s="3">
        <f>6089/(60*60*24)</f>
        <v>7.0474537037037044E-2</v>
      </c>
      <c r="F422" s="5">
        <f>20238/(60*60*24)</f>
        <v>0.23423611111111112</v>
      </c>
      <c r="G422" s="7" t="s">
        <v>9</v>
      </c>
    </row>
    <row r="423" spans="1:7" x14ac:dyDescent="0.45">
      <c r="A423" t="s">
        <v>518</v>
      </c>
      <c r="B423" s="2" t="s">
        <v>148</v>
      </c>
      <c r="C423" s="8" t="s">
        <v>12</v>
      </c>
      <c r="D423" s="4">
        <f>1669/(60*60*24)</f>
        <v>1.9317129629629629E-2</v>
      </c>
      <c r="E423" s="3">
        <f>6405/(60*60*24)</f>
        <v>7.4131944444444445E-2</v>
      </c>
      <c r="F423" s="5">
        <f>20870/(60*60*24)</f>
        <v>0.24155092592592592</v>
      </c>
      <c r="G423" s="7" t="s">
        <v>9</v>
      </c>
    </row>
    <row r="424" spans="1:7" x14ac:dyDescent="0.45">
      <c r="A424" t="s">
        <v>519</v>
      </c>
      <c r="B424" s="2" t="s">
        <v>150</v>
      </c>
      <c r="C424" s="3">
        <f>6046/(60*60*24)</f>
        <v>6.9976851851851846E-2</v>
      </c>
      <c r="D424" s="4">
        <f>1399/(60*60*24)</f>
        <v>1.6192129629629629E-2</v>
      </c>
      <c r="E424" s="5">
        <f>6723/(60*60*24)</f>
        <v>7.7812500000000007E-2</v>
      </c>
      <c r="F424" s="6">
        <f>22055/(60*60*24)</f>
        <v>0.25526620370370373</v>
      </c>
      <c r="G424" s="7" t="s">
        <v>9</v>
      </c>
    </row>
    <row r="425" spans="1:7" x14ac:dyDescent="0.45">
      <c r="A425" t="s">
        <v>520</v>
      </c>
      <c r="B425" s="2" t="s">
        <v>152</v>
      </c>
      <c r="C425" s="3">
        <f>5848/(60*60*24)</f>
        <v>6.7685185185185182E-2</v>
      </c>
      <c r="D425" s="4">
        <f>1481/(60*60*24)</f>
        <v>1.7141203703703704E-2</v>
      </c>
      <c r="E425" s="5">
        <f>6511/(60*60*24)</f>
        <v>7.5358796296296299E-2</v>
      </c>
      <c r="F425" s="6">
        <f>22200/(60*60*24)</f>
        <v>0.25694444444444442</v>
      </c>
      <c r="G425" s="7" t="s">
        <v>9</v>
      </c>
    </row>
    <row r="426" spans="1:7" x14ac:dyDescent="0.45">
      <c r="A426" t="s">
        <v>521</v>
      </c>
      <c r="B426" s="2" t="s">
        <v>154</v>
      </c>
      <c r="C426" s="8" t="s">
        <v>12</v>
      </c>
      <c r="D426" s="4">
        <f>1510/(60*60*24)</f>
        <v>1.7476851851851851E-2</v>
      </c>
      <c r="E426" s="3">
        <f>6618/(60*60*24)</f>
        <v>7.6597222222222219E-2</v>
      </c>
      <c r="F426" s="5">
        <f>22754/(60*60*24)</f>
        <v>0.2633564814814815</v>
      </c>
      <c r="G426" s="7" t="s">
        <v>9</v>
      </c>
    </row>
    <row r="427" spans="1:7" x14ac:dyDescent="0.45">
      <c r="A427" t="s">
        <v>522</v>
      </c>
      <c r="B427" s="2" t="s">
        <v>156</v>
      </c>
      <c r="C427" s="8" t="s">
        <v>12</v>
      </c>
      <c r="D427" s="4">
        <f>1563/(60*60*24)</f>
        <v>1.8090277777777778E-2</v>
      </c>
      <c r="E427" s="3">
        <f>6797/(60*60*24)</f>
        <v>7.8668981481481479E-2</v>
      </c>
      <c r="F427" s="5">
        <f>23720/(60*60*24)</f>
        <v>0.27453703703703702</v>
      </c>
      <c r="G427" s="7" t="s">
        <v>9</v>
      </c>
    </row>
    <row r="428" spans="1:7" x14ac:dyDescent="0.45">
      <c r="A428" t="s">
        <v>523</v>
      </c>
      <c r="B428" s="2" t="s">
        <v>160</v>
      </c>
      <c r="C428" s="8" t="s">
        <v>12</v>
      </c>
      <c r="D428" s="4">
        <f>1642/(60*60*24)</f>
        <v>1.9004629629629628E-2</v>
      </c>
      <c r="E428" s="3">
        <f>7004/(60*60*24)</f>
        <v>8.1064814814814812E-2</v>
      </c>
      <c r="F428" s="5">
        <f>24248/(60*60*24)</f>
        <v>0.28064814814814815</v>
      </c>
      <c r="G428" s="7" t="s">
        <v>9</v>
      </c>
    </row>
    <row r="429" spans="1:7" x14ac:dyDescent="0.45">
      <c r="A429" t="s">
        <v>524</v>
      </c>
      <c r="B429" s="2" t="s">
        <v>158</v>
      </c>
      <c r="C429" s="8" t="s">
        <v>12</v>
      </c>
      <c r="D429" s="4">
        <f>1771/(60*60*24)</f>
        <v>2.0497685185185185E-2</v>
      </c>
      <c r="E429" s="3">
        <f>7186/(60*60*24)</f>
        <v>8.3171296296296299E-2</v>
      </c>
      <c r="F429" s="5">
        <f>25016/(60*60*24)</f>
        <v>0.28953703703703704</v>
      </c>
      <c r="G429" s="7" t="s">
        <v>9</v>
      </c>
    </row>
    <row r="430" spans="1:7" x14ac:dyDescent="0.45">
      <c r="A430" t="s">
        <v>525</v>
      </c>
      <c r="B430" s="2" t="s">
        <v>162</v>
      </c>
      <c r="C430" s="8" t="s">
        <v>12</v>
      </c>
      <c r="D430" s="4">
        <f>1772/(60*60*24)</f>
        <v>2.0509259259259258E-2</v>
      </c>
      <c r="E430" s="3">
        <f>7534/(60*60*24)</f>
        <v>8.7199074074074068E-2</v>
      </c>
      <c r="F430" s="5">
        <f>25202/(60*60*24)</f>
        <v>0.29168981481481482</v>
      </c>
      <c r="G430" s="7" t="s">
        <v>9</v>
      </c>
    </row>
    <row r="431" spans="1:7" x14ac:dyDescent="0.45">
      <c r="A431" t="s">
        <v>526</v>
      </c>
      <c r="B431" s="2" t="s">
        <v>164</v>
      </c>
      <c r="C431" s="8" t="s">
        <v>12</v>
      </c>
      <c r="D431" s="4">
        <f>1917/(60*60*24)</f>
        <v>2.2187499999999999E-2</v>
      </c>
      <c r="E431" s="3">
        <f>8059/(60*60*24)</f>
        <v>9.3275462962962963E-2</v>
      </c>
      <c r="F431" s="5">
        <f>25803/(60*60*24)</f>
        <v>0.29864583333333333</v>
      </c>
      <c r="G431" s="7" t="s">
        <v>9</v>
      </c>
    </row>
    <row r="432" spans="1:7" x14ac:dyDescent="0.45">
      <c r="A432" t="s">
        <v>527</v>
      </c>
      <c r="B432" s="2" t="s">
        <v>168</v>
      </c>
      <c r="C432" s="8" t="s">
        <v>12</v>
      </c>
      <c r="D432" s="4">
        <f>1931/(60*60*24)</f>
        <v>2.2349537037037036E-2</v>
      </c>
      <c r="E432" s="3">
        <f>8090/(60*60*24)</f>
        <v>9.3634259259259264E-2</v>
      </c>
      <c r="F432" s="5">
        <f>26533/(60*60*24)</f>
        <v>0.30709490740740741</v>
      </c>
      <c r="G432" s="7" t="s">
        <v>9</v>
      </c>
    </row>
    <row r="433" spans="1:7" x14ac:dyDescent="0.45">
      <c r="A433" t="s">
        <v>528</v>
      </c>
      <c r="B433" s="2" t="s">
        <v>166</v>
      </c>
      <c r="C433" s="8" t="s">
        <v>12</v>
      </c>
      <c r="D433" s="4">
        <f>1827/(60*60*24)</f>
        <v>2.1145833333333332E-2</v>
      </c>
      <c r="E433" s="3">
        <f>7889/(60*60*24)</f>
        <v>9.1307870370370373E-2</v>
      </c>
      <c r="F433" s="5">
        <f>27579/(60*60*24)</f>
        <v>0.31920138888888888</v>
      </c>
      <c r="G433" s="7" t="s">
        <v>9</v>
      </c>
    </row>
    <row r="434" spans="1:7" x14ac:dyDescent="0.45">
      <c r="A434" t="s">
        <v>529</v>
      </c>
      <c r="B434" s="2" t="s">
        <v>170</v>
      </c>
      <c r="C434" s="3">
        <f>4627/(60*60*24)</f>
        <v>5.3553240740740742E-2</v>
      </c>
      <c r="D434" s="4">
        <f>1701/(60*60*24)</f>
        <v>1.96875E-2</v>
      </c>
      <c r="E434" s="5">
        <f>8116/(60*60*24)</f>
        <v>9.3935185185185191E-2</v>
      </c>
      <c r="F434" s="6">
        <f>28265/(60*60*24)</f>
        <v>0.3271412037037037</v>
      </c>
      <c r="G434" s="7" t="s">
        <v>9</v>
      </c>
    </row>
    <row r="435" spans="1:7" x14ac:dyDescent="0.45">
      <c r="A435" t="s">
        <v>530</v>
      </c>
      <c r="B435" s="2" t="s">
        <v>172</v>
      </c>
      <c r="C435" s="5">
        <f>10350/(60*60*24)</f>
        <v>0.11979166666666667</v>
      </c>
      <c r="D435" s="4">
        <f>1721/(60*60*24)</f>
        <v>1.9918981481481482E-2</v>
      </c>
      <c r="E435" s="3">
        <f>8378/(60*60*24)</f>
        <v>9.6967592592592591E-2</v>
      </c>
      <c r="F435" s="6">
        <f>29030/(60*60*24)</f>
        <v>0.33599537037037036</v>
      </c>
      <c r="G435" s="7" t="s">
        <v>9</v>
      </c>
    </row>
    <row r="436" spans="1:7" x14ac:dyDescent="0.45">
      <c r="A436" t="s">
        <v>531</v>
      </c>
      <c r="B436" s="2" t="s">
        <v>176</v>
      </c>
      <c r="C436" s="8" t="s">
        <v>12</v>
      </c>
      <c r="D436" s="4">
        <f>1791/(60*60*24)</f>
        <v>2.0729166666666667E-2</v>
      </c>
      <c r="E436" s="3">
        <f>8450/(60*60*24)</f>
        <v>9.780092592592593E-2</v>
      </c>
      <c r="F436" s="5">
        <f>29400/(60*60*24)</f>
        <v>0.34027777777777779</v>
      </c>
      <c r="G436" s="7" t="s">
        <v>9</v>
      </c>
    </row>
    <row r="437" spans="1:7" x14ac:dyDescent="0.45">
      <c r="A437" t="s">
        <v>532</v>
      </c>
      <c r="B437" s="2" t="s">
        <v>174</v>
      </c>
      <c r="C437" s="8" t="s">
        <v>12</v>
      </c>
      <c r="D437" s="4">
        <f>1793/(60*60*24)</f>
        <v>2.0752314814814814E-2</v>
      </c>
      <c r="E437" s="3">
        <f>8653/(60*60*24)</f>
        <v>0.10015046296296297</v>
      </c>
      <c r="F437" s="5">
        <f>30018/(60*60*24)</f>
        <v>0.34743055555555558</v>
      </c>
      <c r="G437" s="7" t="s">
        <v>9</v>
      </c>
    </row>
    <row r="438" spans="1:7" x14ac:dyDescent="0.45">
      <c r="A438" t="s">
        <v>533</v>
      </c>
      <c r="B438" s="2" t="s">
        <v>180</v>
      </c>
      <c r="C438" s="8" t="s">
        <v>12</v>
      </c>
      <c r="D438" s="4">
        <f>1942/(60*60*24)</f>
        <v>2.2476851851851852E-2</v>
      </c>
      <c r="E438" s="3">
        <f>9027/(60*60*24)</f>
        <v>0.10447916666666666</v>
      </c>
      <c r="F438" s="5">
        <f>30992/(60*60*24)</f>
        <v>0.35870370370370369</v>
      </c>
      <c r="G438" s="7" t="s">
        <v>9</v>
      </c>
    </row>
    <row r="439" spans="1:7" x14ac:dyDescent="0.45">
      <c r="A439" t="s">
        <v>534</v>
      </c>
      <c r="B439" s="2" t="s">
        <v>178</v>
      </c>
      <c r="C439" s="8" t="s">
        <v>12</v>
      </c>
      <c r="D439" s="4">
        <f>2017/(60*60*24)</f>
        <v>2.3344907407407408E-2</v>
      </c>
      <c r="E439" s="3">
        <f>9283/(60*60*24)</f>
        <v>0.10744212962962962</v>
      </c>
      <c r="F439" s="5">
        <f>32235/(60*60*24)</f>
        <v>0.37309027777777776</v>
      </c>
      <c r="G439" s="7" t="s">
        <v>9</v>
      </c>
    </row>
    <row r="440" spans="1:7" x14ac:dyDescent="0.45">
      <c r="A440" t="s">
        <v>535</v>
      </c>
      <c r="B440" s="2" t="s">
        <v>182</v>
      </c>
      <c r="C440" s="8" t="s">
        <v>12</v>
      </c>
      <c r="D440" s="4">
        <f>2236/(60*60*24)</f>
        <v>2.5879629629629631E-2</v>
      </c>
      <c r="E440" s="3">
        <f>9444/(60*60*24)</f>
        <v>0.10930555555555556</v>
      </c>
      <c r="F440" s="5">
        <f>32877/(60*60*24)</f>
        <v>0.38052083333333331</v>
      </c>
      <c r="G440" s="7" t="s">
        <v>9</v>
      </c>
    </row>
    <row r="441" spans="1:7" x14ac:dyDescent="0.45">
      <c r="A441" t="s">
        <v>536</v>
      </c>
      <c r="B441" s="2" t="s">
        <v>184</v>
      </c>
      <c r="C441" s="8" t="s">
        <v>12</v>
      </c>
      <c r="D441" s="4">
        <f>2362/(60*60*24)</f>
        <v>2.7337962962962963E-2</v>
      </c>
      <c r="E441" s="3">
        <f>9784/(60*60*24)</f>
        <v>0.11324074074074074</v>
      </c>
      <c r="F441" s="5">
        <f>33245/(60*60*24)</f>
        <v>0.3847800925925926</v>
      </c>
      <c r="G441" s="7" t="s">
        <v>9</v>
      </c>
    </row>
    <row r="442" spans="1:7" x14ac:dyDescent="0.45">
      <c r="A442" t="s">
        <v>537</v>
      </c>
      <c r="B442" s="2" t="s">
        <v>8</v>
      </c>
      <c r="C442" s="3">
        <f>7780/(60*60*24)</f>
        <v>9.0046296296296291E-2</v>
      </c>
      <c r="D442" s="4">
        <f>1931/(60*60*24)</f>
        <v>2.2349537037037036E-2</v>
      </c>
      <c r="E442" s="5">
        <f>10444/(60*60*24)</f>
        <v>0.12087962962962963</v>
      </c>
      <c r="F442" s="6">
        <f>35259/(60*60*24)</f>
        <v>0.40809027777777779</v>
      </c>
      <c r="G442" s="7" t="s">
        <v>9</v>
      </c>
    </row>
    <row r="443" spans="1:7" x14ac:dyDescent="0.45">
      <c r="A443" t="s">
        <v>538</v>
      </c>
      <c r="B443" s="2" t="s">
        <v>11</v>
      </c>
      <c r="C443" s="3">
        <f>7915/(60*60*24)</f>
        <v>9.1608796296296299E-2</v>
      </c>
      <c r="D443" s="4">
        <f>1902/(60*60*24)</f>
        <v>2.2013888888888888E-2</v>
      </c>
      <c r="E443" s="5">
        <f>10326/(60*60*24)</f>
        <v>0.11951388888888889</v>
      </c>
      <c r="F443" s="6">
        <f>35280/(60*60*24)</f>
        <v>0.40833333333333333</v>
      </c>
      <c r="G443" s="7" t="s">
        <v>9</v>
      </c>
    </row>
    <row r="444" spans="1:7" x14ac:dyDescent="0.45">
      <c r="A444" t="s">
        <v>539</v>
      </c>
      <c r="B444" s="2" t="s">
        <v>14</v>
      </c>
      <c r="C444" s="3">
        <f>7274/(60*60*24)</f>
        <v>8.4189814814814815E-2</v>
      </c>
      <c r="D444" s="4">
        <f>1928/(60*60*24)</f>
        <v>2.2314814814814815E-2</v>
      </c>
      <c r="E444" s="5">
        <f>10325/(60*60*24)</f>
        <v>0.11950231481481481</v>
      </c>
      <c r="F444" s="6">
        <f>34066/(60*60*24)</f>
        <v>0.39428240740740739</v>
      </c>
      <c r="G444" s="7" t="s">
        <v>9</v>
      </c>
    </row>
    <row r="445" spans="1:7" x14ac:dyDescent="0.45">
      <c r="A445" t="s">
        <v>540</v>
      </c>
      <c r="B445" s="2" t="s">
        <v>16</v>
      </c>
      <c r="C445" s="3">
        <f>7361/(60*60*24)</f>
        <v>8.5196759259259264E-2</v>
      </c>
      <c r="D445" s="4">
        <f>1926/(60*60*24)</f>
        <v>2.2291666666666668E-2</v>
      </c>
      <c r="E445" s="5">
        <f>10237/(60*60*24)</f>
        <v>0.1184837962962963</v>
      </c>
      <c r="F445" s="6">
        <f>33603/(60*60*24)</f>
        <v>0.38892361111111112</v>
      </c>
      <c r="G445" s="7" t="s">
        <v>9</v>
      </c>
    </row>
    <row r="446" spans="1:7" x14ac:dyDescent="0.45">
      <c r="A446" t="s">
        <v>541</v>
      </c>
      <c r="B446" s="2" t="s">
        <v>18</v>
      </c>
      <c r="C446" s="8" t="s">
        <v>12</v>
      </c>
      <c r="D446" s="4">
        <f>1962/(60*60*24)</f>
        <v>2.2708333333333334E-2</v>
      </c>
      <c r="E446" s="3">
        <f>9883/(60*60*24)</f>
        <v>0.11438657407407407</v>
      </c>
      <c r="F446" s="5">
        <f>32068/(60*60*24)</f>
        <v>0.37115740740740738</v>
      </c>
      <c r="G446" s="7" t="s">
        <v>9</v>
      </c>
    </row>
    <row r="447" spans="1:7" x14ac:dyDescent="0.45">
      <c r="A447" t="s">
        <v>542</v>
      </c>
      <c r="B447" s="2" t="s">
        <v>20</v>
      </c>
      <c r="C447" s="8" t="s">
        <v>12</v>
      </c>
      <c r="D447" s="4">
        <f>1892/(60*60*24)</f>
        <v>2.1898148148148149E-2</v>
      </c>
      <c r="E447" s="3">
        <f>9775/(60*60*24)</f>
        <v>0.11313657407407407</v>
      </c>
      <c r="F447" s="5">
        <f>31656/(60*60*24)</f>
        <v>0.36638888888888888</v>
      </c>
      <c r="G447" s="7" t="s">
        <v>9</v>
      </c>
    </row>
    <row r="448" spans="1:7" x14ac:dyDescent="0.45">
      <c r="A448" t="s">
        <v>543</v>
      </c>
      <c r="B448" s="2" t="s">
        <v>22</v>
      </c>
      <c r="C448" s="8" t="s">
        <v>12</v>
      </c>
      <c r="D448" s="4">
        <f>1928/(60*60*24)</f>
        <v>2.2314814814814815E-2</v>
      </c>
      <c r="E448" s="3">
        <f>9358/(60*60*24)</f>
        <v>0.10831018518518519</v>
      </c>
      <c r="F448" s="5">
        <f>30630/(60*60*24)</f>
        <v>0.35451388888888891</v>
      </c>
      <c r="G448" s="7" t="s">
        <v>9</v>
      </c>
    </row>
    <row r="449" spans="1:7" x14ac:dyDescent="0.45">
      <c r="A449" t="s">
        <v>544</v>
      </c>
      <c r="B449" s="2" t="s">
        <v>24</v>
      </c>
      <c r="C449" s="8" t="s">
        <v>12</v>
      </c>
      <c r="D449" s="4">
        <f>1687/(60*60*24)</f>
        <v>1.9525462962962963E-2</v>
      </c>
      <c r="E449" s="3">
        <f>9050/(60*60*24)</f>
        <v>0.10474537037037036</v>
      </c>
      <c r="F449" s="5">
        <f>30035/(60*60*24)</f>
        <v>0.34762731481481479</v>
      </c>
      <c r="G449" s="7" t="s">
        <v>9</v>
      </c>
    </row>
    <row r="450" spans="1:7" x14ac:dyDescent="0.45">
      <c r="A450" t="s">
        <v>545</v>
      </c>
      <c r="B450" s="2" t="s">
        <v>26</v>
      </c>
      <c r="C450" s="8" t="s">
        <v>12</v>
      </c>
      <c r="D450" s="4">
        <f>1306/(60*60*24)</f>
        <v>1.511574074074074E-2</v>
      </c>
      <c r="E450" s="3">
        <f>8850/(60*60*24)</f>
        <v>0.10243055555555555</v>
      </c>
      <c r="F450" s="5">
        <f>28910/(60*60*24)</f>
        <v>0.33460648148148148</v>
      </c>
      <c r="G450" s="7" t="s">
        <v>9</v>
      </c>
    </row>
    <row r="451" spans="1:7" x14ac:dyDescent="0.45">
      <c r="A451" t="s">
        <v>546</v>
      </c>
      <c r="B451" s="2" t="s">
        <v>28</v>
      </c>
      <c r="C451" s="8" t="s">
        <v>12</v>
      </c>
      <c r="D451" s="4">
        <f>1530/(60*60*24)</f>
        <v>1.7708333333333333E-2</v>
      </c>
      <c r="E451" s="3">
        <f>8457/(60*60*24)</f>
        <v>9.7881944444444438E-2</v>
      </c>
      <c r="F451" s="5">
        <f>28576/(60*60*24)</f>
        <v>0.33074074074074072</v>
      </c>
      <c r="G451" s="7" t="s">
        <v>9</v>
      </c>
    </row>
    <row r="452" spans="1:7" x14ac:dyDescent="0.45">
      <c r="A452" t="s">
        <v>547</v>
      </c>
      <c r="B452" s="2" t="s">
        <v>32</v>
      </c>
      <c r="C452" s="3">
        <f>5454/(60*60*24)</f>
        <v>6.3125000000000001E-2</v>
      </c>
      <c r="D452" s="4">
        <f>1426/(60*60*24)</f>
        <v>1.650462962962963E-2</v>
      </c>
      <c r="E452" s="5">
        <f>7981/(60*60*24)</f>
        <v>9.2372685185185183E-2</v>
      </c>
      <c r="F452" s="6">
        <f>26786/(60*60*24)</f>
        <v>0.31002314814814813</v>
      </c>
      <c r="G452" s="7" t="s">
        <v>9</v>
      </c>
    </row>
    <row r="453" spans="1:7" x14ac:dyDescent="0.45">
      <c r="A453" t="s">
        <v>548</v>
      </c>
      <c r="B453" s="2" t="s">
        <v>30</v>
      </c>
      <c r="C453" s="8" t="s">
        <v>12</v>
      </c>
      <c r="D453" s="4">
        <f>1638/(60*60*24)</f>
        <v>1.8958333333333334E-2</v>
      </c>
      <c r="E453" s="3">
        <f>8206/(60*60*24)</f>
        <v>9.4976851851851854E-2</v>
      </c>
      <c r="F453" s="5">
        <f>27471/(60*60*24)</f>
        <v>0.31795138888888891</v>
      </c>
      <c r="G453" s="7" t="s">
        <v>9</v>
      </c>
    </row>
    <row r="454" spans="1:7" x14ac:dyDescent="0.45">
      <c r="A454" t="s">
        <v>549</v>
      </c>
      <c r="B454" s="2" t="s">
        <v>36</v>
      </c>
      <c r="C454" s="3">
        <f>4753/(60*60*24)</f>
        <v>5.5011574074074074E-2</v>
      </c>
      <c r="D454" s="4">
        <f>1478/(60*60*24)</f>
        <v>1.7106481481481483E-2</v>
      </c>
      <c r="E454" s="5">
        <f>7674/(60*60*24)</f>
        <v>8.8819444444444451E-2</v>
      </c>
      <c r="F454" s="6">
        <f>25974/(60*60*24)</f>
        <v>0.30062499999999998</v>
      </c>
      <c r="G454" s="7" t="s">
        <v>9</v>
      </c>
    </row>
    <row r="455" spans="1:7" x14ac:dyDescent="0.45">
      <c r="A455" t="s">
        <v>550</v>
      </c>
      <c r="B455" s="2" t="s">
        <v>34</v>
      </c>
      <c r="C455" s="3">
        <f>4852/(60*60*24)</f>
        <v>5.6157407407407406E-2</v>
      </c>
      <c r="D455" s="4">
        <f>1512/(60*60*24)</f>
        <v>1.7500000000000002E-2</v>
      </c>
      <c r="E455" s="5">
        <f>7579/(60*60*24)</f>
        <v>8.7719907407407413E-2</v>
      </c>
      <c r="F455" s="6">
        <f>25391/(60*60*24)</f>
        <v>0.29387731481481483</v>
      </c>
      <c r="G455" s="7" t="s">
        <v>9</v>
      </c>
    </row>
    <row r="456" spans="1:7" x14ac:dyDescent="0.45">
      <c r="A456" t="s">
        <v>551</v>
      </c>
      <c r="B456" s="2" t="s">
        <v>38</v>
      </c>
      <c r="C456" s="3">
        <f>4997/(60*60*24)</f>
        <v>5.783564814814815E-2</v>
      </c>
      <c r="D456" s="4">
        <f>1677/(60*60*24)</f>
        <v>1.9409722222222221E-2</v>
      </c>
      <c r="E456" s="5">
        <f>7382/(60*60*24)</f>
        <v>8.5439814814814816E-2</v>
      </c>
      <c r="F456" s="6">
        <f>24740/(60*60*24)</f>
        <v>0.28634259259259259</v>
      </c>
      <c r="G456" s="7" t="s">
        <v>9</v>
      </c>
    </row>
    <row r="457" spans="1:7" x14ac:dyDescent="0.45">
      <c r="A457" t="s">
        <v>552</v>
      </c>
      <c r="B457" s="2" t="s">
        <v>40</v>
      </c>
      <c r="C457" s="8" t="s">
        <v>12</v>
      </c>
      <c r="D457" s="4">
        <f>1969/(60*60*24)</f>
        <v>2.2789351851851852E-2</v>
      </c>
      <c r="E457" s="3">
        <f>7144/(60*60*24)</f>
        <v>8.2685185185185181E-2</v>
      </c>
      <c r="F457" s="5">
        <f>23883/(60*60*24)</f>
        <v>0.27642361111111113</v>
      </c>
      <c r="G457" s="7" t="s">
        <v>9</v>
      </c>
    </row>
    <row r="458" spans="1:7" x14ac:dyDescent="0.45">
      <c r="A458" t="s">
        <v>553</v>
      </c>
      <c r="B458" s="2" t="s">
        <v>44</v>
      </c>
      <c r="C458" s="3">
        <f>6677/(60*60*24)</f>
        <v>7.7280092592592595E-2</v>
      </c>
      <c r="D458" s="4">
        <f>1788/(60*60*24)</f>
        <v>2.0694444444444446E-2</v>
      </c>
      <c r="E458" s="5">
        <f>6726/(60*60*24)</f>
        <v>7.784722222222222E-2</v>
      </c>
      <c r="F458" s="6">
        <f>22960/(60*60*24)</f>
        <v>0.26574074074074072</v>
      </c>
      <c r="G458" s="7" t="s">
        <v>9</v>
      </c>
    </row>
    <row r="459" spans="1:7" x14ac:dyDescent="0.45">
      <c r="A459" t="s">
        <v>554</v>
      </c>
      <c r="B459" s="2" t="s">
        <v>42</v>
      </c>
      <c r="C459" s="3">
        <f>4779/(60*60*24)</f>
        <v>5.5312500000000001E-2</v>
      </c>
      <c r="D459" s="4">
        <f>1657/(60*60*24)</f>
        <v>1.9178240740740742E-2</v>
      </c>
      <c r="E459" s="5">
        <f>6593/(60*60*24)</f>
        <v>7.6307870370370373E-2</v>
      </c>
      <c r="F459" s="6">
        <f>22335/(60*60*24)</f>
        <v>0.25850694444444444</v>
      </c>
      <c r="G459" s="7" t="s">
        <v>9</v>
      </c>
    </row>
    <row r="460" spans="1:7" x14ac:dyDescent="0.45">
      <c r="A460" t="s">
        <v>555</v>
      </c>
      <c r="B460" s="2" t="s">
        <v>46</v>
      </c>
      <c r="C460" s="3">
        <f>4364/(60*60*24)</f>
        <v>5.0509259259259261E-2</v>
      </c>
      <c r="D460" s="4">
        <f>1467/(60*60*24)</f>
        <v>1.6979166666666667E-2</v>
      </c>
      <c r="E460" s="5">
        <f>6357/(60*60*24)</f>
        <v>7.3576388888888886E-2</v>
      </c>
      <c r="F460" s="6">
        <f>21622/(60*60*24)</f>
        <v>0.25025462962962963</v>
      </c>
      <c r="G460" s="7" t="s">
        <v>9</v>
      </c>
    </row>
    <row r="461" spans="1:7" x14ac:dyDescent="0.45">
      <c r="A461" t="s">
        <v>556</v>
      </c>
      <c r="B461" s="2" t="s">
        <v>48</v>
      </c>
      <c r="C461" s="3">
        <f>4533/(60*60*24)</f>
        <v>5.2465277777777777E-2</v>
      </c>
      <c r="D461" s="4">
        <f>1392/(60*60*24)</f>
        <v>1.6111111111111111E-2</v>
      </c>
      <c r="E461" s="5">
        <f>6243/(60*60*24)</f>
        <v>7.2256944444444443E-2</v>
      </c>
      <c r="F461" s="6">
        <f>21197/(60*60*24)</f>
        <v>0.24533564814814815</v>
      </c>
      <c r="G461" s="7" t="s">
        <v>9</v>
      </c>
    </row>
    <row r="462" spans="1:7" x14ac:dyDescent="0.45">
      <c r="A462" t="s">
        <v>557</v>
      </c>
      <c r="B462" s="2" t="s">
        <v>52</v>
      </c>
      <c r="C462" s="3">
        <f>5221/(60*60*24)</f>
        <v>6.0428240740740741E-2</v>
      </c>
      <c r="D462" s="4">
        <f>1327/(60*60*24)</f>
        <v>1.5358796296296296E-2</v>
      </c>
      <c r="E462" s="5">
        <f>5963/(60*60*24)</f>
        <v>6.9016203703703705E-2</v>
      </c>
      <c r="F462" s="6">
        <f>20508/(60*60*24)</f>
        <v>0.23736111111111111</v>
      </c>
      <c r="G462" s="7" t="s">
        <v>9</v>
      </c>
    </row>
    <row r="463" spans="1:7" x14ac:dyDescent="0.45">
      <c r="A463" t="s">
        <v>558</v>
      </c>
      <c r="B463" s="2" t="s">
        <v>50</v>
      </c>
      <c r="C463" s="8" t="s">
        <v>12</v>
      </c>
      <c r="D463" s="4">
        <f>1594/(60*60*24)</f>
        <v>1.8449074074074073E-2</v>
      </c>
      <c r="E463" s="3">
        <f>6303/(60*60*24)</f>
        <v>7.2951388888888885E-2</v>
      </c>
      <c r="F463" s="5">
        <f>21356/(60*60*24)</f>
        <v>0.24717592592592594</v>
      </c>
      <c r="G463" s="7" t="s">
        <v>9</v>
      </c>
    </row>
    <row r="464" spans="1:7" x14ac:dyDescent="0.45">
      <c r="A464" t="s">
        <v>559</v>
      </c>
      <c r="B464" s="2" t="s">
        <v>54</v>
      </c>
      <c r="C464" s="5">
        <f>6843/(60*60*24)</f>
        <v>7.9201388888888891E-2</v>
      </c>
      <c r="D464" s="4">
        <f>1474/(60*60*24)</f>
        <v>1.7060185185185185E-2</v>
      </c>
      <c r="E464" s="3">
        <f>5982/(60*60*24)</f>
        <v>6.9236111111111109E-2</v>
      </c>
      <c r="F464" s="6">
        <f>19967/(60*60*24)</f>
        <v>0.23109953703703703</v>
      </c>
      <c r="G464" s="7" t="s">
        <v>9</v>
      </c>
    </row>
    <row r="465" spans="1:7" x14ac:dyDescent="0.45">
      <c r="A465" t="s">
        <v>560</v>
      </c>
      <c r="B465" s="2" t="s">
        <v>56</v>
      </c>
      <c r="C465" s="8" t="s">
        <v>12</v>
      </c>
      <c r="D465" s="4">
        <f>1942/(60*60*24)</f>
        <v>2.2476851851851852E-2</v>
      </c>
      <c r="E465" s="3">
        <f>5617/(60*60*24)</f>
        <v>6.5011574074074069E-2</v>
      </c>
      <c r="F465" s="5">
        <f>19307/(60*60*24)</f>
        <v>0.22346064814814814</v>
      </c>
      <c r="G465" s="7" t="s">
        <v>9</v>
      </c>
    </row>
    <row r="466" spans="1:7" x14ac:dyDescent="0.45">
      <c r="A466" t="s">
        <v>561</v>
      </c>
      <c r="B466" s="2" t="s">
        <v>60</v>
      </c>
      <c r="C466" s="5">
        <f>5471/(60*60*24)</f>
        <v>6.3321759259259258E-2</v>
      </c>
      <c r="D466" s="4">
        <f>1225/(60*60*24)</f>
        <v>1.4178240740740741E-2</v>
      </c>
      <c r="E466" s="3">
        <f>5407/(60*60*24)</f>
        <v>6.2581018518518522E-2</v>
      </c>
      <c r="F466" s="6">
        <f>17975/(60*60*24)</f>
        <v>0.20804398148148148</v>
      </c>
      <c r="G466" s="7" t="s">
        <v>9</v>
      </c>
    </row>
    <row r="467" spans="1:7" x14ac:dyDescent="0.45">
      <c r="A467" t="s">
        <v>562</v>
      </c>
      <c r="B467" s="2" t="s">
        <v>58</v>
      </c>
      <c r="C467" s="8" t="s">
        <v>12</v>
      </c>
      <c r="D467" s="4">
        <f>1868/(60*60*24)</f>
        <v>2.162037037037037E-2</v>
      </c>
      <c r="E467" s="3">
        <f>5700/(60*60*24)</f>
        <v>6.5972222222222224E-2</v>
      </c>
      <c r="F467" s="5">
        <f>18555/(60*60*24)</f>
        <v>0.21475694444444443</v>
      </c>
      <c r="G467" s="7" t="s">
        <v>9</v>
      </c>
    </row>
    <row r="468" spans="1:7" x14ac:dyDescent="0.45">
      <c r="A468" t="s">
        <v>563</v>
      </c>
      <c r="B468" s="2" t="s">
        <v>64</v>
      </c>
      <c r="C468" s="3">
        <f>4827/(60*60*24)</f>
        <v>5.5868055555555553E-2</v>
      </c>
      <c r="D468" s="4">
        <f>1169/(60*60*24)</f>
        <v>1.3530092592592592E-2</v>
      </c>
      <c r="E468" s="5">
        <f>5069/(60*60*24)</f>
        <v>5.8668981481481482E-2</v>
      </c>
      <c r="F468" s="6">
        <f>16582/(60*60*24)</f>
        <v>0.19192129629629628</v>
      </c>
      <c r="G468" s="7" t="s">
        <v>9</v>
      </c>
    </row>
    <row r="469" spans="1:7" x14ac:dyDescent="0.45">
      <c r="A469" t="s">
        <v>564</v>
      </c>
      <c r="B469" s="2" t="s">
        <v>62</v>
      </c>
      <c r="C469" s="8" t="s">
        <v>12</v>
      </c>
      <c r="D469" s="4">
        <f>1303/(60*60*24)</f>
        <v>1.5081018518518518E-2</v>
      </c>
      <c r="E469" s="3">
        <f>5234/(60*60*24)</f>
        <v>6.0578703703703704E-2</v>
      </c>
      <c r="F469" s="5">
        <f>17155/(60*60*24)</f>
        <v>0.19855324074074074</v>
      </c>
      <c r="G469" s="7" t="s">
        <v>9</v>
      </c>
    </row>
    <row r="470" spans="1:7" x14ac:dyDescent="0.45">
      <c r="A470" t="s">
        <v>565</v>
      </c>
      <c r="B470" s="2" t="s">
        <v>66</v>
      </c>
      <c r="C470" s="5">
        <f>5050/(60*60*24)</f>
        <v>5.8449074074074077E-2</v>
      </c>
      <c r="D470" s="4">
        <f>1205/(60*60*24)</f>
        <v>1.3946759259259259E-2</v>
      </c>
      <c r="E470" s="3">
        <f>4852/(60*60*24)</f>
        <v>5.6157407407407406E-2</v>
      </c>
      <c r="F470" s="6">
        <f>15582/(60*60*24)</f>
        <v>0.18034722222222221</v>
      </c>
      <c r="G470" s="7" t="s">
        <v>9</v>
      </c>
    </row>
    <row r="471" spans="1:7" x14ac:dyDescent="0.45">
      <c r="A471" t="s">
        <v>566</v>
      </c>
      <c r="B471" s="2" t="s">
        <v>68</v>
      </c>
      <c r="C471" s="5">
        <f>5161/(60*60*24)</f>
        <v>5.9733796296296299E-2</v>
      </c>
      <c r="D471" s="4">
        <f>1166/(60*60*24)</f>
        <v>1.3495370370370371E-2</v>
      </c>
      <c r="E471" s="3">
        <f>4895/(60*60*24)</f>
        <v>5.665509259259259E-2</v>
      </c>
      <c r="F471" s="6">
        <f>15868/(60*60*24)</f>
        <v>0.18365740740740741</v>
      </c>
      <c r="G471" s="7" t="s">
        <v>9</v>
      </c>
    </row>
    <row r="472" spans="1:7" x14ac:dyDescent="0.45">
      <c r="A472" t="s">
        <v>567</v>
      </c>
      <c r="B472" s="2" t="s">
        <v>70</v>
      </c>
      <c r="C472" s="5">
        <f>5243/(60*60*24)</f>
        <v>6.0682870370370373E-2</v>
      </c>
      <c r="D472" s="4">
        <f>813/(60*60*24)</f>
        <v>9.4097222222222221E-3</v>
      </c>
      <c r="E472" s="3">
        <f>4625/(60*60*24)</f>
        <v>5.3530092592592594E-2</v>
      </c>
      <c r="F472" s="6">
        <f>14923/(60*60*24)</f>
        <v>0.17271990740740742</v>
      </c>
      <c r="G472" s="7" t="s">
        <v>9</v>
      </c>
    </row>
    <row r="473" spans="1:7" x14ac:dyDescent="0.45">
      <c r="A473" t="s">
        <v>568</v>
      </c>
      <c r="B473" s="2" t="s">
        <v>72</v>
      </c>
      <c r="C473" s="3">
        <f>4183/(60*60*24)</f>
        <v>4.8414351851851854E-2</v>
      </c>
      <c r="D473" s="4">
        <f>966/(60*60*24)</f>
        <v>1.1180555555555555E-2</v>
      </c>
      <c r="E473" s="5">
        <f>4260/(60*60*24)</f>
        <v>4.9305555555555554E-2</v>
      </c>
      <c r="F473" s="6">
        <f>14266/(60*60*24)</f>
        <v>0.16511574074074073</v>
      </c>
      <c r="G473" s="7" t="s">
        <v>9</v>
      </c>
    </row>
    <row r="474" spans="1:7" x14ac:dyDescent="0.45">
      <c r="A474" t="s">
        <v>569</v>
      </c>
      <c r="B474" s="2" t="s">
        <v>74</v>
      </c>
      <c r="C474" s="3">
        <f>3816/(60*60*24)</f>
        <v>4.4166666666666667E-2</v>
      </c>
      <c r="D474" s="4">
        <f>978/(60*60*24)</f>
        <v>1.1319444444444444E-2</v>
      </c>
      <c r="E474" s="5">
        <f>3992/(60*60*24)</f>
        <v>4.6203703703703705E-2</v>
      </c>
      <c r="F474" s="6">
        <f>13822/(60*60*24)</f>
        <v>0.15997685185185184</v>
      </c>
      <c r="G474" s="7" t="s">
        <v>9</v>
      </c>
    </row>
    <row r="475" spans="1:7" x14ac:dyDescent="0.45">
      <c r="A475" t="s">
        <v>570</v>
      </c>
      <c r="B475" s="2" t="s">
        <v>76</v>
      </c>
      <c r="C475" s="5">
        <f>3943/(60*60*24)</f>
        <v>4.5636574074074072E-2</v>
      </c>
      <c r="D475" s="4">
        <f>1154/(60*60*24)</f>
        <v>1.3356481481481481E-2</v>
      </c>
      <c r="E475" s="3">
        <f>3802/(60*60*24)</f>
        <v>4.400462962962963E-2</v>
      </c>
      <c r="F475" s="6">
        <f>13062/(60*60*24)</f>
        <v>0.15118055555555557</v>
      </c>
      <c r="G475" s="7" t="s">
        <v>9</v>
      </c>
    </row>
    <row r="476" spans="1:7" x14ac:dyDescent="0.45">
      <c r="A476" t="s">
        <v>571</v>
      </c>
      <c r="B476" s="2" t="s">
        <v>78</v>
      </c>
      <c r="C476" s="3">
        <f>3405/(60*60*24)</f>
        <v>3.9409722222222221E-2</v>
      </c>
      <c r="D476" s="4">
        <f>973/(60*60*24)</f>
        <v>1.1261574074074075E-2</v>
      </c>
      <c r="E476" s="5">
        <f>3558/(60*60*24)</f>
        <v>4.1180555555555554E-2</v>
      </c>
      <c r="F476" s="6">
        <f>12531/(60*60*24)</f>
        <v>0.14503472222222222</v>
      </c>
      <c r="G476" s="7" t="s">
        <v>9</v>
      </c>
    </row>
    <row r="477" spans="1:7" x14ac:dyDescent="0.45">
      <c r="A477" t="s">
        <v>572</v>
      </c>
      <c r="B477" s="2" t="s">
        <v>80</v>
      </c>
      <c r="C477" s="5">
        <f>3836/(60*60*24)</f>
        <v>4.4398148148148145E-2</v>
      </c>
      <c r="D477" s="4">
        <f>1008/(60*60*24)</f>
        <v>1.1666666666666667E-2</v>
      </c>
      <c r="E477" s="3">
        <f>3416/(60*60*24)</f>
        <v>3.9537037037037037E-2</v>
      </c>
      <c r="F477" s="6">
        <f>11893/(60*60*24)</f>
        <v>0.13765046296296296</v>
      </c>
      <c r="G477" s="7" t="s">
        <v>9</v>
      </c>
    </row>
    <row r="478" spans="1:7" x14ac:dyDescent="0.45">
      <c r="A478" t="s">
        <v>573</v>
      </c>
      <c r="B478" s="2" t="s">
        <v>84</v>
      </c>
      <c r="C478" s="3">
        <f>2889/(60*60*24)</f>
        <v>3.3437500000000002E-2</v>
      </c>
      <c r="D478" s="4">
        <f>851/(60*60*24)</f>
        <v>9.8495370370370369E-3</v>
      </c>
      <c r="E478" s="5">
        <f>3096/(60*60*24)</f>
        <v>3.5833333333333335E-2</v>
      </c>
      <c r="F478" s="6">
        <f>10825/(60*60*24)</f>
        <v>0.12528935185185186</v>
      </c>
      <c r="G478" s="7" t="s">
        <v>9</v>
      </c>
    </row>
    <row r="479" spans="1:7" x14ac:dyDescent="0.45">
      <c r="A479" t="s">
        <v>574</v>
      </c>
      <c r="B479" s="2" t="s">
        <v>82</v>
      </c>
      <c r="C479" s="5">
        <f>3465/(60*60*24)</f>
        <v>4.010416666666667E-2</v>
      </c>
      <c r="D479" s="4">
        <f>1034/(60*60*24)</f>
        <v>1.1967592592592592E-2</v>
      </c>
      <c r="E479" s="3">
        <f>2973/(60*60*24)</f>
        <v>3.4409722222222223E-2</v>
      </c>
      <c r="F479" s="6">
        <f>10415/(60*60*24)</f>
        <v>0.12054398148148149</v>
      </c>
      <c r="G479" s="7" t="s">
        <v>9</v>
      </c>
    </row>
    <row r="480" spans="1:7" x14ac:dyDescent="0.45">
      <c r="A480" t="s">
        <v>575</v>
      </c>
      <c r="B480" s="2" t="s">
        <v>86</v>
      </c>
      <c r="C480" s="5">
        <f>3713/(60*60*24)</f>
        <v>4.297453703703704E-2</v>
      </c>
      <c r="D480" s="4">
        <f>995/(60*60*24)</f>
        <v>1.1516203703703704E-2</v>
      </c>
      <c r="E480" s="3">
        <f>2766/(60*60*24)</f>
        <v>3.201388888888889E-2</v>
      </c>
      <c r="F480" s="6">
        <f>9640/(60*60*24)</f>
        <v>0.11157407407407408</v>
      </c>
      <c r="G480" s="7" t="s">
        <v>9</v>
      </c>
    </row>
    <row r="481" spans="1:7" x14ac:dyDescent="0.45">
      <c r="A481" t="s">
        <v>576</v>
      </c>
      <c r="B481" s="2" t="s">
        <v>88</v>
      </c>
      <c r="C481" s="8" t="s">
        <v>12</v>
      </c>
      <c r="D481" s="4">
        <f>2085/(60*60*24)</f>
        <v>2.4131944444444445E-2</v>
      </c>
      <c r="E481" s="3">
        <f>2980/(60*60*24)</f>
        <v>3.4490740740740738E-2</v>
      </c>
      <c r="F481" s="5">
        <f>10199/(60*60*24)</f>
        <v>0.11804398148148149</v>
      </c>
      <c r="G481" s="7" t="s">
        <v>9</v>
      </c>
    </row>
    <row r="482" spans="1:7" x14ac:dyDescent="0.45">
      <c r="A482" t="s">
        <v>577</v>
      </c>
      <c r="B482" s="2" t="s">
        <v>90</v>
      </c>
      <c r="C482" s="5">
        <f>4279/(60*60*24)</f>
        <v>4.9525462962962966E-2</v>
      </c>
      <c r="D482" s="4">
        <f>1499/(60*60*24)</f>
        <v>1.7349537037037038E-2</v>
      </c>
      <c r="E482" s="3">
        <f>3070/(60*60*24)</f>
        <v>3.5532407407407408E-2</v>
      </c>
      <c r="F482" s="6">
        <f>10695/(60*60*24)</f>
        <v>0.12378472222222223</v>
      </c>
      <c r="G482" s="7" t="s">
        <v>9</v>
      </c>
    </row>
    <row r="483" spans="1:7" x14ac:dyDescent="0.45">
      <c r="A483" t="s">
        <v>578</v>
      </c>
      <c r="B483" s="2" t="s">
        <v>92</v>
      </c>
      <c r="C483" s="8" t="s">
        <v>12</v>
      </c>
      <c r="D483" s="4">
        <f>1416/(60*60*24)</f>
        <v>1.638888888888889E-2</v>
      </c>
      <c r="E483" s="3">
        <f>3426/(60*60*24)</f>
        <v>3.965277777777778E-2</v>
      </c>
      <c r="F483" s="5">
        <f>11442/(60*60*24)</f>
        <v>0.13243055555555555</v>
      </c>
      <c r="G483" s="7" t="s">
        <v>9</v>
      </c>
    </row>
    <row r="484" spans="1:7" x14ac:dyDescent="0.45">
      <c r="A484" t="s">
        <v>579</v>
      </c>
      <c r="B484" s="2" t="s">
        <v>94</v>
      </c>
      <c r="C484" s="8" t="s">
        <v>12</v>
      </c>
      <c r="D484" s="4">
        <f>1282/(60*60*24)</f>
        <v>1.4837962962962963E-2</v>
      </c>
      <c r="E484" s="3">
        <f>3104/(60*60*24)</f>
        <v>3.5925925925925924E-2</v>
      </c>
      <c r="F484" s="5">
        <f>10329/(60*60*24)</f>
        <v>0.11954861111111111</v>
      </c>
      <c r="G484" s="7" t="s">
        <v>9</v>
      </c>
    </row>
    <row r="485" spans="1:7" x14ac:dyDescent="0.45">
      <c r="A485" t="s">
        <v>580</v>
      </c>
      <c r="B485" s="2" t="s">
        <v>96</v>
      </c>
      <c r="C485" s="8" t="s">
        <v>12</v>
      </c>
      <c r="D485" s="4">
        <f>1335/(60*60*24)</f>
        <v>1.545138888888889E-2</v>
      </c>
      <c r="E485" s="3">
        <f>2922/(60*60*24)</f>
        <v>3.3819444444444444E-2</v>
      </c>
      <c r="F485" s="5">
        <f>9539/(60*60*24)</f>
        <v>0.1104050925925926</v>
      </c>
      <c r="G485" s="7" t="s">
        <v>9</v>
      </c>
    </row>
    <row r="486" spans="1:7" x14ac:dyDescent="0.45">
      <c r="A486" t="s">
        <v>581</v>
      </c>
      <c r="B486" s="2" t="s">
        <v>98</v>
      </c>
      <c r="C486" s="8" t="s">
        <v>12</v>
      </c>
      <c r="D486" s="4">
        <f>1233/(60*60*24)</f>
        <v>1.4270833333333333E-2</v>
      </c>
      <c r="E486" s="3">
        <f>2726/(60*60*24)</f>
        <v>3.1550925925925927E-2</v>
      </c>
      <c r="F486" s="5">
        <f>8932/(60*60*24)</f>
        <v>0.10337962962962963</v>
      </c>
      <c r="G486" s="7" t="s">
        <v>9</v>
      </c>
    </row>
    <row r="487" spans="1:7" x14ac:dyDescent="0.45">
      <c r="A487" t="s">
        <v>582</v>
      </c>
      <c r="B487" s="2" t="s">
        <v>100</v>
      </c>
      <c r="C487" s="8" t="s">
        <v>12</v>
      </c>
      <c r="D487" s="4">
        <f>1165/(60*60*24)</f>
        <v>1.3483796296296296E-2</v>
      </c>
      <c r="E487" s="3">
        <f>2496/(60*60*24)</f>
        <v>2.8888888888888888E-2</v>
      </c>
      <c r="F487" s="5">
        <f>7932/(60*60*24)</f>
        <v>9.1805555555555557E-2</v>
      </c>
      <c r="G487" s="7" t="s">
        <v>9</v>
      </c>
    </row>
    <row r="488" spans="1:7" x14ac:dyDescent="0.45">
      <c r="A488" t="s">
        <v>583</v>
      </c>
      <c r="B488" s="2" t="s">
        <v>102</v>
      </c>
      <c r="C488" s="5">
        <f>3289/(60*60*24)</f>
        <v>3.8067129629629631E-2</v>
      </c>
      <c r="D488" s="4">
        <f>1152/(60*60*24)</f>
        <v>1.3333333333333334E-2</v>
      </c>
      <c r="E488" s="3">
        <f>2445/(60*60*24)</f>
        <v>2.8298611111111111E-2</v>
      </c>
      <c r="F488" s="6">
        <f>8343/(60*60*24)</f>
        <v>9.6562499999999996E-2</v>
      </c>
      <c r="G488" s="7" t="s">
        <v>9</v>
      </c>
    </row>
    <row r="489" spans="1:7" x14ac:dyDescent="0.45">
      <c r="A489" t="s">
        <v>584</v>
      </c>
      <c r="B489" s="2" t="s">
        <v>104</v>
      </c>
      <c r="C489" s="8" t="s">
        <v>12</v>
      </c>
      <c r="D489" s="4">
        <f>1136/(60*60*24)</f>
        <v>1.3148148148148148E-2</v>
      </c>
      <c r="E489" s="3">
        <f>2459/(60*60*24)</f>
        <v>2.8460648148148148E-2</v>
      </c>
      <c r="F489" s="5">
        <f>7972/(60*60*24)</f>
        <v>9.2268518518518514E-2</v>
      </c>
      <c r="G489" s="7" t="s">
        <v>9</v>
      </c>
    </row>
    <row r="490" spans="1:7" x14ac:dyDescent="0.45">
      <c r="A490" t="s">
        <v>585</v>
      </c>
      <c r="B490" s="2" t="s">
        <v>106</v>
      </c>
      <c r="C490" s="5">
        <f>3515/(60*60*24)</f>
        <v>4.0682870370370369E-2</v>
      </c>
      <c r="D490" s="4">
        <f>1195/(60*60*24)</f>
        <v>1.3831018518518519E-2</v>
      </c>
      <c r="E490" s="3">
        <f>2483/(60*60*24)</f>
        <v>2.8738425925925924E-2</v>
      </c>
      <c r="F490" s="6">
        <f>9210/(60*60*24)</f>
        <v>0.10659722222222222</v>
      </c>
      <c r="G490" s="7" t="s">
        <v>9</v>
      </c>
    </row>
    <row r="491" spans="1:7" x14ac:dyDescent="0.45">
      <c r="A491" t="s">
        <v>586</v>
      </c>
      <c r="B491" s="2" t="s">
        <v>108</v>
      </c>
      <c r="C491" s="5">
        <f>3713/(60*60*24)</f>
        <v>4.297453703703704E-2</v>
      </c>
      <c r="D491" s="4">
        <f>1290/(60*60*24)</f>
        <v>1.4930555555555556E-2</v>
      </c>
      <c r="E491" s="3">
        <f>2664/(60*60*24)</f>
        <v>3.0833333333333334E-2</v>
      </c>
      <c r="F491" s="6">
        <f>9369/(60*60*24)</f>
        <v>0.10843750000000001</v>
      </c>
      <c r="G491" s="7" t="s">
        <v>9</v>
      </c>
    </row>
    <row r="492" spans="1:7" x14ac:dyDescent="0.45">
      <c r="A492" t="s">
        <v>587</v>
      </c>
      <c r="B492" s="2" t="s">
        <v>110</v>
      </c>
      <c r="C492" s="5">
        <f>4010/(60*60*24)</f>
        <v>4.6412037037037036E-2</v>
      </c>
      <c r="D492" s="4">
        <f>1526/(60*60*24)</f>
        <v>1.7662037037037039E-2</v>
      </c>
      <c r="E492" s="3">
        <f>2583/(60*60*24)</f>
        <v>2.9895833333333333E-2</v>
      </c>
      <c r="F492" s="6">
        <f>8921/(60*60*24)</f>
        <v>0.10325231481481481</v>
      </c>
      <c r="G492" s="7" t="s">
        <v>9</v>
      </c>
    </row>
    <row r="493" spans="1:7" x14ac:dyDescent="0.45">
      <c r="A493" t="s">
        <v>588</v>
      </c>
      <c r="B493" s="2" t="s">
        <v>112</v>
      </c>
      <c r="C493" s="5">
        <f>3623/(60*60*24)</f>
        <v>4.193287037037037E-2</v>
      </c>
      <c r="D493" s="4">
        <f>1140/(60*60*24)</f>
        <v>1.3194444444444444E-2</v>
      </c>
      <c r="E493" s="3">
        <f>2414/(60*60*24)</f>
        <v>2.7939814814814813E-2</v>
      </c>
      <c r="F493" s="6">
        <f>8321/(60*60*24)</f>
        <v>9.6307870370370377E-2</v>
      </c>
      <c r="G493" s="7" t="s">
        <v>9</v>
      </c>
    </row>
    <row r="494" spans="1:7" x14ac:dyDescent="0.45">
      <c r="A494" t="s">
        <v>589</v>
      </c>
      <c r="B494" s="2" t="s">
        <v>114</v>
      </c>
      <c r="C494" s="5">
        <f>3853/(60*60*24)</f>
        <v>4.4594907407407409E-2</v>
      </c>
      <c r="D494" s="4">
        <f>1236/(60*60*24)</f>
        <v>1.4305555555555556E-2</v>
      </c>
      <c r="E494" s="3">
        <f>2719/(60*60*24)</f>
        <v>3.1469907407407405E-2</v>
      </c>
      <c r="F494" s="6">
        <f>9296/(60*60*24)</f>
        <v>0.10759259259259259</v>
      </c>
      <c r="G494" s="7" t="s">
        <v>9</v>
      </c>
    </row>
    <row r="495" spans="1:7" x14ac:dyDescent="0.45">
      <c r="A495" t="s">
        <v>590</v>
      </c>
      <c r="B495" s="2" t="s">
        <v>116</v>
      </c>
      <c r="C495" s="5">
        <f>4077/(60*60*24)</f>
        <v>4.71875E-2</v>
      </c>
      <c r="D495" s="4">
        <f>1346/(60*60*24)</f>
        <v>1.5578703703703704E-2</v>
      </c>
      <c r="E495" s="3">
        <f>2918/(60*60*24)</f>
        <v>3.3773148148148149E-2</v>
      </c>
      <c r="F495" s="6">
        <f>9210/(60*60*24)</f>
        <v>0.10659722222222222</v>
      </c>
      <c r="G495" s="7" t="s">
        <v>9</v>
      </c>
    </row>
    <row r="496" spans="1:7" x14ac:dyDescent="0.45">
      <c r="A496" t="s">
        <v>591</v>
      </c>
      <c r="B496" s="2" t="s">
        <v>118</v>
      </c>
      <c r="C496" s="5">
        <f>4150/(60*60*24)</f>
        <v>4.8032407407407406E-2</v>
      </c>
      <c r="D496" s="4">
        <f>1378/(60*60*24)</f>
        <v>1.5949074074074074E-2</v>
      </c>
      <c r="E496" s="3">
        <f>3011/(60*60*24)</f>
        <v>3.484953703703704E-2</v>
      </c>
      <c r="F496" s="6">
        <f>9842/(60*60*24)</f>
        <v>0.11391203703703703</v>
      </c>
      <c r="G496" s="7" t="s">
        <v>9</v>
      </c>
    </row>
    <row r="497" spans="1:7" x14ac:dyDescent="0.45">
      <c r="A497" t="s">
        <v>592</v>
      </c>
      <c r="B497" s="2" t="s">
        <v>120</v>
      </c>
      <c r="C497" s="8" t="s">
        <v>12</v>
      </c>
      <c r="D497" s="4">
        <f>1194/(60*60*24)</f>
        <v>1.3819444444444445E-2</v>
      </c>
      <c r="E497" s="3">
        <f>3190/(60*60*24)</f>
        <v>3.6921296296296299E-2</v>
      </c>
      <c r="F497" s="5">
        <f>10559/(60*60*24)</f>
        <v>0.12221064814814815</v>
      </c>
      <c r="G497" s="7" t="s">
        <v>9</v>
      </c>
    </row>
    <row r="498" spans="1:7" x14ac:dyDescent="0.45">
      <c r="A498" t="s">
        <v>593</v>
      </c>
      <c r="B498" s="2" t="s">
        <v>124</v>
      </c>
      <c r="C498" s="3">
        <f>1769/(60*60*24)</f>
        <v>2.0474537037037038E-2</v>
      </c>
      <c r="D498" s="4">
        <f>1324/(60*60*24)</f>
        <v>1.5324074074074073E-2</v>
      </c>
      <c r="E498" s="5">
        <f>3361/(60*60*24)</f>
        <v>3.8900462962962963E-2</v>
      </c>
      <c r="F498" s="6">
        <f>11349/(60*60*24)</f>
        <v>0.13135416666666666</v>
      </c>
      <c r="G498" s="7" t="s">
        <v>9</v>
      </c>
    </row>
    <row r="499" spans="1:7" x14ac:dyDescent="0.45">
      <c r="A499" t="s">
        <v>594</v>
      </c>
      <c r="B499" s="2" t="s">
        <v>122</v>
      </c>
      <c r="C499" s="3">
        <f>2219/(60*60*24)</f>
        <v>2.568287037037037E-2</v>
      </c>
      <c r="D499" s="4">
        <f>1312/(60*60*24)</f>
        <v>1.5185185185185185E-2</v>
      </c>
      <c r="E499" s="5">
        <f>3634/(60*60*24)</f>
        <v>4.2060185185185187E-2</v>
      </c>
      <c r="F499" s="6">
        <f>11945/(60*60*24)</f>
        <v>0.13825231481481481</v>
      </c>
      <c r="G499" s="7" t="s">
        <v>9</v>
      </c>
    </row>
    <row r="500" spans="1:7" x14ac:dyDescent="0.45">
      <c r="A500" t="s">
        <v>595</v>
      </c>
      <c r="B500" s="2" t="s">
        <v>126</v>
      </c>
      <c r="C500" s="5">
        <f>4885/(60*60*24)</f>
        <v>5.6539351851851855E-2</v>
      </c>
      <c r="D500" s="4">
        <f>1421/(60*60*24)</f>
        <v>1.6446759259259258E-2</v>
      </c>
      <c r="E500" s="3">
        <f>3817/(60*60*24)</f>
        <v>4.417824074074074E-2</v>
      </c>
      <c r="F500" s="6">
        <f>12597/(60*60*24)</f>
        <v>0.14579861111111111</v>
      </c>
      <c r="G500" s="7" t="s">
        <v>9</v>
      </c>
    </row>
    <row r="501" spans="1:7" x14ac:dyDescent="0.45">
      <c r="A501" t="s">
        <v>596</v>
      </c>
      <c r="B501" s="2" t="s">
        <v>128</v>
      </c>
      <c r="C501" s="5">
        <f>5520/(60*60*24)</f>
        <v>6.3888888888888884E-2</v>
      </c>
      <c r="D501" s="4">
        <f>1535/(60*60*24)</f>
        <v>1.7766203703703704E-2</v>
      </c>
      <c r="E501" s="3">
        <f>4184/(60*60*24)</f>
        <v>4.8425925925925928E-2</v>
      </c>
      <c r="F501" s="6">
        <f>13835/(60*60*24)</f>
        <v>0.16012731481481482</v>
      </c>
      <c r="G501" s="7" t="s">
        <v>9</v>
      </c>
    </row>
    <row r="502" spans="1:7" x14ac:dyDescent="0.45">
      <c r="A502" t="s">
        <v>597</v>
      </c>
      <c r="B502" s="2" t="s">
        <v>130</v>
      </c>
      <c r="C502" s="5">
        <f>5602/(60*60*24)</f>
        <v>6.4837962962962958E-2</v>
      </c>
      <c r="D502" s="4">
        <f>1560/(60*60*24)</f>
        <v>1.8055555555555554E-2</v>
      </c>
      <c r="E502" s="3">
        <f>4342/(60*60*24)</f>
        <v>5.0254629629629628E-2</v>
      </c>
      <c r="F502" s="6">
        <f>14315/(60*60*24)</f>
        <v>0.16568287037037038</v>
      </c>
      <c r="G502" s="7" t="s">
        <v>9</v>
      </c>
    </row>
    <row r="503" spans="1:7" x14ac:dyDescent="0.45">
      <c r="A503" t="s">
        <v>598</v>
      </c>
      <c r="B503" s="2" t="s">
        <v>132</v>
      </c>
      <c r="C503" s="3">
        <f>2093/(60*60*24)</f>
        <v>2.4224537037037037E-2</v>
      </c>
      <c r="D503" s="4">
        <f>1456/(60*60*24)</f>
        <v>1.6851851851851851E-2</v>
      </c>
      <c r="E503" s="5">
        <f>4385/(60*60*24)</f>
        <v>5.0752314814814813E-2</v>
      </c>
      <c r="F503" s="6">
        <f>14649/(60*60*24)</f>
        <v>0.16954861111111111</v>
      </c>
      <c r="G503" s="7" t="s">
        <v>9</v>
      </c>
    </row>
    <row r="504" spans="1:7" x14ac:dyDescent="0.45">
      <c r="A504" t="s">
        <v>599</v>
      </c>
      <c r="B504" s="2" t="s">
        <v>136</v>
      </c>
      <c r="C504" s="3">
        <f>2539/(60*60*24)</f>
        <v>2.9386574074074075E-2</v>
      </c>
      <c r="D504" s="4">
        <f>1507/(60*60*24)</f>
        <v>1.744212962962963E-2</v>
      </c>
      <c r="E504" s="5">
        <f>4573/(60*60*24)</f>
        <v>5.2928240740740741E-2</v>
      </c>
      <c r="F504" s="6">
        <f>15062/(60*60*24)</f>
        <v>0.17432870370370371</v>
      </c>
      <c r="G504" s="7" t="s">
        <v>9</v>
      </c>
    </row>
    <row r="505" spans="1:7" x14ac:dyDescent="0.45">
      <c r="A505" t="s">
        <v>600</v>
      </c>
      <c r="B505" s="2" t="s">
        <v>134</v>
      </c>
      <c r="C505" s="8" t="s">
        <v>12</v>
      </c>
      <c r="D505" s="4">
        <f>1635/(60*60*24)</f>
        <v>1.892361111111111E-2</v>
      </c>
      <c r="E505" s="3">
        <f>4925/(60*60*24)</f>
        <v>5.7002314814814818E-2</v>
      </c>
      <c r="F505" s="5">
        <f>15967/(60*60*24)</f>
        <v>0.18480324074074075</v>
      </c>
      <c r="G505" s="7" t="s">
        <v>9</v>
      </c>
    </row>
    <row r="506" spans="1:7" x14ac:dyDescent="0.45">
      <c r="A506" t="s">
        <v>601</v>
      </c>
      <c r="B506" s="2" t="s">
        <v>138</v>
      </c>
      <c r="C506" s="8" t="s">
        <v>12</v>
      </c>
      <c r="D506" s="4">
        <f>1677/(60*60*24)</f>
        <v>1.9409722222222221E-2</v>
      </c>
      <c r="E506" s="3">
        <f>5140/(60*60*24)</f>
        <v>5.949074074074074E-2</v>
      </c>
      <c r="F506" s="5">
        <f>16526/(60*60*24)</f>
        <v>0.19127314814814814</v>
      </c>
      <c r="G506" s="7" t="s">
        <v>9</v>
      </c>
    </row>
    <row r="507" spans="1:7" x14ac:dyDescent="0.45">
      <c r="A507" t="s">
        <v>602</v>
      </c>
      <c r="B507" s="2" t="s">
        <v>140</v>
      </c>
      <c r="C507" s="8" t="s">
        <v>12</v>
      </c>
      <c r="D507" s="4">
        <f>1699/(60*60*24)</f>
        <v>1.9664351851851853E-2</v>
      </c>
      <c r="E507" s="3">
        <f>5430/(60*60*24)</f>
        <v>6.2847222222222221E-2</v>
      </c>
      <c r="F507" s="5">
        <f>17671/(60*60*24)</f>
        <v>0.20452546296296295</v>
      </c>
      <c r="G507" s="7" t="s">
        <v>9</v>
      </c>
    </row>
    <row r="508" spans="1:7" x14ac:dyDescent="0.45">
      <c r="A508" t="s">
        <v>603</v>
      </c>
      <c r="B508" s="2" t="s">
        <v>142</v>
      </c>
      <c r="C508" s="8" t="s">
        <v>12</v>
      </c>
      <c r="D508" s="4">
        <f>1800/(60*60*24)</f>
        <v>2.0833333333333332E-2</v>
      </c>
      <c r="E508" s="3">
        <f>5709/(60*60*24)</f>
        <v>6.6076388888888893E-2</v>
      </c>
      <c r="F508" s="5">
        <f>18044/(60*60*24)</f>
        <v>0.20884259259259258</v>
      </c>
      <c r="G508" s="7" t="s">
        <v>9</v>
      </c>
    </row>
    <row r="509" spans="1:7" x14ac:dyDescent="0.45">
      <c r="A509" t="s">
        <v>604</v>
      </c>
      <c r="B509" s="2" t="s">
        <v>144</v>
      </c>
      <c r="C509" s="8" t="s">
        <v>12</v>
      </c>
      <c r="D509" s="4">
        <f>1670/(60*60*24)</f>
        <v>1.9328703703703702E-2</v>
      </c>
      <c r="E509" s="3">
        <f>5902/(60*60*24)</f>
        <v>6.8310185185185182E-2</v>
      </c>
      <c r="F509" s="5">
        <f>18878/(60*60*24)</f>
        <v>0.21849537037037037</v>
      </c>
      <c r="G509" s="7" t="s">
        <v>9</v>
      </c>
    </row>
    <row r="510" spans="1:7" x14ac:dyDescent="0.45">
      <c r="A510" t="s">
        <v>605</v>
      </c>
      <c r="B510" s="2" t="s">
        <v>146</v>
      </c>
      <c r="C510" s="8" t="s">
        <v>12</v>
      </c>
      <c r="D510" s="4">
        <f>1403/(60*60*24)</f>
        <v>1.6238425925925927E-2</v>
      </c>
      <c r="E510" s="3">
        <f>6042/(60*60*24)</f>
        <v>6.9930555555555551E-2</v>
      </c>
      <c r="F510" s="5">
        <f>19766/(60*60*24)</f>
        <v>0.22877314814814814</v>
      </c>
      <c r="G510" s="7" t="s">
        <v>9</v>
      </c>
    </row>
    <row r="511" spans="1:7" x14ac:dyDescent="0.45">
      <c r="A511" t="s">
        <v>606</v>
      </c>
      <c r="B511" s="2" t="s">
        <v>148</v>
      </c>
      <c r="C511" s="8" t="s">
        <v>12</v>
      </c>
      <c r="D511" s="4">
        <f>1584/(60*60*24)</f>
        <v>1.8333333333333333E-2</v>
      </c>
      <c r="E511" s="3">
        <f>6244/(60*60*24)</f>
        <v>7.2268518518518524E-2</v>
      </c>
      <c r="F511" s="5">
        <f>20251/(60*60*24)</f>
        <v>0.23438657407407407</v>
      </c>
      <c r="G511" s="7" t="s">
        <v>9</v>
      </c>
    </row>
    <row r="512" spans="1:7" x14ac:dyDescent="0.45">
      <c r="A512" t="s">
        <v>607</v>
      </c>
      <c r="B512" s="2" t="s">
        <v>150</v>
      </c>
      <c r="C512" s="3">
        <f>5691/(60*60*24)</f>
        <v>6.5868055555555555E-2</v>
      </c>
      <c r="D512" s="4">
        <f>1335/(60*60*24)</f>
        <v>1.545138888888889E-2</v>
      </c>
      <c r="E512" s="5">
        <f>6519/(60*60*24)</f>
        <v>7.5451388888888887E-2</v>
      </c>
      <c r="F512" s="6">
        <f>21335/(60*60*24)</f>
        <v>0.24693287037037037</v>
      </c>
      <c r="G512" s="7" t="s">
        <v>9</v>
      </c>
    </row>
    <row r="513" spans="1:7" x14ac:dyDescent="0.45">
      <c r="A513" t="s">
        <v>608</v>
      </c>
      <c r="B513" s="2" t="s">
        <v>152</v>
      </c>
      <c r="C513" s="8" t="s">
        <v>12</v>
      </c>
      <c r="D513" s="4">
        <f>1638/(60*60*24)</f>
        <v>1.8958333333333334E-2</v>
      </c>
      <c r="E513" s="3">
        <f>6856/(60*60*24)</f>
        <v>7.9351851851851854E-2</v>
      </c>
      <c r="F513" s="5">
        <f>22200/(60*60*24)</f>
        <v>0.25694444444444442</v>
      </c>
      <c r="G513" s="7" t="s">
        <v>9</v>
      </c>
    </row>
    <row r="514" spans="1:7" x14ac:dyDescent="0.45">
      <c r="A514" t="s">
        <v>609</v>
      </c>
      <c r="B514" s="2" t="s">
        <v>154</v>
      </c>
      <c r="C514" s="8" t="s">
        <v>12</v>
      </c>
      <c r="D514" s="4">
        <f>1631/(60*60*24)</f>
        <v>1.8877314814814816E-2</v>
      </c>
      <c r="E514" s="3">
        <f>6821/(60*60*24)</f>
        <v>7.8946759259259258E-2</v>
      </c>
      <c r="F514" s="5">
        <f>22392/(60*60*24)</f>
        <v>0.25916666666666666</v>
      </c>
      <c r="G514" s="7" t="s">
        <v>9</v>
      </c>
    </row>
    <row r="515" spans="1:7" x14ac:dyDescent="0.45">
      <c r="A515" t="s">
        <v>610</v>
      </c>
      <c r="B515" s="2" t="s">
        <v>156</v>
      </c>
      <c r="C515" s="8" t="s">
        <v>12</v>
      </c>
      <c r="D515" s="4">
        <f>1631/(60*60*24)</f>
        <v>1.8877314814814816E-2</v>
      </c>
      <c r="E515" s="3">
        <f>6954/(60*60*24)</f>
        <v>8.0486111111111105E-2</v>
      </c>
      <c r="F515" s="5">
        <f>22734/(60*60*24)</f>
        <v>0.263125</v>
      </c>
      <c r="G515" s="7" t="s">
        <v>9</v>
      </c>
    </row>
    <row r="516" spans="1:7" x14ac:dyDescent="0.45">
      <c r="A516" t="s">
        <v>611</v>
      </c>
      <c r="B516" s="2" t="s">
        <v>160</v>
      </c>
      <c r="C516" s="8" t="s">
        <v>12</v>
      </c>
      <c r="D516" s="4">
        <f>1688/(60*60*24)</f>
        <v>1.9537037037037037E-2</v>
      </c>
      <c r="E516" s="3">
        <f>6683/(60*60*24)</f>
        <v>7.7349537037037036E-2</v>
      </c>
      <c r="F516" s="5">
        <f>23363/(60*60*24)</f>
        <v>0.2704050925925926</v>
      </c>
      <c r="G516" s="7" t="s">
        <v>9</v>
      </c>
    </row>
    <row r="517" spans="1:7" x14ac:dyDescent="0.45">
      <c r="A517" t="s">
        <v>612</v>
      </c>
      <c r="B517" s="2" t="s">
        <v>158</v>
      </c>
      <c r="C517" s="8" t="s">
        <v>12</v>
      </c>
      <c r="D517" s="4">
        <f>1750/(60*60*24)</f>
        <v>2.0254629629629629E-2</v>
      </c>
      <c r="E517" s="3">
        <f>6857/(60*60*24)</f>
        <v>7.9363425925925921E-2</v>
      </c>
      <c r="F517" s="5">
        <f>23989/(60*60*24)</f>
        <v>0.27765046296296297</v>
      </c>
      <c r="G517" s="7" t="s">
        <v>9</v>
      </c>
    </row>
    <row r="518" spans="1:7" x14ac:dyDescent="0.45">
      <c r="A518" t="s">
        <v>613</v>
      </c>
      <c r="B518" s="2" t="s">
        <v>162</v>
      </c>
      <c r="C518" s="8" t="s">
        <v>12</v>
      </c>
      <c r="D518" s="4">
        <f>1871/(60*60*24)</f>
        <v>2.1655092592592594E-2</v>
      </c>
      <c r="E518" s="3">
        <f>7609/(60*60*24)</f>
        <v>8.8067129629629634E-2</v>
      </c>
      <c r="F518" s="5">
        <f>25045/(60*60*24)</f>
        <v>0.28987268518518516</v>
      </c>
      <c r="G518" s="7" t="s">
        <v>9</v>
      </c>
    </row>
    <row r="519" spans="1:7" x14ac:dyDescent="0.45">
      <c r="A519" t="s">
        <v>614</v>
      </c>
      <c r="B519" s="2" t="s">
        <v>164</v>
      </c>
      <c r="C519" s="8" t="s">
        <v>12</v>
      </c>
      <c r="D519" s="4">
        <f>1999/(60*60*24)</f>
        <v>2.3136574074074073E-2</v>
      </c>
      <c r="E519" s="3">
        <f>7742/(60*60*24)</f>
        <v>8.9606481481481481E-2</v>
      </c>
      <c r="F519" s="5">
        <f>25672/(60*60*24)</f>
        <v>0.29712962962962963</v>
      </c>
      <c r="G519" s="7" t="s">
        <v>9</v>
      </c>
    </row>
    <row r="520" spans="1:7" x14ac:dyDescent="0.45">
      <c r="A520" t="s">
        <v>615</v>
      </c>
      <c r="B520" s="2" t="s">
        <v>166</v>
      </c>
      <c r="C520" s="3">
        <f>5091/(60*60*24)</f>
        <v>5.8923611111111114E-2</v>
      </c>
      <c r="D520" s="4">
        <f>1852/(60*60*24)</f>
        <v>2.1435185185185186E-2</v>
      </c>
      <c r="E520" s="5">
        <f>7995/(60*60*24)</f>
        <v>9.2534722222222227E-2</v>
      </c>
      <c r="F520" s="6">
        <f>27115/(60*60*24)</f>
        <v>0.31383101851851852</v>
      </c>
      <c r="G520" s="7" t="s">
        <v>9</v>
      </c>
    </row>
    <row r="521" spans="1:7" x14ac:dyDescent="0.45">
      <c r="A521" t="s">
        <v>616</v>
      </c>
      <c r="B521" s="2" t="s">
        <v>168</v>
      </c>
      <c r="C521" s="8" t="s">
        <v>12</v>
      </c>
      <c r="D521" s="4">
        <f>2045/(60*60*24)</f>
        <v>2.3668981481481482E-2</v>
      </c>
      <c r="E521" s="3">
        <f>7979/(60*60*24)</f>
        <v>9.2349537037037036E-2</v>
      </c>
      <c r="F521" s="5">
        <f>27129/(60*60*24)</f>
        <v>0.31399305555555557</v>
      </c>
      <c r="G521" s="7" t="s">
        <v>9</v>
      </c>
    </row>
    <row r="522" spans="1:7" x14ac:dyDescent="0.45">
      <c r="A522" t="s">
        <v>617</v>
      </c>
      <c r="B522" s="2" t="s">
        <v>170</v>
      </c>
      <c r="C522" s="8" t="s">
        <v>12</v>
      </c>
      <c r="D522" s="4">
        <f>1849/(60*60*24)</f>
        <v>2.1400462962962961E-2</v>
      </c>
      <c r="E522" s="3">
        <f>7993/(60*60*24)</f>
        <v>9.2511574074074079E-2</v>
      </c>
      <c r="F522" s="5">
        <f>27596/(60*60*24)</f>
        <v>0.31939814814814815</v>
      </c>
      <c r="G522" s="7" t="s">
        <v>9</v>
      </c>
    </row>
    <row r="523" spans="1:7" x14ac:dyDescent="0.45">
      <c r="A523" t="s">
        <v>618</v>
      </c>
      <c r="B523" s="2" t="s">
        <v>172</v>
      </c>
      <c r="C523" s="8" t="s">
        <v>12</v>
      </c>
      <c r="D523" s="4">
        <f>1827/(60*60*24)</f>
        <v>2.1145833333333332E-2</v>
      </c>
      <c r="E523" s="3">
        <f>8287/(60*60*24)</f>
        <v>9.5914351851851848E-2</v>
      </c>
      <c r="F523" s="5">
        <f>28671/(60*60*24)</f>
        <v>0.3318402777777778</v>
      </c>
      <c r="G523" s="7" t="s">
        <v>9</v>
      </c>
    </row>
    <row r="524" spans="1:7" x14ac:dyDescent="0.45">
      <c r="A524" t="s">
        <v>619</v>
      </c>
      <c r="B524" s="2" t="s">
        <v>176</v>
      </c>
      <c r="C524" s="8" t="s">
        <v>12</v>
      </c>
      <c r="D524" s="4">
        <f>1861/(60*60*24)</f>
        <v>2.1539351851851851E-2</v>
      </c>
      <c r="E524" s="3">
        <f>8668/(60*60*24)</f>
        <v>0.10032407407407408</v>
      </c>
      <c r="F524" s="5">
        <f>30005/(60*60*24)</f>
        <v>0.34728009259259257</v>
      </c>
      <c r="G524" s="7" t="s">
        <v>9</v>
      </c>
    </row>
    <row r="525" spans="1:7" x14ac:dyDescent="0.45">
      <c r="A525" t="s">
        <v>620</v>
      </c>
      <c r="B525" s="2" t="s">
        <v>174</v>
      </c>
      <c r="C525" s="8" t="s">
        <v>12</v>
      </c>
      <c r="D525" s="4">
        <f>1802/(60*60*24)</f>
        <v>2.0856481481481483E-2</v>
      </c>
      <c r="E525" s="3">
        <f>8756/(60*60*24)</f>
        <v>0.1013425925925926</v>
      </c>
      <c r="F525" s="5">
        <f>30131/(60*60*24)</f>
        <v>0.34873842592592591</v>
      </c>
      <c r="G525" s="7" t="s">
        <v>9</v>
      </c>
    </row>
    <row r="526" spans="1:7" x14ac:dyDescent="0.45">
      <c r="A526" t="s">
        <v>621</v>
      </c>
      <c r="B526" s="2" t="s">
        <v>180</v>
      </c>
      <c r="C526" s="8" t="s">
        <v>12</v>
      </c>
      <c r="D526" s="4">
        <f>1917/(60*60*24)</f>
        <v>2.2187499999999999E-2</v>
      </c>
      <c r="E526" s="3">
        <f>8964/(60*60*24)</f>
        <v>0.10375</v>
      </c>
      <c r="F526" s="5">
        <f>30733/(60*60*24)</f>
        <v>0.35570601851851852</v>
      </c>
      <c r="G526" s="7" t="s">
        <v>9</v>
      </c>
    </row>
    <row r="527" spans="1:7" x14ac:dyDescent="0.45">
      <c r="A527" t="s">
        <v>622</v>
      </c>
      <c r="B527" s="2" t="s">
        <v>178</v>
      </c>
      <c r="C527" s="8" t="s">
        <v>12</v>
      </c>
      <c r="D527" s="4">
        <f>2048/(60*60*24)</f>
        <v>2.3703703703703703E-2</v>
      </c>
      <c r="E527" s="3">
        <f>9354/(60*60*24)</f>
        <v>0.1082638888888889</v>
      </c>
      <c r="F527" s="5">
        <f>32218/(60*60*24)</f>
        <v>0.37289351851851854</v>
      </c>
      <c r="G527" s="7" t="s">
        <v>9</v>
      </c>
    </row>
    <row r="528" spans="1:7" x14ac:dyDescent="0.45">
      <c r="A528" t="s">
        <v>623</v>
      </c>
      <c r="B528" s="2" t="s">
        <v>182</v>
      </c>
      <c r="C528" s="8" t="s">
        <v>12</v>
      </c>
      <c r="D528" s="4">
        <f>2305/(60*60*24)</f>
        <v>2.6678240740740742E-2</v>
      </c>
      <c r="E528" s="3">
        <f>9331/(60*60*24)</f>
        <v>0.10799768518518518</v>
      </c>
      <c r="F528" s="5">
        <f>32496/(60*60*24)</f>
        <v>0.37611111111111112</v>
      </c>
      <c r="G528" s="7" t="s">
        <v>9</v>
      </c>
    </row>
    <row r="529" spans="1:7" x14ac:dyDescent="0.45">
      <c r="A529" t="s">
        <v>624</v>
      </c>
      <c r="B529" s="2" t="s">
        <v>184</v>
      </c>
      <c r="C529" s="8" t="s">
        <v>12</v>
      </c>
      <c r="D529" s="4">
        <f>2406/(60*60*24)</f>
        <v>2.7847222222222221E-2</v>
      </c>
      <c r="E529" s="3">
        <f>9582/(60*60*24)</f>
        <v>0.11090277777777778</v>
      </c>
      <c r="F529" s="5">
        <f>32669/(60*60*24)</f>
        <v>0.37811342592592595</v>
      </c>
      <c r="G529" s="7" t="s">
        <v>9</v>
      </c>
    </row>
    <row r="530" spans="1:7" x14ac:dyDescent="0.45">
      <c r="A530" t="s">
        <v>625</v>
      </c>
      <c r="B530" s="2" t="s">
        <v>8</v>
      </c>
      <c r="C530" s="3">
        <f>7722/(60*60*24)</f>
        <v>8.9374999999999996E-2</v>
      </c>
      <c r="D530" s="4">
        <f>2042/(60*60*24)</f>
        <v>2.3634259259259258E-2</v>
      </c>
      <c r="E530" s="5">
        <f>10427/(60*60*24)</f>
        <v>0.12068287037037037</v>
      </c>
      <c r="F530" s="6">
        <f>34664/(60*60*24)</f>
        <v>0.40120370370370373</v>
      </c>
      <c r="G530" s="7" t="s">
        <v>9</v>
      </c>
    </row>
    <row r="531" spans="1:7" x14ac:dyDescent="0.45">
      <c r="A531" t="s">
        <v>626</v>
      </c>
      <c r="B531" s="2" t="s">
        <v>11</v>
      </c>
      <c r="C531" s="8" t="s">
        <v>12</v>
      </c>
      <c r="D531" s="4">
        <f>1982/(60*60*24)</f>
        <v>2.2939814814814816E-2</v>
      </c>
      <c r="E531" s="3">
        <f>10112/(60*60*24)</f>
        <v>0.11703703703703704</v>
      </c>
      <c r="F531" s="5">
        <f>34509/(60*60*24)</f>
        <v>0.39940972222222221</v>
      </c>
      <c r="G531" s="7" t="s">
        <v>9</v>
      </c>
    </row>
    <row r="532" spans="1:7" x14ac:dyDescent="0.45">
      <c r="A532" t="s">
        <v>627</v>
      </c>
      <c r="B532" s="2" t="s">
        <v>16</v>
      </c>
      <c r="C532" s="3">
        <f>7200/(60*60*24)</f>
        <v>8.3333333333333329E-2</v>
      </c>
      <c r="D532" s="4">
        <f>1976/(60*60*24)</f>
        <v>2.2870370370370371E-2</v>
      </c>
      <c r="E532" s="5">
        <f>9984/(60*60*24)</f>
        <v>0.11555555555555555</v>
      </c>
      <c r="F532" s="6">
        <f>33505/(60*60*24)</f>
        <v>0.38778935185185187</v>
      </c>
      <c r="G532" s="7" t="s">
        <v>9</v>
      </c>
    </row>
    <row r="533" spans="1:7" x14ac:dyDescent="0.45">
      <c r="A533" t="s">
        <v>628</v>
      </c>
      <c r="B533" s="2" t="s">
        <v>14</v>
      </c>
      <c r="C533" s="8" t="s">
        <v>12</v>
      </c>
      <c r="D533" s="4">
        <f>2009/(60*60*24)</f>
        <v>2.3252314814814816E-2</v>
      </c>
      <c r="E533" s="3">
        <f>10098/(60*60*24)</f>
        <v>0.11687500000000001</v>
      </c>
      <c r="F533" s="5">
        <f>33850/(60*60*24)</f>
        <v>0.39178240740740738</v>
      </c>
      <c r="G533" s="7" t="s">
        <v>9</v>
      </c>
    </row>
    <row r="534" spans="1:7" x14ac:dyDescent="0.45">
      <c r="A534" t="s">
        <v>629</v>
      </c>
      <c r="B534" s="2" t="s">
        <v>18</v>
      </c>
      <c r="C534" s="3">
        <f>7133/(60*60*24)</f>
        <v>8.2557870370370365E-2</v>
      </c>
      <c r="D534" s="4">
        <f>2110/(60*60*24)</f>
        <v>2.4421296296296295E-2</v>
      </c>
      <c r="E534" s="5">
        <f>9889/(60*60*24)</f>
        <v>0.11445601851851851</v>
      </c>
      <c r="F534" s="6">
        <f>32499/(60*60*24)</f>
        <v>0.37614583333333335</v>
      </c>
      <c r="G534" s="7" t="s">
        <v>9</v>
      </c>
    </row>
    <row r="535" spans="1:7" x14ac:dyDescent="0.45">
      <c r="A535" t="s">
        <v>630</v>
      </c>
      <c r="B535" s="2" t="s">
        <v>20</v>
      </c>
      <c r="C535" s="8" t="s">
        <v>12</v>
      </c>
      <c r="D535" s="4">
        <f>2147/(60*60*24)</f>
        <v>2.4849537037037038E-2</v>
      </c>
      <c r="E535" s="3">
        <f>9624/(60*60*24)</f>
        <v>0.11138888888888888</v>
      </c>
      <c r="F535" s="5">
        <f>31554/(60*60*24)</f>
        <v>0.36520833333333336</v>
      </c>
      <c r="G535" s="7" t="s">
        <v>9</v>
      </c>
    </row>
    <row r="536" spans="1:7" x14ac:dyDescent="0.45">
      <c r="A536" t="s">
        <v>631</v>
      </c>
      <c r="B536" s="2" t="s">
        <v>22</v>
      </c>
      <c r="C536" s="8" t="s">
        <v>12</v>
      </c>
      <c r="D536" s="4">
        <f>2042/(60*60*24)</f>
        <v>2.3634259259259258E-2</v>
      </c>
      <c r="E536" s="3">
        <f>9487/(60*60*24)</f>
        <v>0.10980324074074074</v>
      </c>
      <c r="F536" s="5">
        <f>31215/(60*60*24)</f>
        <v>0.36128472222222224</v>
      </c>
      <c r="G536" s="7" t="s">
        <v>9</v>
      </c>
    </row>
    <row r="537" spans="1:7" x14ac:dyDescent="0.45">
      <c r="A537" t="s">
        <v>632</v>
      </c>
      <c r="B537" s="2" t="s">
        <v>24</v>
      </c>
      <c r="C537" s="8" t="s">
        <v>12</v>
      </c>
      <c r="D537" s="4">
        <f>1740/(60*60*24)</f>
        <v>2.013888888888889E-2</v>
      </c>
      <c r="E537" s="3">
        <f>8936/(60*60*24)</f>
        <v>0.10342592592592592</v>
      </c>
      <c r="F537" s="5">
        <f>30177/(60*60*24)</f>
        <v>0.34927083333333331</v>
      </c>
      <c r="G537" s="7" t="s">
        <v>9</v>
      </c>
    </row>
    <row r="538" spans="1:7" x14ac:dyDescent="0.45">
      <c r="A538" t="s">
        <v>633</v>
      </c>
      <c r="B538" s="2" t="s">
        <v>28</v>
      </c>
      <c r="C538" s="3">
        <f>5367/(60*60*24)</f>
        <v>6.2118055555555558E-2</v>
      </c>
      <c r="D538" s="4">
        <f>1274/(60*60*24)</f>
        <v>1.474537037037037E-2</v>
      </c>
      <c r="E538" s="5">
        <f>8332/(60*60*24)</f>
        <v>9.6435185185185179E-2</v>
      </c>
      <c r="F538" s="6">
        <f>28418/(60*60*24)</f>
        <v>0.32891203703703703</v>
      </c>
      <c r="G538" s="7" t="s">
        <v>9</v>
      </c>
    </row>
    <row r="539" spans="1:7" x14ac:dyDescent="0.45">
      <c r="A539" t="s">
        <v>634</v>
      </c>
      <c r="B539" s="2" t="s">
        <v>26</v>
      </c>
      <c r="C539" s="8" t="s">
        <v>12</v>
      </c>
      <c r="D539" s="4">
        <f>1632/(60*60*24)</f>
        <v>1.8888888888888889E-2</v>
      </c>
      <c r="E539" s="3">
        <f>8904/(60*60*24)</f>
        <v>0.10305555555555555</v>
      </c>
      <c r="F539" s="5">
        <f>29192/(60*60*24)</f>
        <v>0.33787037037037038</v>
      </c>
      <c r="G539" s="7" t="s">
        <v>9</v>
      </c>
    </row>
    <row r="540" spans="1:7" x14ac:dyDescent="0.45">
      <c r="A540" t="s">
        <v>635</v>
      </c>
      <c r="B540" s="2" t="s">
        <v>30</v>
      </c>
      <c r="C540" s="3">
        <f>4943/(60*60*24)</f>
        <v>5.7210648148148149E-2</v>
      </c>
      <c r="D540" s="4">
        <f>1386/(60*60*24)</f>
        <v>1.6041666666666666E-2</v>
      </c>
      <c r="E540" s="5">
        <f>8098/(60*60*24)</f>
        <v>9.3726851851851853E-2</v>
      </c>
      <c r="F540" s="6">
        <f>27486/(60*60*24)</f>
        <v>0.31812499999999999</v>
      </c>
      <c r="G540" s="7" t="s">
        <v>9</v>
      </c>
    </row>
    <row r="541" spans="1:7" x14ac:dyDescent="0.45">
      <c r="A541" t="s">
        <v>636</v>
      </c>
      <c r="B541" s="2" t="s">
        <v>32</v>
      </c>
      <c r="C541" s="3">
        <f>5433/(60*60*24)</f>
        <v>6.2881944444444449E-2</v>
      </c>
      <c r="D541" s="4">
        <f>1390/(60*60*24)</f>
        <v>1.6087962962962964E-2</v>
      </c>
      <c r="E541" s="5">
        <f>8237/(60*60*24)</f>
        <v>9.5335648148148142E-2</v>
      </c>
      <c r="F541" s="6">
        <f>26944/(60*60*24)</f>
        <v>0.31185185185185182</v>
      </c>
      <c r="G541" s="7" t="s">
        <v>9</v>
      </c>
    </row>
    <row r="542" spans="1:7" x14ac:dyDescent="0.45">
      <c r="A542" t="s">
        <v>637</v>
      </c>
      <c r="B542" s="2" t="s">
        <v>36</v>
      </c>
      <c r="C542" s="3">
        <f>5279/(60*60*24)</f>
        <v>6.1099537037037036E-2</v>
      </c>
      <c r="D542" s="4">
        <f>1565/(60*60*24)</f>
        <v>1.8113425925925925E-2</v>
      </c>
      <c r="E542" s="5">
        <f>7528/(60*60*24)</f>
        <v>8.7129629629629626E-2</v>
      </c>
      <c r="F542" s="6">
        <f>26363/(60*60*24)</f>
        <v>0.30512731481481481</v>
      </c>
      <c r="G542" s="7" t="s">
        <v>9</v>
      </c>
    </row>
    <row r="543" spans="1:7" x14ac:dyDescent="0.45">
      <c r="A543" t="s">
        <v>638</v>
      </c>
      <c r="B543" s="2" t="s">
        <v>34</v>
      </c>
      <c r="C543" s="8" t="s">
        <v>12</v>
      </c>
      <c r="D543" s="4">
        <f>1459/(60*60*24)</f>
        <v>1.6886574074074075E-2</v>
      </c>
      <c r="E543" s="3">
        <f>7743/(60*60*24)</f>
        <v>8.9618055555555562E-2</v>
      </c>
      <c r="F543" s="5">
        <f>26853/(60*60*24)</f>
        <v>0.31079861111111112</v>
      </c>
      <c r="G543" s="7" t="s">
        <v>9</v>
      </c>
    </row>
    <row r="544" spans="1:7" x14ac:dyDescent="0.45">
      <c r="A544" t="s">
        <v>639</v>
      </c>
      <c r="B544" s="2" t="s">
        <v>38</v>
      </c>
      <c r="C544" s="8" t="s">
        <v>12</v>
      </c>
      <c r="D544" s="4">
        <f>1728/(60*60*24)</f>
        <v>0.02</v>
      </c>
      <c r="E544" s="3">
        <f>7144/(60*60*24)</f>
        <v>8.2685185185185181E-2</v>
      </c>
      <c r="F544" s="5">
        <f>24176/(60*60*24)</f>
        <v>0.27981481481481479</v>
      </c>
      <c r="G544" s="7" t="s">
        <v>9</v>
      </c>
    </row>
    <row r="545" spans="1:7" x14ac:dyDescent="0.45">
      <c r="A545" t="s">
        <v>640</v>
      </c>
      <c r="B545" s="2" t="s">
        <v>40</v>
      </c>
      <c r="C545" s="8" t="s">
        <v>12</v>
      </c>
      <c r="D545" s="4">
        <f>1880/(60*60*24)</f>
        <v>2.1759259259259259E-2</v>
      </c>
      <c r="E545" s="3">
        <f>7034/(60*60*24)</f>
        <v>8.1412037037037033E-2</v>
      </c>
      <c r="F545" s="5">
        <f>24263/(60*60*24)</f>
        <v>0.28082175925925928</v>
      </c>
      <c r="G545" s="7" t="s">
        <v>9</v>
      </c>
    </row>
    <row r="546" spans="1:7" x14ac:dyDescent="0.45">
      <c r="A546" t="s">
        <v>641</v>
      </c>
      <c r="B546" s="2" t="s">
        <v>44</v>
      </c>
      <c r="C546" s="3">
        <f>6762/(60*60*24)</f>
        <v>7.8263888888888883E-2</v>
      </c>
      <c r="D546" s="4">
        <f>1869/(60*60*24)</f>
        <v>2.1631944444444443E-2</v>
      </c>
      <c r="E546" s="5">
        <f>6841/(60*60*24)</f>
        <v>7.9178240740740743E-2</v>
      </c>
      <c r="F546" s="6">
        <f>22929/(60*60*24)</f>
        <v>0.26538194444444446</v>
      </c>
      <c r="G546" s="7" t="s">
        <v>9</v>
      </c>
    </row>
    <row r="547" spans="1:7" x14ac:dyDescent="0.45">
      <c r="A547" t="s">
        <v>642</v>
      </c>
      <c r="B547" s="2" t="s">
        <v>42</v>
      </c>
      <c r="C547" s="3">
        <f>5504/(60*60*24)</f>
        <v>6.3703703703703707E-2</v>
      </c>
      <c r="D547" s="4">
        <f>1618/(60*60*24)</f>
        <v>1.8726851851851852E-2</v>
      </c>
      <c r="E547" s="5">
        <f>6561/(60*60*24)</f>
        <v>7.5937500000000005E-2</v>
      </c>
      <c r="F547" s="6">
        <f>22177/(60*60*24)</f>
        <v>0.25667824074074075</v>
      </c>
      <c r="G547" s="7" t="s">
        <v>9</v>
      </c>
    </row>
    <row r="548" spans="1:7" x14ac:dyDescent="0.45">
      <c r="A548" t="s">
        <v>643</v>
      </c>
      <c r="B548" s="2" t="s">
        <v>46</v>
      </c>
      <c r="C548" s="3">
        <f>4974/(60*60*24)</f>
        <v>5.7569444444444444E-2</v>
      </c>
      <c r="D548" s="4">
        <f>1686/(60*60*24)</f>
        <v>1.951388888888889E-2</v>
      </c>
      <c r="E548" s="5">
        <f>6341/(60*60*24)</f>
        <v>7.3391203703703708E-2</v>
      </c>
      <c r="F548" s="6">
        <f>21226/(60*60*24)</f>
        <v>0.2456712962962963</v>
      </c>
      <c r="G548" s="7" t="s">
        <v>9</v>
      </c>
    </row>
    <row r="549" spans="1:7" x14ac:dyDescent="0.45">
      <c r="A549" t="s">
        <v>644</v>
      </c>
      <c r="B549" s="2" t="s">
        <v>48</v>
      </c>
      <c r="C549" s="3">
        <f>4885/(60*60*24)</f>
        <v>5.6539351851851855E-2</v>
      </c>
      <c r="D549" s="4">
        <f>1515/(60*60*24)</f>
        <v>1.7534722222222222E-2</v>
      </c>
      <c r="E549" s="5">
        <f>6062/(60*60*24)</f>
        <v>7.0162037037037037E-2</v>
      </c>
      <c r="F549" s="6">
        <f>20584/(60*60*24)</f>
        <v>0.23824074074074075</v>
      </c>
      <c r="G549" s="7" t="s">
        <v>9</v>
      </c>
    </row>
    <row r="550" spans="1:7" x14ac:dyDescent="0.45">
      <c r="A550" t="s">
        <v>645</v>
      </c>
      <c r="B550" s="2" t="s">
        <v>50</v>
      </c>
      <c r="C550" s="3">
        <f>5790/(60*60*24)</f>
        <v>6.7013888888888887E-2</v>
      </c>
      <c r="D550" s="4">
        <f>1512/(60*60*24)</f>
        <v>1.7500000000000002E-2</v>
      </c>
      <c r="E550" s="5">
        <f>6064/(60*60*24)</f>
        <v>7.0185185185185184E-2</v>
      </c>
      <c r="F550" s="6">
        <f>20494/(60*60*24)</f>
        <v>0.23719907407407406</v>
      </c>
      <c r="G550" s="7" t="s">
        <v>9</v>
      </c>
    </row>
    <row r="551" spans="1:7" x14ac:dyDescent="0.45">
      <c r="A551" t="s">
        <v>646</v>
      </c>
      <c r="B551" s="2" t="s">
        <v>52</v>
      </c>
      <c r="C551" s="3">
        <f>5421/(60*60*24)</f>
        <v>6.2743055555555552E-2</v>
      </c>
      <c r="D551" s="4">
        <f>1302/(60*60*24)</f>
        <v>1.5069444444444444E-2</v>
      </c>
      <c r="E551" s="5">
        <f>5795/(60*60*24)</f>
        <v>6.7071759259259262E-2</v>
      </c>
      <c r="F551" s="6">
        <f>19949/(60*60*24)</f>
        <v>0.2308912037037037</v>
      </c>
      <c r="G551" s="7" t="s">
        <v>9</v>
      </c>
    </row>
    <row r="552" spans="1:7" x14ac:dyDescent="0.45">
      <c r="A552" t="s">
        <v>647</v>
      </c>
      <c r="B552" s="2" t="s">
        <v>54</v>
      </c>
      <c r="C552" s="8" t="s">
        <v>12</v>
      </c>
      <c r="D552" s="4">
        <f>1439/(60*60*24)</f>
        <v>1.6655092592592593E-2</v>
      </c>
      <c r="E552" s="3">
        <f>5678/(60*60*24)</f>
        <v>6.5717592592592591E-2</v>
      </c>
      <c r="F552" s="5">
        <f>19257/(60*60*24)</f>
        <v>0.22288194444444445</v>
      </c>
      <c r="G552" s="7" t="s">
        <v>9</v>
      </c>
    </row>
    <row r="553" spans="1:7" x14ac:dyDescent="0.45">
      <c r="A553" t="s">
        <v>648</v>
      </c>
      <c r="B553" s="2" t="s">
        <v>56</v>
      </c>
      <c r="C553" s="8" t="s">
        <v>12</v>
      </c>
      <c r="D553" s="4">
        <f>1727/(60*60*24)</f>
        <v>1.9988425925925927E-2</v>
      </c>
      <c r="E553" s="3">
        <f>5300/(60*60*24)</f>
        <v>6.1342592592592594E-2</v>
      </c>
      <c r="F553" s="5">
        <f>18515/(60*60*24)</f>
        <v>0.21429398148148149</v>
      </c>
      <c r="G553" s="7" t="s">
        <v>9</v>
      </c>
    </row>
    <row r="554" spans="1:7" x14ac:dyDescent="0.45">
      <c r="A554" t="s">
        <v>649</v>
      </c>
      <c r="B554" s="2" t="s">
        <v>58</v>
      </c>
      <c r="C554" s="8" t="s">
        <v>12</v>
      </c>
      <c r="D554" s="4">
        <f>1796/(60*60*24)</f>
        <v>2.0787037037037038E-2</v>
      </c>
      <c r="E554" s="3">
        <f>5367/(60*60*24)</f>
        <v>6.2118055555555558E-2</v>
      </c>
      <c r="F554" s="5">
        <f>18422/(60*60*24)</f>
        <v>0.2132175925925926</v>
      </c>
      <c r="G554" s="7" t="s">
        <v>9</v>
      </c>
    </row>
    <row r="555" spans="1:7" x14ac:dyDescent="0.45">
      <c r="A555" t="s">
        <v>650</v>
      </c>
      <c r="B555" s="2" t="s">
        <v>60</v>
      </c>
      <c r="C555" s="8" t="s">
        <v>12</v>
      </c>
      <c r="D555" s="4">
        <f>1245/(60*60*24)</f>
        <v>1.4409722222222223E-2</v>
      </c>
      <c r="E555" s="3">
        <f>5283/(60*60*24)</f>
        <v>6.1145833333333337E-2</v>
      </c>
      <c r="F555" s="5">
        <f>17872/(60*60*24)</f>
        <v>0.20685185185185184</v>
      </c>
      <c r="G555" s="7" t="s">
        <v>9</v>
      </c>
    </row>
    <row r="556" spans="1:7" x14ac:dyDescent="0.45">
      <c r="A556" t="s">
        <v>651</v>
      </c>
      <c r="B556" s="2" t="s">
        <v>64</v>
      </c>
      <c r="C556" s="5">
        <f>6045/(60*60*24)</f>
        <v>6.9965277777777779E-2</v>
      </c>
      <c r="D556" s="4">
        <f>1207/(60*60*24)</f>
        <v>1.3969907407407407E-2</v>
      </c>
      <c r="E556" s="3">
        <f>5149/(60*60*24)</f>
        <v>5.9594907407407409E-2</v>
      </c>
      <c r="F556" s="6">
        <f>16908/(60*60*24)</f>
        <v>0.19569444444444445</v>
      </c>
      <c r="G556" s="7" t="s">
        <v>9</v>
      </c>
    </row>
    <row r="557" spans="1:7" x14ac:dyDescent="0.45">
      <c r="A557" t="s">
        <v>652</v>
      </c>
      <c r="B557" s="2" t="s">
        <v>62</v>
      </c>
      <c r="C557" s="8" t="s">
        <v>12</v>
      </c>
      <c r="D557" s="4">
        <f>1057/(60*60*24)</f>
        <v>1.2233796296296296E-2</v>
      </c>
      <c r="E557" s="3">
        <f>5299/(60*60*24)</f>
        <v>6.1331018518518521E-2</v>
      </c>
      <c r="F557" s="5">
        <f>17996/(60*60*24)</f>
        <v>0.20828703703703705</v>
      </c>
      <c r="G557" s="7" t="s">
        <v>9</v>
      </c>
    </row>
    <row r="558" spans="1:7" x14ac:dyDescent="0.45">
      <c r="A558" t="s">
        <v>653</v>
      </c>
      <c r="B558" s="2" t="s">
        <v>66</v>
      </c>
      <c r="C558" s="8" t="s">
        <v>12</v>
      </c>
      <c r="D558" s="4">
        <f>1096/(60*60*24)</f>
        <v>1.2685185185185185E-2</v>
      </c>
      <c r="E558" s="3">
        <f>4688/(60*60*24)</f>
        <v>5.4259259259259257E-2</v>
      </c>
      <c r="F558" s="5">
        <f>15291/(60*60*24)</f>
        <v>0.17697916666666666</v>
      </c>
      <c r="G558" s="7" t="s">
        <v>9</v>
      </c>
    </row>
    <row r="559" spans="1:7" x14ac:dyDescent="0.45">
      <c r="A559" t="s">
        <v>654</v>
      </c>
      <c r="B559" s="2" t="s">
        <v>68</v>
      </c>
      <c r="C559" s="8" t="s">
        <v>12</v>
      </c>
      <c r="D559" s="4">
        <f>918/(60*60*24)</f>
        <v>1.0625000000000001E-2</v>
      </c>
      <c r="E559" s="3">
        <f>4539/(60*60*24)</f>
        <v>5.2534722222222219E-2</v>
      </c>
      <c r="F559" s="5">
        <f>14564/(60*60*24)</f>
        <v>0.16856481481481481</v>
      </c>
      <c r="G559" s="7" t="s">
        <v>9</v>
      </c>
    </row>
    <row r="560" spans="1:7" x14ac:dyDescent="0.45">
      <c r="A560" t="s">
        <v>655</v>
      </c>
      <c r="B560" s="2" t="s">
        <v>72</v>
      </c>
      <c r="C560" s="5">
        <f>4902/(60*60*24)</f>
        <v>5.6736111111111112E-2</v>
      </c>
      <c r="D560" s="4">
        <f>944/(60*60*24)</f>
        <v>1.0925925925925926E-2</v>
      </c>
      <c r="E560" s="3">
        <f>4415/(60*60*24)</f>
        <v>5.1099537037037034E-2</v>
      </c>
      <c r="F560" s="6">
        <f>14411/(60*60*24)</f>
        <v>0.16679398148148147</v>
      </c>
      <c r="G560" s="7" t="s">
        <v>9</v>
      </c>
    </row>
    <row r="561" spans="1:7" x14ac:dyDescent="0.45">
      <c r="A561" t="s">
        <v>656</v>
      </c>
      <c r="B561" s="2" t="s">
        <v>70</v>
      </c>
      <c r="C561" s="8" t="s">
        <v>12</v>
      </c>
      <c r="D561" s="4">
        <f>780/(60*60*24)</f>
        <v>9.0277777777777769E-3</v>
      </c>
      <c r="E561" s="3">
        <f>4556/(60*60*24)</f>
        <v>5.2731481481481483E-2</v>
      </c>
      <c r="F561" s="5">
        <f>14624/(60*60*24)</f>
        <v>0.16925925925925925</v>
      </c>
      <c r="G561" s="7" t="s">
        <v>9</v>
      </c>
    </row>
    <row r="562" spans="1:7" x14ac:dyDescent="0.45">
      <c r="A562" t="s">
        <v>657</v>
      </c>
      <c r="B562" s="2" t="s">
        <v>74</v>
      </c>
      <c r="C562" s="5">
        <f>4691/(60*60*24)</f>
        <v>5.4293981481481485E-2</v>
      </c>
      <c r="D562" s="4">
        <f>949/(60*60*24)</f>
        <v>1.0983796296296297E-2</v>
      </c>
      <c r="E562" s="3">
        <f>4206/(60*60*24)</f>
        <v>4.8680555555555553E-2</v>
      </c>
      <c r="F562" s="6">
        <f>14460/(60*60*24)</f>
        <v>0.1673611111111111</v>
      </c>
      <c r="G562" s="7" t="s">
        <v>9</v>
      </c>
    </row>
    <row r="563" spans="1:7" x14ac:dyDescent="0.45">
      <c r="A563" t="s">
        <v>658</v>
      </c>
      <c r="B563" s="2" t="s">
        <v>76</v>
      </c>
      <c r="C563" s="8" t="s">
        <v>12</v>
      </c>
      <c r="D563" s="4">
        <f>1167/(60*60*24)</f>
        <v>1.3506944444444445E-2</v>
      </c>
      <c r="E563" s="3">
        <f>3806/(60*60*24)</f>
        <v>4.4050925925925924E-2</v>
      </c>
      <c r="F563" s="5">
        <f>12655/(60*60*24)</f>
        <v>0.1464699074074074</v>
      </c>
      <c r="G563" s="7" t="s">
        <v>9</v>
      </c>
    </row>
    <row r="564" spans="1:7" x14ac:dyDescent="0.45">
      <c r="A564" t="s">
        <v>659</v>
      </c>
      <c r="B564" s="2" t="s">
        <v>78</v>
      </c>
      <c r="C564" s="5">
        <f>3910/(60*60*24)</f>
        <v>4.5254629629629631E-2</v>
      </c>
      <c r="D564" s="4">
        <f>1139/(60*60*24)</f>
        <v>1.3182870370370371E-2</v>
      </c>
      <c r="E564" s="3">
        <f>3777/(60*60*24)</f>
        <v>4.3715277777777777E-2</v>
      </c>
      <c r="F564" s="6">
        <f>11896/(60*60*24)</f>
        <v>0.13768518518518519</v>
      </c>
      <c r="G564" s="7" t="s">
        <v>9</v>
      </c>
    </row>
    <row r="565" spans="1:7" x14ac:dyDescent="0.45">
      <c r="A565" t="s">
        <v>660</v>
      </c>
      <c r="B565" s="2" t="s">
        <v>80</v>
      </c>
      <c r="C565" s="5">
        <f>3427/(60*60*24)</f>
        <v>3.9664351851851853E-2</v>
      </c>
      <c r="D565" s="4">
        <f>846/(60*60*24)</f>
        <v>9.7916666666666673E-3</v>
      </c>
      <c r="E565" s="3">
        <f>3216/(60*60*24)</f>
        <v>3.7222222222222219E-2</v>
      </c>
      <c r="F565" s="6">
        <f>11272/(60*60*24)</f>
        <v>0.13046296296296298</v>
      </c>
      <c r="G565" s="7" t="s">
        <v>9</v>
      </c>
    </row>
    <row r="566" spans="1:7" x14ac:dyDescent="0.45">
      <c r="A566" t="s">
        <v>661</v>
      </c>
      <c r="B566" s="2" t="s">
        <v>84</v>
      </c>
      <c r="C566" s="5">
        <f>3313/(60*60*24)</f>
        <v>3.8344907407407404E-2</v>
      </c>
      <c r="D566" s="4">
        <f>1012/(60*60*24)</f>
        <v>1.1712962962962963E-2</v>
      </c>
      <c r="E566" s="3">
        <f>3004/(60*60*24)</f>
        <v>3.4768518518518518E-2</v>
      </c>
      <c r="F566" s="6">
        <f>10570/(60*60*24)</f>
        <v>0.12233796296296297</v>
      </c>
      <c r="G566" s="7" t="s">
        <v>9</v>
      </c>
    </row>
    <row r="567" spans="1:7" x14ac:dyDescent="0.45">
      <c r="A567" t="s">
        <v>662</v>
      </c>
      <c r="B567" s="2" t="s">
        <v>82</v>
      </c>
      <c r="C567" s="8" t="s">
        <v>12</v>
      </c>
      <c r="D567" s="4">
        <f>778/(60*60*24)</f>
        <v>9.0046296296296298E-3</v>
      </c>
      <c r="E567" s="3">
        <f>2786/(60*60*24)</f>
        <v>3.2245370370370369E-2</v>
      </c>
      <c r="F567" s="5">
        <f>10093/(60*60*24)</f>
        <v>0.11681712962962963</v>
      </c>
      <c r="G567" s="7" t="s">
        <v>9</v>
      </c>
    </row>
    <row r="568" spans="1:7" x14ac:dyDescent="0.45">
      <c r="A568" t="s">
        <v>663</v>
      </c>
      <c r="B568" s="2" t="s">
        <v>88</v>
      </c>
      <c r="C568" s="5">
        <f>2978/(60*60*24)</f>
        <v>3.4467592592592591E-2</v>
      </c>
      <c r="D568" s="4">
        <f>885/(60*60*24)</f>
        <v>1.0243055555555556E-2</v>
      </c>
      <c r="E568" s="3">
        <f>2606/(60*60*24)</f>
        <v>3.0162037037037036E-2</v>
      </c>
      <c r="F568" s="6">
        <f>9130/(60*60*24)</f>
        <v>0.10567129629629629</v>
      </c>
      <c r="G568" s="7" t="s">
        <v>9</v>
      </c>
    </row>
    <row r="569" spans="1:7" x14ac:dyDescent="0.45">
      <c r="A569" t="s">
        <v>664</v>
      </c>
      <c r="B569" s="2" t="s">
        <v>86</v>
      </c>
      <c r="C569" s="5">
        <f>3163/(60*60*24)</f>
        <v>3.6608796296296299E-2</v>
      </c>
      <c r="D569" s="4">
        <f>1009/(60*60*24)</f>
        <v>1.1678240740740741E-2</v>
      </c>
      <c r="E569" s="3">
        <f>2557/(60*60*24)</f>
        <v>2.9594907407407407E-2</v>
      </c>
      <c r="F569" s="6">
        <f>9005/(60*60*24)</f>
        <v>0.10422453703703703</v>
      </c>
      <c r="G569" s="7" t="s">
        <v>9</v>
      </c>
    </row>
    <row r="570" spans="1:7" x14ac:dyDescent="0.45">
      <c r="A570" t="s">
        <v>665</v>
      </c>
      <c r="B570" s="2" t="s">
        <v>90</v>
      </c>
      <c r="C570" s="8" t="s">
        <v>12</v>
      </c>
      <c r="D570" s="4">
        <f>1093/(60*60*24)</f>
        <v>1.2650462962962962E-2</v>
      </c>
      <c r="E570" s="3">
        <f>2617/(60*60*24)</f>
        <v>3.0289351851851852E-2</v>
      </c>
      <c r="F570" s="5">
        <f>9354/(60*60*24)</f>
        <v>0.1082638888888889</v>
      </c>
      <c r="G570" s="7" t="s">
        <v>9</v>
      </c>
    </row>
    <row r="571" spans="1:7" x14ac:dyDescent="0.45">
      <c r="A571" t="s">
        <v>666</v>
      </c>
      <c r="B571" s="2" t="s">
        <v>92</v>
      </c>
      <c r="C571" s="8" t="s">
        <v>12</v>
      </c>
      <c r="D571" s="4">
        <f>1198/(60*60*24)</f>
        <v>1.3865740740740741E-2</v>
      </c>
      <c r="E571" s="3">
        <f>2754/(60*60*24)</f>
        <v>3.1875000000000001E-2</v>
      </c>
      <c r="F571" s="5">
        <f>9537/(60*60*24)</f>
        <v>0.11038194444444445</v>
      </c>
      <c r="G571" s="7" t="s">
        <v>9</v>
      </c>
    </row>
    <row r="572" spans="1:7" x14ac:dyDescent="0.45">
      <c r="A572" t="s">
        <v>667</v>
      </c>
      <c r="B572" s="2" t="s">
        <v>94</v>
      </c>
      <c r="C572" s="8" t="s">
        <v>12</v>
      </c>
      <c r="D572" s="4">
        <f>1190/(60*60*24)</f>
        <v>1.3773148148148149E-2</v>
      </c>
      <c r="E572" s="3">
        <f>2863/(60*60*24)</f>
        <v>3.3136574074074075E-2</v>
      </c>
      <c r="F572" s="5">
        <f>9966/(60*60*24)</f>
        <v>0.11534722222222223</v>
      </c>
      <c r="G572" s="7" t="s">
        <v>9</v>
      </c>
    </row>
    <row r="573" spans="1:7" x14ac:dyDescent="0.45">
      <c r="A573" t="s">
        <v>668</v>
      </c>
      <c r="B573" s="2" t="s">
        <v>96</v>
      </c>
      <c r="C573" s="8" t="s">
        <v>12</v>
      </c>
      <c r="D573" s="4">
        <f>1264/(60*60*24)</f>
        <v>1.462962962962963E-2</v>
      </c>
      <c r="E573" s="3">
        <f>2990/(60*60*24)</f>
        <v>3.4606481481481481E-2</v>
      </c>
      <c r="F573" s="5">
        <f>8740/(60*60*24)</f>
        <v>0.1011574074074074</v>
      </c>
      <c r="G573" s="7" t="s">
        <v>9</v>
      </c>
    </row>
    <row r="574" spans="1:7" x14ac:dyDescent="0.45">
      <c r="A574" t="s">
        <v>669</v>
      </c>
      <c r="B574" s="2" t="s">
        <v>98</v>
      </c>
      <c r="C574" s="8" t="s">
        <v>12</v>
      </c>
      <c r="D574" s="4">
        <f>1420/(60*60*24)</f>
        <v>1.6435185185185185E-2</v>
      </c>
      <c r="E574" s="3">
        <f>2770/(60*60*24)</f>
        <v>3.2060185185185185E-2</v>
      </c>
      <c r="F574" s="5">
        <f>8358/(60*60*24)</f>
        <v>9.6736111111111106E-2</v>
      </c>
      <c r="G574" s="7" t="s">
        <v>9</v>
      </c>
    </row>
    <row r="575" spans="1:7" x14ac:dyDescent="0.45">
      <c r="A575" t="s">
        <v>670</v>
      </c>
      <c r="B575" s="2" t="s">
        <v>100</v>
      </c>
      <c r="C575" s="8" t="s">
        <v>12</v>
      </c>
      <c r="D575" s="4">
        <f>1088/(60*60*24)</f>
        <v>1.2592592592592593E-2</v>
      </c>
      <c r="E575" s="3">
        <f>2317/(60*60*24)</f>
        <v>2.6817129629629628E-2</v>
      </c>
      <c r="F575" s="5">
        <f>7497/(60*60*24)</f>
        <v>8.6770833333333339E-2</v>
      </c>
      <c r="G575" s="7" t="s">
        <v>9</v>
      </c>
    </row>
    <row r="576" spans="1:7" x14ac:dyDescent="0.45">
      <c r="A576" t="s">
        <v>671</v>
      </c>
      <c r="B576" s="2" t="s">
        <v>102</v>
      </c>
      <c r="C576" s="5">
        <f>3654/(60*60*24)</f>
        <v>4.2291666666666665E-2</v>
      </c>
      <c r="D576" s="4">
        <f>1111/(60*60*24)</f>
        <v>1.2858796296296297E-2</v>
      </c>
      <c r="E576" s="3">
        <f>2304/(60*60*24)</f>
        <v>2.6666666666666668E-2</v>
      </c>
      <c r="F576" s="6">
        <f>7347/(60*60*24)</f>
        <v>8.503472222222222E-2</v>
      </c>
      <c r="G576" s="7" t="s">
        <v>9</v>
      </c>
    </row>
    <row r="577" spans="1:7" x14ac:dyDescent="0.45">
      <c r="A577" t="s">
        <v>672</v>
      </c>
      <c r="B577" s="2" t="s">
        <v>104</v>
      </c>
      <c r="C577" s="8" t="s">
        <v>12</v>
      </c>
      <c r="D577" s="4">
        <f>1024/(60*60*24)</f>
        <v>1.1851851851851851E-2</v>
      </c>
      <c r="E577" s="3">
        <f>2112/(60*60*24)</f>
        <v>2.4444444444444446E-2</v>
      </c>
      <c r="F577" s="5">
        <f>6748/(60*60*24)</f>
        <v>7.8101851851851853E-2</v>
      </c>
      <c r="G577" s="7" t="s">
        <v>9</v>
      </c>
    </row>
    <row r="578" spans="1:7" x14ac:dyDescent="0.45">
      <c r="A578" t="s">
        <v>673</v>
      </c>
      <c r="B578" s="2" t="s">
        <v>106</v>
      </c>
      <c r="C578" s="8" t="s">
        <v>12</v>
      </c>
      <c r="D578" s="4">
        <f>1061/(60*60*24)</f>
        <v>1.2280092592592592E-2</v>
      </c>
      <c r="E578" s="3">
        <f>2264/(60*60*24)</f>
        <v>2.6203703703703705E-2</v>
      </c>
      <c r="F578" s="5">
        <f>7925/(60*60*24)</f>
        <v>9.1724537037037035E-2</v>
      </c>
      <c r="G578" s="7" t="s">
        <v>9</v>
      </c>
    </row>
    <row r="579" spans="1:7" x14ac:dyDescent="0.45">
      <c r="A579" t="s">
        <v>674</v>
      </c>
      <c r="B579" s="2" t="s">
        <v>108</v>
      </c>
      <c r="C579" s="8" t="s">
        <v>12</v>
      </c>
      <c r="D579" s="4">
        <f>1195/(60*60*24)</f>
        <v>1.3831018518518519E-2</v>
      </c>
      <c r="E579" s="3">
        <f>2326/(60*60*24)</f>
        <v>2.6921296296296297E-2</v>
      </c>
      <c r="F579" s="5">
        <f>7553/(60*60*24)</f>
        <v>8.7418981481481486E-2</v>
      </c>
      <c r="G579" s="7" t="s">
        <v>9</v>
      </c>
    </row>
    <row r="580" spans="1:7" x14ac:dyDescent="0.45">
      <c r="A580" t="s">
        <v>675</v>
      </c>
      <c r="B580" s="2" t="s">
        <v>110</v>
      </c>
      <c r="C580" s="5">
        <f>2776/(60*60*24)</f>
        <v>3.2129629629629633E-2</v>
      </c>
      <c r="D580" s="4">
        <f>1109/(60*60*24)</f>
        <v>1.2835648148148148E-2</v>
      </c>
      <c r="E580" s="3">
        <f>2272/(60*60*24)</f>
        <v>2.6296296296296297E-2</v>
      </c>
      <c r="F580" s="6">
        <f>7736/(60*60*24)</f>
        <v>8.953703703703704E-2</v>
      </c>
      <c r="G580" s="7" t="s">
        <v>9</v>
      </c>
    </row>
    <row r="581" spans="1:7" x14ac:dyDescent="0.45">
      <c r="A581" t="s">
        <v>676</v>
      </c>
      <c r="B581" s="2" t="s">
        <v>112</v>
      </c>
      <c r="C581" s="5">
        <f>3880/(60*60*24)</f>
        <v>4.490740740740741E-2</v>
      </c>
      <c r="D581" s="4">
        <f>1140/(60*60*24)</f>
        <v>1.3194444444444444E-2</v>
      </c>
      <c r="E581" s="3">
        <f>2354/(60*60*24)</f>
        <v>2.7245370370370371E-2</v>
      </c>
      <c r="F581" s="6">
        <f>8057/(60*60*24)</f>
        <v>9.3252314814814816E-2</v>
      </c>
      <c r="G581" s="7" t="s">
        <v>9</v>
      </c>
    </row>
    <row r="582" spans="1:7" x14ac:dyDescent="0.45">
      <c r="A582" t="s">
        <v>677</v>
      </c>
      <c r="B582" s="2" t="s">
        <v>116</v>
      </c>
      <c r="C582" s="5">
        <f>4241/(60*60*24)</f>
        <v>4.9085648148148149E-2</v>
      </c>
      <c r="D582" s="4">
        <f>1226/(60*60*24)</f>
        <v>1.4189814814814815E-2</v>
      </c>
      <c r="E582" s="3">
        <f>2774/(60*60*24)</f>
        <v>3.2106481481481479E-2</v>
      </c>
      <c r="F582" s="6">
        <f>9259/(60*60*24)</f>
        <v>0.10716435185185186</v>
      </c>
      <c r="G582" s="7" t="s">
        <v>9</v>
      </c>
    </row>
    <row r="583" spans="1:7" x14ac:dyDescent="0.45">
      <c r="A583" t="s">
        <v>678</v>
      </c>
      <c r="B583" s="2" t="s">
        <v>114</v>
      </c>
      <c r="C583" s="8" t="s">
        <v>12</v>
      </c>
      <c r="D583" s="4">
        <f>1250/(60*60*24)</f>
        <v>1.4467592592592593E-2</v>
      </c>
      <c r="E583" s="3">
        <f>2613/(60*60*24)</f>
        <v>3.0243055555555554E-2</v>
      </c>
      <c r="F583" s="5">
        <f>8515/(60*60*24)</f>
        <v>9.8553240740740747E-2</v>
      </c>
      <c r="G583" s="7" t="s">
        <v>9</v>
      </c>
    </row>
    <row r="584" spans="1:7" x14ac:dyDescent="0.45">
      <c r="A584" t="s">
        <v>679</v>
      </c>
      <c r="B584" s="2" t="s">
        <v>118</v>
      </c>
      <c r="C584" s="5">
        <f>4144/(60*60*24)</f>
        <v>4.7962962962962964E-2</v>
      </c>
      <c r="D584" s="4">
        <f>1213/(60*60*24)</f>
        <v>1.4039351851851851E-2</v>
      </c>
      <c r="E584" s="3">
        <f>2966/(60*60*24)</f>
        <v>3.4328703703703702E-2</v>
      </c>
      <c r="F584" s="6">
        <f>10023/(60*60*24)</f>
        <v>0.11600694444444444</v>
      </c>
      <c r="G584" s="7" t="s">
        <v>9</v>
      </c>
    </row>
    <row r="585" spans="1:7" x14ac:dyDescent="0.45">
      <c r="A585" t="s">
        <v>680</v>
      </c>
      <c r="B585" s="2" t="s">
        <v>120</v>
      </c>
      <c r="C585" s="8" t="s">
        <v>12</v>
      </c>
      <c r="D585" s="4">
        <f>1163/(60*60*24)</f>
        <v>1.3460648148148149E-2</v>
      </c>
      <c r="E585" s="3">
        <f>3214/(60*60*24)</f>
        <v>3.7199074074074072E-2</v>
      </c>
      <c r="F585" s="5">
        <f>10940/(60*60*24)</f>
        <v>0.12662037037037038</v>
      </c>
      <c r="G585" s="7" t="s">
        <v>9</v>
      </c>
    </row>
    <row r="586" spans="1:7" x14ac:dyDescent="0.45">
      <c r="A586" t="s">
        <v>681</v>
      </c>
      <c r="B586" s="2" t="s">
        <v>124</v>
      </c>
      <c r="C586" s="8" t="s">
        <v>12</v>
      </c>
      <c r="D586" s="4">
        <f>1336/(60*60*24)</f>
        <v>1.5462962962962963E-2</v>
      </c>
      <c r="E586" s="3">
        <f>3555/(60*60*24)</f>
        <v>4.1145833333333333E-2</v>
      </c>
      <c r="F586" s="5">
        <f>11601/(60*60*24)</f>
        <v>0.13427083333333334</v>
      </c>
      <c r="G586" s="7" t="s">
        <v>9</v>
      </c>
    </row>
    <row r="587" spans="1:7" x14ac:dyDescent="0.45">
      <c r="A587" t="s">
        <v>682</v>
      </c>
      <c r="B587" s="2" t="s">
        <v>122</v>
      </c>
      <c r="C587" s="8" t="s">
        <v>12</v>
      </c>
      <c r="D587" s="4">
        <f>1378/(60*60*24)</f>
        <v>1.5949074074074074E-2</v>
      </c>
      <c r="E587" s="3">
        <f>3685/(60*60*24)</f>
        <v>4.2650462962962966E-2</v>
      </c>
      <c r="F587" s="5">
        <f>12167/(60*60*24)</f>
        <v>0.14082175925925927</v>
      </c>
      <c r="G587" s="7" t="s">
        <v>9</v>
      </c>
    </row>
    <row r="588" spans="1:7" x14ac:dyDescent="0.45">
      <c r="A588" t="s">
        <v>683</v>
      </c>
      <c r="B588" s="2" t="s">
        <v>126</v>
      </c>
      <c r="C588" s="5">
        <f>5454/(60*60*24)</f>
        <v>6.3125000000000001E-2</v>
      </c>
      <c r="D588" s="4">
        <f>1413/(60*60*24)</f>
        <v>1.6354166666666666E-2</v>
      </c>
      <c r="E588" s="3">
        <f>3829/(60*60*24)</f>
        <v>4.431712962962963E-2</v>
      </c>
      <c r="F588" s="6">
        <f>12407/(60*60*24)</f>
        <v>0.14359953703703704</v>
      </c>
      <c r="G588" s="7" t="s">
        <v>9</v>
      </c>
    </row>
    <row r="589" spans="1:7" x14ac:dyDescent="0.45">
      <c r="A589" t="s">
        <v>684</v>
      </c>
      <c r="B589" s="2" t="s">
        <v>128</v>
      </c>
      <c r="C589" s="5">
        <f>5088/(60*60*24)</f>
        <v>5.8888888888888886E-2</v>
      </c>
      <c r="D589" s="4">
        <f>1446/(60*60*24)</f>
        <v>1.6736111111111111E-2</v>
      </c>
      <c r="E589" s="3">
        <f>4116/(60*60*24)</f>
        <v>4.763888888888889E-2</v>
      </c>
      <c r="F589" s="6">
        <f>13084/(60*60*24)</f>
        <v>0.15143518518518517</v>
      </c>
      <c r="G589" s="7" t="s">
        <v>9</v>
      </c>
    </row>
    <row r="590" spans="1:7" x14ac:dyDescent="0.45">
      <c r="A590" t="s">
        <v>685</v>
      </c>
      <c r="B590" s="2" t="s">
        <v>130</v>
      </c>
      <c r="C590" s="5">
        <f>5774/(60*60*24)</f>
        <v>6.682870370370371E-2</v>
      </c>
      <c r="D590" s="4">
        <f>1462/(60*60*24)</f>
        <v>1.6921296296296295E-2</v>
      </c>
      <c r="E590" s="3">
        <f>4395/(60*60*24)</f>
        <v>5.0868055555555555E-2</v>
      </c>
      <c r="F590" s="6">
        <f>13963/(60*60*24)</f>
        <v>0.16160879629629629</v>
      </c>
      <c r="G590" s="7" t="s">
        <v>9</v>
      </c>
    </row>
    <row r="591" spans="1:7" x14ac:dyDescent="0.45">
      <c r="A591" t="s">
        <v>686</v>
      </c>
      <c r="B591" s="2" t="s">
        <v>132</v>
      </c>
      <c r="C591" s="3">
        <f>2568/(60*60*24)</f>
        <v>2.9722222222222223E-2</v>
      </c>
      <c r="D591" s="4">
        <f>1338/(60*60*24)</f>
        <v>1.5486111111111112E-2</v>
      </c>
      <c r="E591" s="5">
        <f>4516/(60*60*24)</f>
        <v>5.226851851851852E-2</v>
      </c>
      <c r="F591" s="6">
        <f>14201/(60*60*24)</f>
        <v>0.16436342592592593</v>
      </c>
      <c r="G591" s="7" t="s">
        <v>9</v>
      </c>
    </row>
    <row r="592" spans="1:7" x14ac:dyDescent="0.45">
      <c r="A592" t="s">
        <v>687</v>
      </c>
      <c r="B592" s="2" t="s">
        <v>136</v>
      </c>
      <c r="C592" s="8" t="s">
        <v>12</v>
      </c>
      <c r="D592" s="4">
        <f>1602/(60*60*24)</f>
        <v>1.8541666666666668E-2</v>
      </c>
      <c r="E592" s="3">
        <f>4792/(60*60*24)</f>
        <v>5.5462962962962964E-2</v>
      </c>
      <c r="F592" s="5">
        <f>14997/(60*60*24)</f>
        <v>0.17357638888888888</v>
      </c>
      <c r="G592" s="7" t="s">
        <v>9</v>
      </c>
    </row>
    <row r="593" spans="1:7" x14ac:dyDescent="0.45">
      <c r="A593" t="s">
        <v>688</v>
      </c>
      <c r="B593" s="2" t="s">
        <v>134</v>
      </c>
      <c r="C593" s="8" t="s">
        <v>12</v>
      </c>
      <c r="D593" s="4">
        <f>1578/(60*60*24)</f>
        <v>1.8263888888888889E-2</v>
      </c>
      <c r="E593" s="3">
        <f>4972/(60*60*24)</f>
        <v>5.7546296296296297E-2</v>
      </c>
      <c r="F593" s="5">
        <f>15683/(60*60*24)</f>
        <v>0.18151620370370369</v>
      </c>
      <c r="G593" s="7" t="s">
        <v>9</v>
      </c>
    </row>
    <row r="594" spans="1:7" x14ac:dyDescent="0.45">
      <c r="A594" t="s">
        <v>689</v>
      </c>
      <c r="B594" s="2" t="s">
        <v>138</v>
      </c>
      <c r="C594" s="8" t="s">
        <v>12</v>
      </c>
      <c r="D594" s="4">
        <f>1750/(60*60*24)</f>
        <v>2.0254629629629629E-2</v>
      </c>
      <c r="E594" s="3">
        <f>5068/(60*60*24)</f>
        <v>5.8657407407407408E-2</v>
      </c>
      <c r="F594" s="5">
        <f>16544/(60*60*24)</f>
        <v>0.19148148148148147</v>
      </c>
      <c r="G594" s="7" t="s">
        <v>9</v>
      </c>
    </row>
    <row r="595" spans="1:7" x14ac:dyDescent="0.45">
      <c r="A595" t="s">
        <v>690</v>
      </c>
      <c r="B595" s="2" t="s">
        <v>140</v>
      </c>
      <c r="C595" s="8" t="s">
        <v>12</v>
      </c>
      <c r="D595" s="4">
        <f>1600/(60*60*24)</f>
        <v>1.8518518518518517E-2</v>
      </c>
      <c r="E595" s="3">
        <f>5218/(60*60*24)</f>
        <v>6.039351851851852E-2</v>
      </c>
      <c r="F595" s="5">
        <f>17072/(60*60*24)</f>
        <v>0.1975925925925926</v>
      </c>
      <c r="G595" s="7" t="s">
        <v>9</v>
      </c>
    </row>
    <row r="596" spans="1:7" x14ac:dyDescent="0.45">
      <c r="A596" t="s">
        <v>691</v>
      </c>
      <c r="B596" s="2" t="s">
        <v>142</v>
      </c>
      <c r="C596" s="8" t="s">
        <v>12</v>
      </c>
      <c r="D596" s="4">
        <f>1678/(60*60*24)</f>
        <v>1.9421296296296298E-2</v>
      </c>
      <c r="E596" s="3">
        <f>5459/(60*60*24)</f>
        <v>6.3182870370370375E-2</v>
      </c>
      <c r="F596" s="5">
        <f>17717/(60*60*24)</f>
        <v>0.20505787037037038</v>
      </c>
      <c r="G596" s="7" t="s">
        <v>9</v>
      </c>
    </row>
    <row r="597" spans="1:7" x14ac:dyDescent="0.45">
      <c r="A597" t="s">
        <v>692</v>
      </c>
      <c r="B597" s="2" t="s">
        <v>144</v>
      </c>
      <c r="C597" s="8" t="s">
        <v>12</v>
      </c>
      <c r="D597" s="4">
        <f>1743/(60*60*24)</f>
        <v>2.0173611111111111E-2</v>
      </c>
      <c r="E597" s="3">
        <f>5569/(60*60*24)</f>
        <v>6.4456018518518524E-2</v>
      </c>
      <c r="F597" s="5">
        <f>18669/(60*60*24)</f>
        <v>0.21607638888888889</v>
      </c>
      <c r="G597" s="7" t="s">
        <v>9</v>
      </c>
    </row>
    <row r="598" spans="1:7" x14ac:dyDescent="0.45">
      <c r="A598" t="s">
        <v>693</v>
      </c>
      <c r="B598" s="2" t="s">
        <v>146</v>
      </c>
      <c r="C598" s="8" t="s">
        <v>12</v>
      </c>
      <c r="D598" s="4">
        <f>1640/(60*60*24)</f>
        <v>1.8981481481481481E-2</v>
      </c>
      <c r="E598" s="3">
        <f>5929/(60*60*24)</f>
        <v>6.8622685185185189E-2</v>
      </c>
      <c r="F598" s="5">
        <f>19525/(60*60*24)</f>
        <v>0.22598379629629631</v>
      </c>
      <c r="G598" s="7" t="s">
        <v>9</v>
      </c>
    </row>
    <row r="599" spans="1:7" x14ac:dyDescent="0.45">
      <c r="A599" t="s">
        <v>694</v>
      </c>
      <c r="B599" s="2" t="s">
        <v>148</v>
      </c>
      <c r="C599" s="8" t="s">
        <v>12</v>
      </c>
      <c r="D599" s="4">
        <f>1483/(60*60*24)</f>
        <v>1.7164351851851851E-2</v>
      </c>
      <c r="E599" s="3">
        <f>5760/(60*60*24)</f>
        <v>6.6666666666666666E-2</v>
      </c>
      <c r="F599" s="5">
        <f>20065/(60*60*24)</f>
        <v>0.23223379629629629</v>
      </c>
      <c r="G599" s="7" t="s">
        <v>9</v>
      </c>
    </row>
    <row r="600" spans="1:7" x14ac:dyDescent="0.45">
      <c r="A600" t="s">
        <v>695</v>
      </c>
      <c r="B600" s="2" t="s">
        <v>150</v>
      </c>
      <c r="C600" s="3">
        <f>6222/(60*60*24)</f>
        <v>7.2013888888888891E-2</v>
      </c>
      <c r="D600" s="4">
        <f>1373/(60*60*24)</f>
        <v>1.5891203703703703E-2</v>
      </c>
      <c r="E600" s="5">
        <f>6465/(60*60*24)</f>
        <v>7.4826388888888887E-2</v>
      </c>
      <c r="F600" s="6">
        <f>20652/(60*60*24)</f>
        <v>0.23902777777777778</v>
      </c>
      <c r="G600" s="7" t="s">
        <v>9</v>
      </c>
    </row>
    <row r="601" spans="1:7" x14ac:dyDescent="0.45">
      <c r="A601" t="s">
        <v>696</v>
      </c>
      <c r="B601" s="2" t="s">
        <v>152</v>
      </c>
      <c r="C601" s="3">
        <f>6164/(60*60*24)</f>
        <v>7.1342592592592596E-2</v>
      </c>
      <c r="D601" s="4">
        <f>1402/(60*60*24)</f>
        <v>1.6226851851851853E-2</v>
      </c>
      <c r="E601" s="5">
        <f>6433/(60*60*24)</f>
        <v>7.4456018518518519E-2</v>
      </c>
      <c r="F601" s="6">
        <f>21524/(60*60*24)</f>
        <v>0.24912037037037038</v>
      </c>
      <c r="G601" s="7" t="s">
        <v>9</v>
      </c>
    </row>
    <row r="602" spans="1:7" x14ac:dyDescent="0.45">
      <c r="A602" t="s">
        <v>697</v>
      </c>
      <c r="B602" s="2" t="s">
        <v>154</v>
      </c>
      <c r="C602" s="8" t="s">
        <v>12</v>
      </c>
      <c r="D602" s="4">
        <f>1558/(60*60*24)</f>
        <v>1.8032407407407407E-2</v>
      </c>
      <c r="E602" s="3">
        <f>6677/(60*60*24)</f>
        <v>7.7280092592592595E-2</v>
      </c>
      <c r="F602" s="5">
        <f>21836/(60*60*24)</f>
        <v>0.2527314814814815</v>
      </c>
      <c r="G602" s="7" t="s">
        <v>9</v>
      </c>
    </row>
    <row r="603" spans="1:7" x14ac:dyDescent="0.45">
      <c r="A603" t="s">
        <v>698</v>
      </c>
      <c r="B603" s="2" t="s">
        <v>156</v>
      </c>
      <c r="C603" s="8" t="s">
        <v>12</v>
      </c>
      <c r="D603" s="4">
        <f>1714/(60*60*24)</f>
        <v>1.9837962962962963E-2</v>
      </c>
      <c r="E603" s="3">
        <f>6412/(60*60*24)</f>
        <v>7.4212962962962967E-2</v>
      </c>
      <c r="F603" s="5">
        <f>22574/(60*60*24)</f>
        <v>0.26127314814814817</v>
      </c>
      <c r="G603" s="7" t="s">
        <v>9</v>
      </c>
    </row>
    <row r="604" spans="1:7" x14ac:dyDescent="0.45">
      <c r="A604" t="s">
        <v>699</v>
      </c>
      <c r="B604" s="2" t="s">
        <v>160</v>
      </c>
      <c r="C604" s="8" t="s">
        <v>12</v>
      </c>
      <c r="D604" s="4">
        <f>1927/(60*60*24)</f>
        <v>2.2303240740740742E-2</v>
      </c>
      <c r="E604" s="3">
        <f>6947/(60*60*24)</f>
        <v>8.0405092592592597E-2</v>
      </c>
      <c r="F604" s="5">
        <f>23765/(60*60*24)</f>
        <v>0.27505787037037038</v>
      </c>
      <c r="G604" s="7" t="s">
        <v>9</v>
      </c>
    </row>
    <row r="605" spans="1:7" x14ac:dyDescent="0.45">
      <c r="A605" t="s">
        <v>700</v>
      </c>
      <c r="B605" s="2" t="s">
        <v>158</v>
      </c>
      <c r="C605" s="8" t="s">
        <v>12</v>
      </c>
      <c r="D605" s="4">
        <f>1880/(60*60*24)</f>
        <v>2.1759259259259259E-2</v>
      </c>
      <c r="E605" s="3">
        <f>6865/(60*60*24)</f>
        <v>7.9456018518518523E-2</v>
      </c>
      <c r="F605" s="5">
        <f>23989/(60*60*24)</f>
        <v>0.27765046296296297</v>
      </c>
      <c r="G605" s="7" t="s">
        <v>9</v>
      </c>
    </row>
    <row r="606" spans="1:7" x14ac:dyDescent="0.45">
      <c r="A606" t="s">
        <v>701</v>
      </c>
      <c r="B606" s="2" t="s">
        <v>162</v>
      </c>
      <c r="C606" s="8" t="s">
        <v>12</v>
      </c>
      <c r="D606" s="4">
        <f>1861/(60*60*24)</f>
        <v>2.1539351851851851E-2</v>
      </c>
      <c r="E606" s="3">
        <f>7433/(60*60*24)</f>
        <v>8.6030092592592589E-2</v>
      </c>
      <c r="F606" s="5">
        <f>24904/(60*60*24)</f>
        <v>0.28824074074074074</v>
      </c>
      <c r="G606" s="7" t="s">
        <v>9</v>
      </c>
    </row>
    <row r="607" spans="1:7" x14ac:dyDescent="0.45">
      <c r="A607" t="s">
        <v>702</v>
      </c>
      <c r="B607" s="2" t="s">
        <v>164</v>
      </c>
      <c r="C607" s="8" t="s">
        <v>12</v>
      </c>
      <c r="D607" s="4">
        <f>2021/(60*60*24)</f>
        <v>2.3391203703703702E-2</v>
      </c>
      <c r="E607" s="3">
        <f>7508/(60*60*24)</f>
        <v>8.6898148148148155E-2</v>
      </c>
      <c r="F607" s="5">
        <f>26220/(60*60*24)</f>
        <v>0.3034722222222222</v>
      </c>
      <c r="G607" s="7" t="s">
        <v>9</v>
      </c>
    </row>
    <row r="608" spans="1:7" x14ac:dyDescent="0.45">
      <c r="A608" t="s">
        <v>703</v>
      </c>
      <c r="B608" s="2" t="s">
        <v>168</v>
      </c>
      <c r="C608" s="5">
        <f>10227/(60*60*24)</f>
        <v>0.11836805555555556</v>
      </c>
      <c r="D608" s="4">
        <f>1957/(60*60*24)</f>
        <v>2.2650462962962963E-2</v>
      </c>
      <c r="E608" s="3">
        <f>7512/(60*60*24)</f>
        <v>8.6944444444444449E-2</v>
      </c>
      <c r="F608" s="6">
        <f>26167/(60*60*24)</f>
        <v>0.30285879629629631</v>
      </c>
      <c r="G608" s="7" t="s">
        <v>9</v>
      </c>
    </row>
    <row r="609" spans="1:7" x14ac:dyDescent="0.45">
      <c r="A609" t="s">
        <v>704</v>
      </c>
      <c r="B609" s="2" t="s">
        <v>166</v>
      </c>
      <c r="C609" s="3">
        <f>4695/(60*60*24)</f>
        <v>5.4340277777777779E-2</v>
      </c>
      <c r="D609" s="4">
        <f>1828/(60*60*24)</f>
        <v>2.1157407407407406E-2</v>
      </c>
      <c r="E609" s="5">
        <f>7640/(60*60*24)</f>
        <v>8.8425925925925922E-2</v>
      </c>
      <c r="F609" s="6">
        <f>26626/(60*60*24)</f>
        <v>0.3081712962962963</v>
      </c>
      <c r="G609" s="7" t="s">
        <v>9</v>
      </c>
    </row>
    <row r="610" spans="1:7" x14ac:dyDescent="0.45">
      <c r="A610" t="s">
        <v>705</v>
      </c>
      <c r="B610" s="2" t="s">
        <v>170</v>
      </c>
      <c r="C610" s="3">
        <f>7625/(60*60*24)</f>
        <v>8.8252314814814811E-2</v>
      </c>
      <c r="D610" s="4">
        <f>1958/(60*60*24)</f>
        <v>2.2662037037037036E-2</v>
      </c>
      <c r="E610" s="5">
        <f>7965/(60*60*24)</f>
        <v>9.2187500000000006E-2</v>
      </c>
      <c r="F610" s="6">
        <f>27313/(60*60*24)</f>
        <v>0.31612268518518516</v>
      </c>
      <c r="G610" s="7" t="s">
        <v>9</v>
      </c>
    </row>
    <row r="611" spans="1:7" x14ac:dyDescent="0.45">
      <c r="A611" t="s">
        <v>706</v>
      </c>
      <c r="B611" s="2" t="s">
        <v>172</v>
      </c>
      <c r="C611" s="8" t="s">
        <v>12</v>
      </c>
      <c r="D611" s="4">
        <f>1936/(60*60*24)</f>
        <v>2.2407407407407407E-2</v>
      </c>
      <c r="E611" s="3">
        <f>8153/(60*60*24)</f>
        <v>9.436342592592592E-2</v>
      </c>
      <c r="F611" s="5">
        <f>28647/(60*60*24)</f>
        <v>0.33156249999999998</v>
      </c>
      <c r="G611" s="7" t="s">
        <v>9</v>
      </c>
    </row>
    <row r="612" spans="1:7" x14ac:dyDescent="0.45">
      <c r="A612" t="s">
        <v>707</v>
      </c>
      <c r="B612" s="2" t="s">
        <v>176</v>
      </c>
      <c r="C612" s="8" t="s">
        <v>12</v>
      </c>
      <c r="D612" s="4">
        <f>1851/(60*60*24)</f>
        <v>2.1423611111111112E-2</v>
      </c>
      <c r="E612" s="3">
        <f>8595/(60*60*24)</f>
        <v>9.947916666666666E-2</v>
      </c>
      <c r="F612" s="5">
        <f>29367/(60*60*24)</f>
        <v>0.33989583333333334</v>
      </c>
      <c r="G612" s="7" t="s">
        <v>9</v>
      </c>
    </row>
    <row r="613" spans="1:7" x14ac:dyDescent="0.45">
      <c r="A613" t="s">
        <v>708</v>
      </c>
      <c r="B613" s="2" t="s">
        <v>174</v>
      </c>
      <c r="C613" s="8" t="s">
        <v>12</v>
      </c>
      <c r="D613" s="4">
        <f>1857/(60*60*24)</f>
        <v>2.1493055555555557E-2</v>
      </c>
      <c r="E613" s="3">
        <f>8726/(60*60*24)</f>
        <v>0.10099537037037037</v>
      </c>
      <c r="F613" s="5">
        <f>29852/(60*60*24)</f>
        <v>0.34550925925925924</v>
      </c>
      <c r="G613" s="7" t="s">
        <v>9</v>
      </c>
    </row>
    <row r="614" spans="1:7" x14ac:dyDescent="0.45">
      <c r="A614" t="s">
        <v>709</v>
      </c>
      <c r="B614" s="2" t="s">
        <v>180</v>
      </c>
      <c r="C614" s="8" t="s">
        <v>12</v>
      </c>
      <c r="D614" s="4">
        <f>1929/(60*60*24)</f>
        <v>2.2326388888888889E-2</v>
      </c>
      <c r="E614" s="3">
        <f>8967/(60*60*24)</f>
        <v>0.10378472222222222</v>
      </c>
      <c r="F614" s="5">
        <f>30664/(60*60*24)</f>
        <v>0.35490740740740739</v>
      </c>
      <c r="G614" s="7" t="s">
        <v>9</v>
      </c>
    </row>
    <row r="615" spans="1:7" x14ac:dyDescent="0.45">
      <c r="A615" t="s">
        <v>710</v>
      </c>
      <c r="B615" s="2" t="s">
        <v>178</v>
      </c>
      <c r="C615" s="8" t="s">
        <v>12</v>
      </c>
      <c r="D615" s="4">
        <f>2029/(60*60*24)</f>
        <v>2.3483796296296298E-2</v>
      </c>
      <c r="E615" s="3">
        <f>9028/(60*60*24)</f>
        <v>0.10449074074074075</v>
      </c>
      <c r="F615" s="5">
        <f>31147/(60*60*24)</f>
        <v>0.36049768518518521</v>
      </c>
      <c r="G615" s="7" t="s">
        <v>9</v>
      </c>
    </row>
    <row r="616" spans="1:7" x14ac:dyDescent="0.45">
      <c r="A616" t="s">
        <v>711</v>
      </c>
      <c r="B616" s="2" t="s">
        <v>182</v>
      </c>
      <c r="C616" s="8" t="s">
        <v>12</v>
      </c>
      <c r="D616" s="4">
        <f>2182/(60*60*24)</f>
        <v>2.525462962962963E-2</v>
      </c>
      <c r="E616" s="3">
        <f>9084/(60*60*24)</f>
        <v>0.10513888888888889</v>
      </c>
      <c r="F616" s="5">
        <f>31809/(60*60*24)</f>
        <v>0.36815972222222221</v>
      </c>
      <c r="G616" s="7" t="s">
        <v>9</v>
      </c>
    </row>
    <row r="617" spans="1:7" x14ac:dyDescent="0.45">
      <c r="A617" t="s">
        <v>712</v>
      </c>
      <c r="B617" s="2" t="s">
        <v>184</v>
      </c>
      <c r="C617" s="8" t="s">
        <v>12</v>
      </c>
      <c r="D617" s="4">
        <f>2293/(60*60*24)</f>
        <v>2.6539351851851852E-2</v>
      </c>
      <c r="E617" s="3">
        <f>9308/(60*60*24)</f>
        <v>0.10773148148148148</v>
      </c>
      <c r="F617" s="5">
        <f>33009/(60*60*24)</f>
        <v>0.3820486111111111</v>
      </c>
      <c r="G617" s="7" t="s">
        <v>9</v>
      </c>
    </row>
    <row r="618" spans="1:7" x14ac:dyDescent="0.45">
      <c r="A618" t="s">
        <v>713</v>
      </c>
      <c r="B618" s="2" t="s">
        <v>8</v>
      </c>
      <c r="C618" s="3">
        <f>6969/(60*60*24)</f>
        <v>8.0659722222222216E-2</v>
      </c>
      <c r="D618" s="4">
        <f>2119/(60*60*24)</f>
        <v>2.4525462962962964E-2</v>
      </c>
      <c r="E618" s="5">
        <f>10101/(60*60*24)</f>
        <v>0.11690972222222222</v>
      </c>
      <c r="F618" s="6">
        <f>34099/(60*60*24)</f>
        <v>0.39466435185185184</v>
      </c>
      <c r="G618" s="7" t="s">
        <v>9</v>
      </c>
    </row>
    <row r="619" spans="1:7" x14ac:dyDescent="0.45">
      <c r="A619" t="s">
        <v>714</v>
      </c>
      <c r="B619" s="2" t="s">
        <v>11</v>
      </c>
      <c r="C619" s="8" t="s">
        <v>12</v>
      </c>
      <c r="D619" s="4">
        <f>2031/(60*60*24)</f>
        <v>2.3506944444444445E-2</v>
      </c>
      <c r="E619" s="3">
        <f>9904/(60*60*24)</f>
        <v>0.11462962962962962</v>
      </c>
      <c r="F619" s="5">
        <f>33478/(60*60*24)</f>
        <v>0.38747685185185188</v>
      </c>
      <c r="G619" s="7" t="s">
        <v>9</v>
      </c>
    </row>
    <row r="620" spans="1:7" x14ac:dyDescent="0.45">
      <c r="A620" t="s">
        <v>715</v>
      </c>
      <c r="B620" s="2" t="s">
        <v>16</v>
      </c>
      <c r="C620" s="3">
        <f>7634/(60*60*24)</f>
        <v>8.835648148148148E-2</v>
      </c>
      <c r="D620" s="4">
        <f>2143/(60*60*24)</f>
        <v>2.480324074074074E-2</v>
      </c>
      <c r="E620" s="5">
        <f>10178/(60*60*24)</f>
        <v>0.11780092592592592</v>
      </c>
      <c r="F620" s="6">
        <f>33952/(60*60*24)</f>
        <v>0.39296296296296296</v>
      </c>
      <c r="G620" s="7" t="s">
        <v>9</v>
      </c>
    </row>
    <row r="621" spans="1:7" x14ac:dyDescent="0.45">
      <c r="A621" t="s">
        <v>716</v>
      </c>
      <c r="B621" s="2" t="s">
        <v>14</v>
      </c>
      <c r="C621" s="8" t="s">
        <v>12</v>
      </c>
      <c r="D621" s="4">
        <f>2082/(60*60*24)</f>
        <v>2.4097222222222221E-2</v>
      </c>
      <c r="E621" s="3">
        <f>9940/(60*60*24)</f>
        <v>0.1150462962962963</v>
      </c>
      <c r="F621" s="5">
        <f>33400/(60*60*24)</f>
        <v>0.38657407407407407</v>
      </c>
      <c r="G621" s="7" t="s">
        <v>9</v>
      </c>
    </row>
    <row r="622" spans="1:7" x14ac:dyDescent="0.45">
      <c r="A622" t="s">
        <v>717</v>
      </c>
      <c r="B622" s="2" t="s">
        <v>18</v>
      </c>
      <c r="C622" s="3">
        <f>7556/(60*60*24)</f>
        <v>8.74537037037037E-2</v>
      </c>
      <c r="D622" s="4">
        <f>2037/(60*60*24)</f>
        <v>2.357638888888889E-2</v>
      </c>
      <c r="E622" s="5">
        <f>9665/(60*60*24)</f>
        <v>0.11186342592592592</v>
      </c>
      <c r="F622" s="6">
        <f>32003/(60*60*24)</f>
        <v>0.37040509259259258</v>
      </c>
      <c r="G622" s="7" t="s">
        <v>9</v>
      </c>
    </row>
    <row r="623" spans="1:7" x14ac:dyDescent="0.45">
      <c r="A623" t="s">
        <v>718</v>
      </c>
      <c r="B623" s="2" t="s">
        <v>20</v>
      </c>
      <c r="C623" s="8" t="s">
        <v>12</v>
      </c>
      <c r="D623" s="4">
        <f>1966/(60*60*24)</f>
        <v>2.2754629629629628E-2</v>
      </c>
      <c r="E623" s="3">
        <f>9440/(60*60*24)</f>
        <v>0.10925925925925926</v>
      </c>
      <c r="F623" s="5">
        <f>31328/(60*60*24)</f>
        <v>0.36259259259259258</v>
      </c>
      <c r="G623" s="7" t="s">
        <v>9</v>
      </c>
    </row>
    <row r="624" spans="1:7" x14ac:dyDescent="0.45">
      <c r="A624" t="s">
        <v>719</v>
      </c>
      <c r="B624" s="2" t="s">
        <v>22</v>
      </c>
      <c r="C624" s="8" t="s">
        <v>12</v>
      </c>
      <c r="D624" s="4">
        <f>1819/(60*60*24)</f>
        <v>2.105324074074074E-2</v>
      </c>
      <c r="E624" s="3">
        <f>9126/(60*60*24)</f>
        <v>0.105625</v>
      </c>
      <c r="F624" s="5">
        <f>30449/(60*60*24)</f>
        <v>0.35241898148148149</v>
      </c>
      <c r="G624" s="7" t="s">
        <v>9</v>
      </c>
    </row>
    <row r="625" spans="1:7" x14ac:dyDescent="0.45">
      <c r="A625" t="s">
        <v>720</v>
      </c>
      <c r="B625" s="2" t="s">
        <v>24</v>
      </c>
      <c r="C625" s="8" t="s">
        <v>12</v>
      </c>
      <c r="D625" s="4">
        <f>1674/(60*60*24)</f>
        <v>1.9375E-2</v>
      </c>
      <c r="E625" s="3">
        <f>8740/(60*60*24)</f>
        <v>0.1011574074074074</v>
      </c>
      <c r="F625" s="5">
        <f>29526/(60*60*24)</f>
        <v>0.34173611111111113</v>
      </c>
      <c r="G625" s="7" t="s">
        <v>9</v>
      </c>
    </row>
    <row r="626" spans="1:7" x14ac:dyDescent="0.45">
      <c r="A626" t="s">
        <v>721</v>
      </c>
      <c r="B626" s="2" t="s">
        <v>26</v>
      </c>
      <c r="C626" s="3">
        <f>5698/(60*60*24)</f>
        <v>6.5949074074074077E-2</v>
      </c>
      <c r="D626" s="4">
        <f>1611/(60*60*24)</f>
        <v>1.8645833333333334E-2</v>
      </c>
      <c r="E626" s="5">
        <f>8584/(60*60*24)</f>
        <v>9.9351851851851858E-2</v>
      </c>
      <c r="F626" s="6">
        <f>28869/(60*60*24)</f>
        <v>0.33413194444444444</v>
      </c>
      <c r="G626" s="7" t="s">
        <v>9</v>
      </c>
    </row>
    <row r="627" spans="1:7" x14ac:dyDescent="0.45">
      <c r="A627" t="s">
        <v>722</v>
      </c>
      <c r="B627" s="2" t="s">
        <v>28</v>
      </c>
      <c r="C627" s="3">
        <f>5067/(60*60*24)</f>
        <v>5.8645833333333335E-2</v>
      </c>
      <c r="D627" s="4">
        <f>1509/(60*60*24)</f>
        <v>1.7465277777777777E-2</v>
      </c>
      <c r="E627" s="5">
        <f>9083/(60*60*24)</f>
        <v>0.10512731481481481</v>
      </c>
      <c r="F627" s="6">
        <f>29970/(60*60*24)</f>
        <v>0.34687499999999999</v>
      </c>
      <c r="G627" s="7" t="s">
        <v>9</v>
      </c>
    </row>
    <row r="628" spans="1:7" x14ac:dyDescent="0.45">
      <c r="A628" t="s">
        <v>723</v>
      </c>
      <c r="B628" s="2" t="s">
        <v>32</v>
      </c>
      <c r="C628" s="3">
        <f>7413/(60*60*24)</f>
        <v>8.5798611111111117E-2</v>
      </c>
      <c r="D628" s="4">
        <f>1714/(60*60*24)</f>
        <v>1.9837962962962963E-2</v>
      </c>
      <c r="E628" s="5">
        <f>7745/(60*60*24)</f>
        <v>8.9641203703703709E-2</v>
      </c>
      <c r="F628" s="6">
        <f>25642/(60*60*24)</f>
        <v>0.29678240740740741</v>
      </c>
      <c r="G628" s="7" t="s">
        <v>9</v>
      </c>
    </row>
    <row r="629" spans="1:7" x14ac:dyDescent="0.45">
      <c r="A629" t="s">
        <v>724</v>
      </c>
      <c r="B629" s="2" t="s">
        <v>30</v>
      </c>
      <c r="C629" s="8" t="s">
        <v>12</v>
      </c>
      <c r="D629" s="4">
        <f>1375/(60*60*24)</f>
        <v>1.5914351851851853E-2</v>
      </c>
      <c r="E629" s="3">
        <f>8624/(60*60*24)</f>
        <v>9.9814814814814815E-2</v>
      </c>
      <c r="F629" s="5">
        <f>28091/(60*60*24)</f>
        <v>0.32512731481481483</v>
      </c>
      <c r="G629" s="7" t="s">
        <v>9</v>
      </c>
    </row>
    <row r="630" spans="1:7" x14ac:dyDescent="0.45">
      <c r="A630" t="s">
        <v>725</v>
      </c>
      <c r="B630" s="2" t="s">
        <v>36</v>
      </c>
      <c r="C630" s="8" t="s">
        <v>12</v>
      </c>
      <c r="D630" s="4">
        <f>2126/(60*60*24)</f>
        <v>2.4606481481481483E-2</v>
      </c>
      <c r="E630" s="3">
        <f>7631/(60*60*24)</f>
        <v>8.8321759259259253E-2</v>
      </c>
      <c r="F630" s="5">
        <f>25634/(60*60*24)</f>
        <v>0.29668981481481482</v>
      </c>
      <c r="G630" s="7" t="s">
        <v>9</v>
      </c>
    </row>
    <row r="631" spans="1:7" x14ac:dyDescent="0.45">
      <c r="A631" t="s">
        <v>726</v>
      </c>
      <c r="B631" s="2" t="s">
        <v>34</v>
      </c>
      <c r="C631" s="8" t="s">
        <v>12</v>
      </c>
      <c r="D631" s="4">
        <f>1660/(60*60*24)</f>
        <v>1.9212962962962963E-2</v>
      </c>
      <c r="E631" s="3">
        <f>7481/(60*60*24)</f>
        <v>8.6585648148148148E-2</v>
      </c>
      <c r="F631" s="5">
        <f>24577/(60*60*24)</f>
        <v>0.28445601851851854</v>
      </c>
      <c r="G631" s="7" t="s">
        <v>9</v>
      </c>
    </row>
    <row r="632" spans="1:7" x14ac:dyDescent="0.45">
      <c r="A632" t="s">
        <v>727</v>
      </c>
      <c r="B632" s="2" t="s">
        <v>38</v>
      </c>
      <c r="C632" s="8" t="s">
        <v>12</v>
      </c>
      <c r="D632" s="4">
        <f>1866/(60*60*24)</f>
        <v>2.1597222222222223E-2</v>
      </c>
      <c r="E632" s="3">
        <f>7235/(60*60*24)</f>
        <v>8.3738425925925924E-2</v>
      </c>
      <c r="F632" s="5">
        <f>24316/(60*60*24)</f>
        <v>0.28143518518518518</v>
      </c>
      <c r="G632" s="7" t="s">
        <v>9</v>
      </c>
    </row>
    <row r="633" spans="1:7" x14ac:dyDescent="0.45">
      <c r="A633" t="s">
        <v>728</v>
      </c>
      <c r="B633" s="2" t="s">
        <v>40</v>
      </c>
      <c r="C633" s="8" t="s">
        <v>12</v>
      </c>
      <c r="D633" s="4">
        <f>1535/(60*60*24)</f>
        <v>1.7766203703703704E-2</v>
      </c>
      <c r="E633" s="3">
        <f>7281/(60*60*24)</f>
        <v>8.4270833333333336E-2</v>
      </c>
      <c r="F633" s="5">
        <f>25121/(60*60*24)</f>
        <v>0.29075231481481484</v>
      </c>
      <c r="G633" s="7" t="s">
        <v>9</v>
      </c>
    </row>
    <row r="634" spans="1:7" x14ac:dyDescent="0.45">
      <c r="A634" t="s">
        <v>729</v>
      </c>
      <c r="B634" s="2" t="s">
        <v>44</v>
      </c>
      <c r="C634" s="8" t="s">
        <v>12</v>
      </c>
      <c r="D634" s="4">
        <f>1508/(60*60*24)</f>
        <v>1.7453703703703704E-2</v>
      </c>
      <c r="E634" s="3">
        <f>7418/(60*60*24)</f>
        <v>8.5856481481481478E-2</v>
      </c>
      <c r="F634" s="5">
        <f>25315/(60*60*24)</f>
        <v>0.29299768518518521</v>
      </c>
      <c r="G634" s="7" t="s">
        <v>9</v>
      </c>
    </row>
    <row r="635" spans="1:7" x14ac:dyDescent="0.45">
      <c r="A635" t="s">
        <v>730</v>
      </c>
      <c r="B635" s="2" t="s">
        <v>42</v>
      </c>
      <c r="C635" s="8" t="s">
        <v>12</v>
      </c>
      <c r="D635" s="4">
        <f>1590/(60*60*24)</f>
        <v>1.8402777777777778E-2</v>
      </c>
      <c r="E635" s="3">
        <f>6588/(60*60*24)</f>
        <v>7.6249999999999998E-2</v>
      </c>
      <c r="F635" s="5">
        <f>22334/(60*60*24)</f>
        <v>0.25849537037037035</v>
      </c>
      <c r="G635" s="7" t="s">
        <v>9</v>
      </c>
    </row>
    <row r="636" spans="1:7" x14ac:dyDescent="0.45">
      <c r="A636" t="s">
        <v>731</v>
      </c>
      <c r="B636" s="2" t="s">
        <v>48</v>
      </c>
      <c r="C636" s="3">
        <f>5559/(60*60*24)</f>
        <v>6.4340277777777774E-2</v>
      </c>
      <c r="D636" s="4">
        <f>1701/(60*60*24)</f>
        <v>1.96875E-2</v>
      </c>
      <c r="E636" s="5">
        <f>5990/(60*60*24)</f>
        <v>6.9328703703703698E-2</v>
      </c>
      <c r="F636" s="6">
        <f>20313/(60*60*24)</f>
        <v>0.23510416666666667</v>
      </c>
      <c r="G636" s="7" t="s">
        <v>9</v>
      </c>
    </row>
    <row r="637" spans="1:7" x14ac:dyDescent="0.45">
      <c r="A637" t="s">
        <v>732</v>
      </c>
      <c r="B637" s="2" t="s">
        <v>46</v>
      </c>
      <c r="C637" s="8" t="s">
        <v>12</v>
      </c>
      <c r="D637" s="4">
        <f>1663/(60*60*24)</f>
        <v>1.9247685185185184E-2</v>
      </c>
      <c r="E637" s="3">
        <f>6203/(60*60*24)</f>
        <v>7.1793981481481486E-2</v>
      </c>
      <c r="F637" s="5">
        <f>20864/(60*60*24)</f>
        <v>0.24148148148148149</v>
      </c>
      <c r="G637" s="7" t="s">
        <v>9</v>
      </c>
    </row>
    <row r="638" spans="1:7" x14ac:dyDescent="0.45">
      <c r="A638" t="s">
        <v>733</v>
      </c>
      <c r="B638" s="2" t="s">
        <v>50</v>
      </c>
      <c r="C638" s="3">
        <f>4896/(60*60*24)</f>
        <v>5.6666666666666664E-2</v>
      </c>
      <c r="D638" s="4">
        <f>1365/(60*60*24)</f>
        <v>1.579861111111111E-2</v>
      </c>
      <c r="E638" s="5">
        <f>5879/(60*60*24)</f>
        <v>6.8043981481481483E-2</v>
      </c>
      <c r="F638" s="6">
        <f>19830/(60*60*24)</f>
        <v>0.22951388888888888</v>
      </c>
      <c r="G638" s="7" t="s">
        <v>9</v>
      </c>
    </row>
    <row r="639" spans="1:7" x14ac:dyDescent="0.45">
      <c r="A639" t="s">
        <v>734</v>
      </c>
      <c r="B639" s="2" t="s">
        <v>52</v>
      </c>
      <c r="C639" s="3">
        <f>4969/(60*60*24)</f>
        <v>5.7511574074074076E-2</v>
      </c>
      <c r="D639" s="4">
        <f>1296/(60*60*24)</f>
        <v>1.4999999999999999E-2</v>
      </c>
      <c r="E639" s="5">
        <f>5863/(60*60*24)</f>
        <v>6.7858796296296292E-2</v>
      </c>
      <c r="F639" s="6">
        <f>19447/(60*60*24)</f>
        <v>0.22508101851851853</v>
      </c>
      <c r="G639" s="7" t="s">
        <v>9</v>
      </c>
    </row>
    <row r="640" spans="1:7" x14ac:dyDescent="0.45">
      <c r="A640" t="s">
        <v>735</v>
      </c>
      <c r="B640" s="2" t="s">
        <v>54</v>
      </c>
      <c r="C640" s="5">
        <f>5732/(60*60*24)</f>
        <v>6.6342592592592592E-2</v>
      </c>
      <c r="D640" s="4">
        <f>1438/(60*60*24)</f>
        <v>1.6643518518518519E-2</v>
      </c>
      <c r="E640" s="3">
        <f>5438/(60*60*24)</f>
        <v>6.293981481481481E-2</v>
      </c>
      <c r="F640" s="6">
        <f>18684/(60*60*24)</f>
        <v>0.21625</v>
      </c>
      <c r="G640" s="7" t="s">
        <v>9</v>
      </c>
    </row>
    <row r="641" spans="1:7" x14ac:dyDescent="0.45">
      <c r="A641" t="s">
        <v>736</v>
      </c>
      <c r="B641" s="2" t="s">
        <v>56</v>
      </c>
      <c r="C641" s="8" t="s">
        <v>12</v>
      </c>
      <c r="D641" s="4">
        <f>1660/(60*60*24)</f>
        <v>1.9212962962962963E-2</v>
      </c>
      <c r="E641" s="3">
        <f>5373/(60*60*24)</f>
        <v>6.21875E-2</v>
      </c>
      <c r="F641" s="5">
        <f>18290/(60*60*24)</f>
        <v>0.2116898148148148</v>
      </c>
      <c r="G641" s="7" t="s">
        <v>9</v>
      </c>
    </row>
    <row r="642" spans="1:7" x14ac:dyDescent="0.45">
      <c r="A642" t="s">
        <v>737</v>
      </c>
      <c r="B642" s="2" t="s">
        <v>58</v>
      </c>
      <c r="C642" s="8" t="s">
        <v>12</v>
      </c>
      <c r="D642" s="4">
        <f>1605/(60*60*24)</f>
        <v>1.8576388888888889E-2</v>
      </c>
      <c r="E642" s="3">
        <f>5323/(60*60*24)</f>
        <v>6.1608796296296293E-2</v>
      </c>
      <c r="F642" s="5">
        <f>18220/(60*60*24)</f>
        <v>0.21087962962962964</v>
      </c>
      <c r="G642" s="7" t="s">
        <v>9</v>
      </c>
    </row>
    <row r="643" spans="1:7" x14ac:dyDescent="0.45">
      <c r="A643" t="s">
        <v>738</v>
      </c>
      <c r="B643" s="2" t="s">
        <v>60</v>
      </c>
      <c r="C643" s="8" t="s">
        <v>12</v>
      </c>
      <c r="D643" s="4">
        <f>1903/(60*60*24)</f>
        <v>2.2025462962962962E-2</v>
      </c>
      <c r="E643" s="3">
        <f>4932/(60*60*24)</f>
        <v>5.7083333333333333E-2</v>
      </c>
      <c r="F643" s="5">
        <f>17288/(60*60*24)</f>
        <v>0.2000925925925926</v>
      </c>
      <c r="G643" s="7" t="s">
        <v>9</v>
      </c>
    </row>
    <row r="644" spans="1:7" x14ac:dyDescent="0.45">
      <c r="A644" t="s">
        <v>739</v>
      </c>
      <c r="B644" s="2" t="s">
        <v>62</v>
      </c>
      <c r="C644" s="8" t="s">
        <v>12</v>
      </c>
      <c r="D644" s="4">
        <f>1277/(60*60*24)</f>
        <v>1.4780092592592593E-2</v>
      </c>
      <c r="E644" s="3">
        <f>4971/(60*60*24)</f>
        <v>5.7534722222222223E-2</v>
      </c>
      <c r="F644" s="5">
        <f>16848/(60*60*24)</f>
        <v>0.19500000000000001</v>
      </c>
      <c r="G644" s="7" t="s">
        <v>9</v>
      </c>
    </row>
    <row r="645" spans="1:7" x14ac:dyDescent="0.45">
      <c r="A645" t="s">
        <v>740</v>
      </c>
      <c r="B645" s="2" t="s">
        <v>64</v>
      </c>
      <c r="C645" s="8" t="s">
        <v>12</v>
      </c>
      <c r="D645" s="4">
        <f>1304/(60*60*24)</f>
        <v>1.5092592592592593E-2</v>
      </c>
      <c r="E645" s="3">
        <f>4764/(60*60*24)</f>
        <v>5.513888888888889E-2</v>
      </c>
      <c r="F645" s="5">
        <f>15475/(60*60*24)</f>
        <v>0.17910879629629631</v>
      </c>
      <c r="G645" s="7" t="s">
        <v>9</v>
      </c>
    </row>
    <row r="646" spans="1:7" x14ac:dyDescent="0.45">
      <c r="A646" t="s">
        <v>741</v>
      </c>
      <c r="B646" s="2" t="s">
        <v>66</v>
      </c>
      <c r="C646" s="8" t="s">
        <v>12</v>
      </c>
      <c r="D646" s="4">
        <f>1157/(60*60*24)</f>
        <v>1.3391203703703704E-2</v>
      </c>
      <c r="E646" s="3">
        <f>4634/(60*60*24)</f>
        <v>5.3634259259259257E-2</v>
      </c>
      <c r="F646" s="5">
        <f>15044/(60*60*24)</f>
        <v>0.17412037037037037</v>
      </c>
      <c r="G646" s="7" t="s">
        <v>9</v>
      </c>
    </row>
    <row r="647" spans="1:7" x14ac:dyDescent="0.45">
      <c r="A647" t="s">
        <v>742</v>
      </c>
      <c r="B647" s="2" t="s">
        <v>68</v>
      </c>
      <c r="C647" s="8" t="s">
        <v>12</v>
      </c>
      <c r="D647" s="4">
        <f>1118/(60*60*24)</f>
        <v>1.2939814814814815E-2</v>
      </c>
      <c r="E647" s="3">
        <f>4490/(60*60*24)</f>
        <v>5.1967592592592593E-2</v>
      </c>
      <c r="F647" s="5">
        <f>14385/(60*60*24)</f>
        <v>0.16649305555555555</v>
      </c>
      <c r="G647" s="7" t="s">
        <v>9</v>
      </c>
    </row>
    <row r="648" spans="1:7" x14ac:dyDescent="0.45">
      <c r="A648" t="s">
        <v>743</v>
      </c>
      <c r="B648" s="2" t="s">
        <v>72</v>
      </c>
      <c r="C648" s="5">
        <f>4708/(60*60*24)</f>
        <v>5.4490740740740742E-2</v>
      </c>
      <c r="D648" s="4">
        <f>653/(60*60*24)</f>
        <v>7.5578703703703702E-3</v>
      </c>
      <c r="E648" s="3">
        <f>4474/(60*60*24)</f>
        <v>5.1782407407407409E-2</v>
      </c>
      <c r="F648" s="6">
        <f>13802/(60*60*24)</f>
        <v>0.15974537037037037</v>
      </c>
      <c r="G648" s="7" t="s">
        <v>9</v>
      </c>
    </row>
    <row r="649" spans="1:7" x14ac:dyDescent="0.45">
      <c r="A649" t="s">
        <v>744</v>
      </c>
      <c r="B649" s="2" t="s">
        <v>70</v>
      </c>
      <c r="C649" s="8" t="s">
        <v>12</v>
      </c>
      <c r="D649" s="4">
        <f>777/(60*60*24)</f>
        <v>8.9930555555555562E-3</v>
      </c>
      <c r="E649" s="3">
        <f>4294/(60*60*24)</f>
        <v>4.9699074074074076E-2</v>
      </c>
      <c r="F649" s="5">
        <f>13679/(60*60*24)</f>
        <v>0.15832175925925926</v>
      </c>
      <c r="G649" s="7" t="s">
        <v>9</v>
      </c>
    </row>
    <row r="650" spans="1:7" x14ac:dyDescent="0.45">
      <c r="A650" t="s">
        <v>745</v>
      </c>
      <c r="B650" s="2" t="s">
        <v>74</v>
      </c>
      <c r="C650" s="5">
        <f>4716/(60*60*24)</f>
        <v>5.4583333333333331E-2</v>
      </c>
      <c r="D650" s="4">
        <f>935/(60*60*24)</f>
        <v>1.0821759259259258E-2</v>
      </c>
      <c r="E650" s="3">
        <f>4468/(60*60*24)</f>
        <v>5.1712962962962961E-2</v>
      </c>
      <c r="F650" s="6">
        <f>13776/(60*60*24)</f>
        <v>0.15944444444444444</v>
      </c>
      <c r="G650" s="7" t="s">
        <v>9</v>
      </c>
    </row>
    <row r="651" spans="1:7" x14ac:dyDescent="0.45">
      <c r="A651" t="s">
        <v>746</v>
      </c>
      <c r="B651" s="2" t="s">
        <v>76</v>
      </c>
      <c r="C651" s="8" t="s">
        <v>12</v>
      </c>
      <c r="D651" s="4">
        <f>1046/(60*60*24)</f>
        <v>1.2106481481481482E-2</v>
      </c>
      <c r="E651" s="3">
        <f>3942/(60*60*24)</f>
        <v>4.5624999999999999E-2</v>
      </c>
      <c r="F651" s="5">
        <f>12177/(60*60*24)</f>
        <v>0.14093749999999999</v>
      </c>
      <c r="G651" s="7" t="s">
        <v>9</v>
      </c>
    </row>
    <row r="652" spans="1:7" x14ac:dyDescent="0.45">
      <c r="A652" t="s">
        <v>747</v>
      </c>
      <c r="B652" s="2" t="s">
        <v>80</v>
      </c>
      <c r="C652" s="5">
        <f>4874/(60*60*24)</f>
        <v>5.6412037037037038E-2</v>
      </c>
      <c r="D652" s="4">
        <f>846/(60*60*24)</f>
        <v>9.7916666666666673E-3</v>
      </c>
      <c r="E652" s="3">
        <f>3387/(60*60*24)</f>
        <v>3.920138888888889E-2</v>
      </c>
      <c r="F652" s="6">
        <f>10818/(60*60*24)</f>
        <v>0.12520833333333334</v>
      </c>
      <c r="G652" s="7" t="s">
        <v>9</v>
      </c>
    </row>
    <row r="653" spans="1:7" x14ac:dyDescent="0.45">
      <c r="A653" t="s">
        <v>748</v>
      </c>
      <c r="B653" s="2" t="s">
        <v>78</v>
      </c>
      <c r="C653" s="8" t="s">
        <v>12</v>
      </c>
      <c r="D653" s="4">
        <f>1169/(60*60*24)</f>
        <v>1.3530092592592592E-2</v>
      </c>
      <c r="E653" s="3">
        <f>3711/(60*60*24)</f>
        <v>4.2951388888888886E-2</v>
      </c>
      <c r="F653" s="5">
        <f>11715/(60*60*24)</f>
        <v>0.13559027777777777</v>
      </c>
      <c r="G653" s="7" t="s">
        <v>9</v>
      </c>
    </row>
    <row r="654" spans="1:7" x14ac:dyDescent="0.45">
      <c r="A654" t="s">
        <v>749</v>
      </c>
      <c r="B654" s="2" t="s">
        <v>84</v>
      </c>
      <c r="C654" s="8" t="s">
        <v>12</v>
      </c>
      <c r="D654" s="4">
        <f>1105/(60*60*24)</f>
        <v>1.2789351851851852E-2</v>
      </c>
      <c r="E654" s="3">
        <f>3202/(60*60*24)</f>
        <v>3.7060185185185182E-2</v>
      </c>
      <c r="F654" s="5">
        <f>10301/(60*60*24)</f>
        <v>0.11922453703703703</v>
      </c>
      <c r="G654" s="7" t="s">
        <v>9</v>
      </c>
    </row>
    <row r="655" spans="1:7" x14ac:dyDescent="0.45">
      <c r="A655" t="s">
        <v>750</v>
      </c>
      <c r="B655" s="2" t="s">
        <v>82</v>
      </c>
      <c r="C655" s="8" t="s">
        <v>12</v>
      </c>
      <c r="D655" s="4">
        <f>1191/(60*60*24)</f>
        <v>1.3784722222222223E-2</v>
      </c>
      <c r="E655" s="3">
        <f>3049/(60*60*24)</f>
        <v>3.528935185185185E-2</v>
      </c>
      <c r="F655" s="5">
        <f>9869/(60*60*24)</f>
        <v>0.11422453703703704</v>
      </c>
      <c r="G655" s="7" t="s">
        <v>9</v>
      </c>
    </row>
    <row r="656" spans="1:7" x14ac:dyDescent="0.45">
      <c r="A656" t="s">
        <v>751</v>
      </c>
      <c r="B656" s="2" t="s">
        <v>88</v>
      </c>
      <c r="C656" s="3">
        <f>2220/(60*60*24)</f>
        <v>2.5694444444444443E-2</v>
      </c>
      <c r="D656" s="4">
        <f>1073/(60*60*24)</f>
        <v>1.2418981481481482E-2</v>
      </c>
      <c r="E656" s="5">
        <f>2413/(60*60*24)</f>
        <v>2.792824074074074E-2</v>
      </c>
      <c r="F656" s="6">
        <f>8461/(60*60*24)</f>
        <v>9.7928240740740746E-2</v>
      </c>
      <c r="G656" s="7" t="s">
        <v>9</v>
      </c>
    </row>
    <row r="657" spans="1:7" x14ac:dyDescent="0.45">
      <c r="A657" t="s">
        <v>752</v>
      </c>
      <c r="B657" s="2" t="s">
        <v>86</v>
      </c>
      <c r="C657" s="5">
        <f>2468/(60*60*24)</f>
        <v>2.8564814814814814E-2</v>
      </c>
      <c r="D657" s="4">
        <f>941/(60*60*24)</f>
        <v>1.0891203703703703E-2</v>
      </c>
      <c r="E657" s="3">
        <f>2341/(60*60*24)</f>
        <v>2.7094907407407408E-2</v>
      </c>
      <c r="F657" s="6">
        <f>8139/(60*60*24)</f>
        <v>9.420138888888889E-2</v>
      </c>
      <c r="G657" s="7" t="s">
        <v>9</v>
      </c>
    </row>
    <row r="658" spans="1:7" x14ac:dyDescent="0.45">
      <c r="A658" t="s">
        <v>753</v>
      </c>
      <c r="B658" s="2" t="s">
        <v>90</v>
      </c>
      <c r="C658" s="8" t="s">
        <v>12</v>
      </c>
      <c r="D658" s="4">
        <f>959/(60*60*24)</f>
        <v>1.1099537037037036E-2</v>
      </c>
      <c r="E658" s="3">
        <f>2392/(60*60*24)</f>
        <v>2.7685185185185184E-2</v>
      </c>
      <c r="F658" s="5">
        <f>8625/(60*60*24)</f>
        <v>9.9826388888888895E-2</v>
      </c>
      <c r="G658" s="7" t="s">
        <v>9</v>
      </c>
    </row>
    <row r="659" spans="1:7" x14ac:dyDescent="0.45">
      <c r="A659" t="s">
        <v>754</v>
      </c>
      <c r="B659" s="2" t="s">
        <v>92</v>
      </c>
      <c r="C659" s="8" t="s">
        <v>12</v>
      </c>
      <c r="D659" s="4">
        <f>1074/(60*60*24)</f>
        <v>1.2430555555555556E-2</v>
      </c>
      <c r="E659" s="3">
        <f>2527/(60*60*24)</f>
        <v>2.9247685185185186E-2</v>
      </c>
      <c r="F659" s="5">
        <f>8912/(60*60*24)</f>
        <v>0.10314814814814814</v>
      </c>
      <c r="G659" s="7" t="s">
        <v>9</v>
      </c>
    </row>
    <row r="660" spans="1:7" x14ac:dyDescent="0.45">
      <c r="A660" t="s">
        <v>755</v>
      </c>
      <c r="B660" s="2" t="s">
        <v>94</v>
      </c>
      <c r="C660" s="8" t="s">
        <v>12</v>
      </c>
      <c r="D660" s="4">
        <f>1112/(60*60*24)</f>
        <v>1.2870370370370371E-2</v>
      </c>
      <c r="E660" s="3">
        <f>2697/(60*60*24)</f>
        <v>3.1215277777777779E-2</v>
      </c>
      <c r="F660" s="5">
        <f>9094/(60*60*24)</f>
        <v>0.10525462962962963</v>
      </c>
      <c r="G660" s="7" t="s">
        <v>9</v>
      </c>
    </row>
    <row r="661" spans="1:7" x14ac:dyDescent="0.45">
      <c r="A661" t="s">
        <v>756</v>
      </c>
      <c r="B661" s="2" t="s">
        <v>96</v>
      </c>
      <c r="C661" s="8" t="s">
        <v>12</v>
      </c>
      <c r="D661" s="4">
        <f>1319/(60*60*24)</f>
        <v>1.5266203703703704E-2</v>
      </c>
      <c r="E661" s="3">
        <f>2629/(60*60*24)</f>
        <v>3.0428240740740742E-2</v>
      </c>
      <c r="F661" s="5">
        <f>8260/(60*60*24)</f>
        <v>9.5601851851851855E-2</v>
      </c>
      <c r="G661" s="7" t="s">
        <v>9</v>
      </c>
    </row>
    <row r="662" spans="1:7" x14ac:dyDescent="0.45">
      <c r="A662" t="s">
        <v>757</v>
      </c>
      <c r="B662" s="2" t="s">
        <v>98</v>
      </c>
      <c r="C662" s="8" t="s">
        <v>12</v>
      </c>
      <c r="D662" s="4">
        <f>1328/(60*60*24)</f>
        <v>1.5370370370370371E-2</v>
      </c>
      <c r="E662" s="3">
        <f>2409/(60*60*24)</f>
        <v>2.7881944444444445E-2</v>
      </c>
      <c r="F662" s="5">
        <f>7609/(60*60*24)</f>
        <v>8.8067129629629634E-2</v>
      </c>
      <c r="G662" s="7" t="s">
        <v>9</v>
      </c>
    </row>
    <row r="663" spans="1:7" x14ac:dyDescent="0.45">
      <c r="A663" t="s">
        <v>758</v>
      </c>
      <c r="B663" s="2" t="s">
        <v>100</v>
      </c>
      <c r="C663" s="8" t="s">
        <v>12</v>
      </c>
      <c r="D663" s="4">
        <f>1041/(60*60*24)</f>
        <v>1.2048611111111111E-2</v>
      </c>
      <c r="E663" s="3">
        <f>2139/(60*60*24)</f>
        <v>2.4756944444444446E-2</v>
      </c>
      <c r="F663" s="5">
        <f>7051/(60*60*24)</f>
        <v>8.160879629629629E-2</v>
      </c>
      <c r="G663" s="7" t="s">
        <v>9</v>
      </c>
    </row>
    <row r="664" spans="1:7" x14ac:dyDescent="0.45">
      <c r="A664" t="s">
        <v>759</v>
      </c>
      <c r="B664" s="2" t="s">
        <v>102</v>
      </c>
      <c r="C664" s="5">
        <f>3631/(60*60*24)</f>
        <v>4.2025462962962966E-2</v>
      </c>
      <c r="D664" s="4">
        <f>968/(60*60*24)</f>
        <v>1.1203703703703704E-2</v>
      </c>
      <c r="E664" s="3">
        <f>1957/(60*60*24)</f>
        <v>2.2650462962962963E-2</v>
      </c>
      <c r="F664" s="6">
        <f>6636/(60*60*24)</f>
        <v>7.6805555555555557E-2</v>
      </c>
      <c r="G664" s="7" t="s">
        <v>9</v>
      </c>
    </row>
    <row r="665" spans="1:7" x14ac:dyDescent="0.45">
      <c r="A665" t="s">
        <v>760</v>
      </c>
      <c r="B665" s="2" t="s">
        <v>104</v>
      </c>
      <c r="C665" s="8" t="s">
        <v>12</v>
      </c>
      <c r="D665" s="4">
        <f>994/(60*60*24)</f>
        <v>1.150462962962963E-2</v>
      </c>
      <c r="E665" s="3">
        <f>2045/(60*60*24)</f>
        <v>2.3668981481481482E-2</v>
      </c>
      <c r="F665" s="5">
        <f>6264/(60*60*24)</f>
        <v>7.2499999999999995E-2</v>
      </c>
      <c r="G665" s="7" t="s">
        <v>9</v>
      </c>
    </row>
    <row r="666" spans="1:7" x14ac:dyDescent="0.45">
      <c r="A666" t="s">
        <v>761</v>
      </c>
      <c r="B666" s="2" t="s">
        <v>106</v>
      </c>
      <c r="C666" s="5">
        <f>3450/(60*60*24)</f>
        <v>3.9930555555555552E-2</v>
      </c>
      <c r="D666" s="4">
        <f>1043/(60*60*24)</f>
        <v>1.207175925925926E-2</v>
      </c>
      <c r="E666" s="3">
        <f>2090/(60*60*24)</f>
        <v>2.4189814814814813E-2</v>
      </c>
      <c r="F666" s="6">
        <f>7161/(60*60*24)</f>
        <v>8.2881944444444439E-2</v>
      </c>
      <c r="G666" s="7" t="s">
        <v>9</v>
      </c>
    </row>
    <row r="667" spans="1:7" x14ac:dyDescent="0.45">
      <c r="A667" t="s">
        <v>762</v>
      </c>
      <c r="B667" s="2" t="s">
        <v>108</v>
      </c>
      <c r="C667" s="8" t="s">
        <v>12</v>
      </c>
      <c r="D667" s="4">
        <f>989/(60*60*24)</f>
        <v>1.1446759259259259E-2</v>
      </c>
      <c r="E667" s="3">
        <f>2034/(60*60*24)</f>
        <v>2.3541666666666666E-2</v>
      </c>
      <c r="F667" s="5">
        <f>6877/(60*60*24)</f>
        <v>7.9594907407407406E-2</v>
      </c>
      <c r="G667" s="7" t="s">
        <v>9</v>
      </c>
    </row>
    <row r="668" spans="1:7" x14ac:dyDescent="0.45">
      <c r="A668" t="s">
        <v>763</v>
      </c>
      <c r="B668" s="2" t="s">
        <v>110</v>
      </c>
      <c r="C668" s="5">
        <f>2081/(60*60*24)</f>
        <v>2.4085648148148148E-2</v>
      </c>
      <c r="D668" s="4">
        <f>994/(60*60*24)</f>
        <v>1.150462962962963E-2</v>
      </c>
      <c r="E668" s="3">
        <f>2051/(60*60*24)</f>
        <v>2.3738425925925927E-2</v>
      </c>
      <c r="F668" s="6">
        <f>7013/(60*60*24)</f>
        <v>8.1168981481481481E-2</v>
      </c>
      <c r="G668" s="7" t="s">
        <v>9</v>
      </c>
    </row>
    <row r="669" spans="1:7" x14ac:dyDescent="0.45">
      <c r="A669" t="s">
        <v>764</v>
      </c>
      <c r="B669" s="2" t="s">
        <v>112</v>
      </c>
      <c r="C669" s="5">
        <f>2742/(60*60*24)</f>
        <v>3.1736111111111111E-2</v>
      </c>
      <c r="D669" s="4">
        <f>1120/(60*60*24)</f>
        <v>1.2962962962962963E-2</v>
      </c>
      <c r="E669" s="3">
        <f>2361/(60*60*24)</f>
        <v>2.732638888888889E-2</v>
      </c>
      <c r="F669" s="6">
        <f>7650/(60*60*24)</f>
        <v>8.8541666666666671E-2</v>
      </c>
      <c r="G669" s="7" t="s">
        <v>9</v>
      </c>
    </row>
    <row r="670" spans="1:7" x14ac:dyDescent="0.45">
      <c r="A670" t="s">
        <v>765</v>
      </c>
      <c r="B670" s="2" t="s">
        <v>114</v>
      </c>
      <c r="C670" s="8" t="s">
        <v>12</v>
      </c>
      <c r="D670" s="4">
        <f>1093/(60*60*24)</f>
        <v>1.2650462962962962E-2</v>
      </c>
      <c r="E670" s="3">
        <f>2568/(60*60*24)</f>
        <v>2.9722222222222223E-2</v>
      </c>
      <c r="F670" s="5">
        <f>8195/(60*60*24)</f>
        <v>9.4849537037037038E-2</v>
      </c>
      <c r="G670" s="7" t="s">
        <v>9</v>
      </c>
    </row>
    <row r="671" spans="1:7" x14ac:dyDescent="0.45">
      <c r="A671" t="s">
        <v>766</v>
      </c>
      <c r="B671" s="2" t="s">
        <v>116</v>
      </c>
      <c r="C671" s="8" t="s">
        <v>12</v>
      </c>
      <c r="D671" s="4">
        <f>1260/(60*60*24)</f>
        <v>1.4583333333333334E-2</v>
      </c>
      <c r="E671" s="3">
        <f>2861/(60*60*24)</f>
        <v>3.3113425925925928E-2</v>
      </c>
      <c r="F671" s="5">
        <f>8836/(60*60*24)</f>
        <v>0.10226851851851852</v>
      </c>
      <c r="G671" s="7" t="s">
        <v>9</v>
      </c>
    </row>
    <row r="672" spans="1:7" x14ac:dyDescent="0.45">
      <c r="A672" t="s">
        <v>767</v>
      </c>
      <c r="B672" s="2" t="s">
        <v>118</v>
      </c>
      <c r="C672" s="8" t="s">
        <v>12</v>
      </c>
      <c r="D672" s="4">
        <f>1328/(60*60*24)</f>
        <v>1.5370370370370371E-2</v>
      </c>
      <c r="E672" s="3">
        <f>3128/(60*60*24)</f>
        <v>3.6203703703703703E-2</v>
      </c>
      <c r="F672" s="5">
        <f>9566/(60*60*24)</f>
        <v>0.11071759259259259</v>
      </c>
      <c r="G672" s="7" t="s">
        <v>9</v>
      </c>
    </row>
    <row r="673" spans="1:7" x14ac:dyDescent="0.45">
      <c r="A673" t="s">
        <v>768</v>
      </c>
      <c r="B673" s="2" t="s">
        <v>120</v>
      </c>
      <c r="C673" s="8" t="s">
        <v>12</v>
      </c>
      <c r="D673" s="4">
        <f>1287/(60*60*24)</f>
        <v>1.4895833333333334E-2</v>
      </c>
      <c r="E673" s="3">
        <f>3273/(60*60*24)</f>
        <v>3.7881944444444447E-2</v>
      </c>
      <c r="F673" s="5">
        <f>10386/(60*60*24)</f>
        <v>0.12020833333333333</v>
      </c>
      <c r="G673" s="7" t="s">
        <v>9</v>
      </c>
    </row>
    <row r="674" spans="1:7" x14ac:dyDescent="0.45">
      <c r="A674" t="s">
        <v>769</v>
      </c>
      <c r="B674" s="2" t="s">
        <v>124</v>
      </c>
      <c r="C674" s="8" t="s">
        <v>12</v>
      </c>
      <c r="D674" s="4">
        <f>1373/(60*60*24)</f>
        <v>1.5891203703703703E-2</v>
      </c>
      <c r="E674" s="3">
        <f>3662/(60*60*24)</f>
        <v>4.238425925925926E-2</v>
      </c>
      <c r="F674" s="5">
        <f>11262/(60*60*24)</f>
        <v>0.13034722222222223</v>
      </c>
      <c r="G674" s="7" t="s">
        <v>9</v>
      </c>
    </row>
    <row r="675" spans="1:7" x14ac:dyDescent="0.45">
      <c r="A675" t="s">
        <v>770</v>
      </c>
      <c r="B675" s="2" t="s">
        <v>122</v>
      </c>
      <c r="C675" s="8" t="s">
        <v>12</v>
      </c>
      <c r="D675" s="4">
        <f>1437/(60*60*24)</f>
        <v>1.6631944444444446E-2</v>
      </c>
      <c r="E675" s="3">
        <f>3823/(60*60*24)</f>
        <v>4.4247685185185189E-2</v>
      </c>
      <c r="F675" s="5">
        <f>11961/(60*60*24)</f>
        <v>0.13843749999999999</v>
      </c>
      <c r="G675" s="7" t="s">
        <v>9</v>
      </c>
    </row>
    <row r="676" spans="1:7" x14ac:dyDescent="0.45">
      <c r="A676" t="s">
        <v>771</v>
      </c>
      <c r="B676" s="2" t="s">
        <v>126</v>
      </c>
      <c r="C676" s="8" t="s">
        <v>12</v>
      </c>
      <c r="D676" s="4">
        <f>1555/(60*60*24)</f>
        <v>1.7997685185185186E-2</v>
      </c>
      <c r="E676" s="3">
        <f>4114/(60*60*24)</f>
        <v>4.7615740740740743E-2</v>
      </c>
      <c r="F676" s="5">
        <f>12746/(60*60*24)</f>
        <v>0.14752314814814815</v>
      </c>
      <c r="G676" s="7" t="s">
        <v>9</v>
      </c>
    </row>
    <row r="677" spans="1:7" x14ac:dyDescent="0.45">
      <c r="A677" t="s">
        <v>772</v>
      </c>
      <c r="B677" s="2" t="s">
        <v>128</v>
      </c>
      <c r="C677" s="8" t="s">
        <v>12</v>
      </c>
      <c r="D677" s="4">
        <f>1578/(60*60*24)</f>
        <v>1.8263888888888889E-2</v>
      </c>
      <c r="E677" s="3">
        <f>3738/(60*60*24)</f>
        <v>4.3263888888888886E-2</v>
      </c>
      <c r="F677" s="5">
        <f>12685/(60*60*24)</f>
        <v>0.14681712962962962</v>
      </c>
      <c r="G677" s="7" t="s">
        <v>9</v>
      </c>
    </row>
    <row r="678" spans="1:7" x14ac:dyDescent="0.45">
      <c r="A678" t="s">
        <v>773</v>
      </c>
      <c r="B678" s="2" t="s">
        <v>132</v>
      </c>
      <c r="C678" s="5">
        <f>5490/(60*60*24)</f>
        <v>6.3541666666666663E-2</v>
      </c>
      <c r="D678" s="4">
        <f>1298/(60*60*24)</f>
        <v>1.5023148148148148E-2</v>
      </c>
      <c r="E678" s="3">
        <f>4365/(60*60*24)</f>
        <v>5.0520833333333334E-2</v>
      </c>
      <c r="F678" s="6">
        <f>14004/(60*60*24)</f>
        <v>0.16208333333333333</v>
      </c>
      <c r="G678" s="7" t="s">
        <v>9</v>
      </c>
    </row>
    <row r="679" spans="1:7" x14ac:dyDescent="0.45">
      <c r="A679" t="s">
        <v>774</v>
      </c>
      <c r="B679" s="2" t="s">
        <v>130</v>
      </c>
      <c r="C679" s="8" t="s">
        <v>12</v>
      </c>
      <c r="D679" s="4">
        <f>1464/(60*60*24)</f>
        <v>1.6944444444444446E-2</v>
      </c>
      <c r="E679" s="3">
        <f>3991/(60*60*24)</f>
        <v>4.6192129629629632E-2</v>
      </c>
      <c r="F679" s="5">
        <f>13186/(60*60*24)</f>
        <v>0.15261574074074075</v>
      </c>
      <c r="G679" s="7" t="s">
        <v>9</v>
      </c>
    </row>
    <row r="680" spans="1:7" x14ac:dyDescent="0.45">
      <c r="A680" t="s">
        <v>775</v>
      </c>
      <c r="B680" s="2" t="s">
        <v>136</v>
      </c>
      <c r="C680" s="8" t="s">
        <v>12</v>
      </c>
      <c r="D680" s="4">
        <f>1369/(60*60*24)</f>
        <v>1.5844907407407408E-2</v>
      </c>
      <c r="E680" s="3">
        <f>4523/(60*60*24)</f>
        <v>5.2349537037037035E-2</v>
      </c>
      <c r="F680" s="5">
        <f>14756/(60*60*24)</f>
        <v>0.17078703703703704</v>
      </c>
      <c r="G680" s="7" t="s">
        <v>9</v>
      </c>
    </row>
    <row r="681" spans="1:7" x14ac:dyDescent="0.45">
      <c r="A681" t="s">
        <v>776</v>
      </c>
      <c r="B681" s="2" t="s">
        <v>134</v>
      </c>
      <c r="C681" s="8" t="s">
        <v>12</v>
      </c>
      <c r="D681" s="4">
        <f>1519/(60*60*24)</f>
        <v>1.758101851851852E-2</v>
      </c>
      <c r="E681" s="3">
        <f>4832/(60*60*24)</f>
        <v>5.5925925925925928E-2</v>
      </c>
      <c r="F681" s="5">
        <f>15543/(60*60*24)</f>
        <v>0.17989583333333334</v>
      </c>
      <c r="G681" s="7" t="s">
        <v>9</v>
      </c>
    </row>
    <row r="682" spans="1:7" x14ac:dyDescent="0.45">
      <c r="A682" t="s">
        <v>777</v>
      </c>
      <c r="B682" s="2" t="s">
        <v>138</v>
      </c>
      <c r="C682" s="8" t="s">
        <v>12</v>
      </c>
      <c r="D682" s="4">
        <f>1692/(60*60*24)</f>
        <v>1.9583333333333335E-2</v>
      </c>
      <c r="E682" s="3">
        <f>4898/(60*60*24)</f>
        <v>5.6689814814814818E-2</v>
      </c>
      <c r="F682" s="5">
        <f>16216/(60*60*24)</f>
        <v>0.18768518518518518</v>
      </c>
      <c r="G682" s="7" t="s">
        <v>9</v>
      </c>
    </row>
    <row r="683" spans="1:7" x14ac:dyDescent="0.45">
      <c r="A683" t="s">
        <v>778</v>
      </c>
      <c r="B683" s="2" t="s">
        <v>140</v>
      </c>
      <c r="C683" s="8" t="s">
        <v>12</v>
      </c>
      <c r="D683" s="4">
        <f>1634/(60*60*24)</f>
        <v>1.8912037037037036E-2</v>
      </c>
      <c r="E683" s="3">
        <f>5307/(60*60*24)</f>
        <v>6.1423611111111109E-2</v>
      </c>
      <c r="F683" s="5">
        <f>17820/(60*60*24)</f>
        <v>0.20624999999999999</v>
      </c>
      <c r="G683" s="7" t="s">
        <v>9</v>
      </c>
    </row>
    <row r="684" spans="1:7" x14ac:dyDescent="0.45">
      <c r="A684" t="s">
        <v>779</v>
      </c>
      <c r="B684" s="2" t="s">
        <v>142</v>
      </c>
      <c r="C684" s="8" t="s">
        <v>12</v>
      </c>
      <c r="D684" s="4">
        <f>1586/(60*60*24)</f>
        <v>1.8356481481481481E-2</v>
      </c>
      <c r="E684" s="3">
        <f>5254/(60*60*24)</f>
        <v>6.0810185185185182E-2</v>
      </c>
      <c r="F684" s="5">
        <f>17753/(60*60*24)</f>
        <v>0.20547453703703702</v>
      </c>
      <c r="G684" s="7" t="s">
        <v>9</v>
      </c>
    </row>
    <row r="685" spans="1:7" x14ac:dyDescent="0.45">
      <c r="A685" t="s">
        <v>780</v>
      </c>
      <c r="B685" s="2" t="s">
        <v>144</v>
      </c>
      <c r="C685" s="8" t="s">
        <v>12</v>
      </c>
      <c r="D685" s="4">
        <f>1687/(60*60*24)</f>
        <v>1.9525462962962963E-2</v>
      </c>
      <c r="E685" s="3">
        <f>5473/(60*60*24)</f>
        <v>6.3344907407407405E-2</v>
      </c>
      <c r="F685" s="5">
        <f>18550/(60*60*24)</f>
        <v>0.21469907407407407</v>
      </c>
      <c r="G685" s="7" t="s">
        <v>9</v>
      </c>
    </row>
    <row r="686" spans="1:7" x14ac:dyDescent="0.45">
      <c r="A686" t="s">
        <v>781</v>
      </c>
      <c r="B686" s="2" t="s">
        <v>146</v>
      </c>
      <c r="C686" s="8" t="s">
        <v>12</v>
      </c>
      <c r="D686" s="4">
        <f>1607/(60*60*24)</f>
        <v>1.8599537037037036E-2</v>
      </c>
      <c r="E686" s="3">
        <f>5665/(60*60*24)</f>
        <v>6.5567129629629628E-2</v>
      </c>
      <c r="F686" s="5">
        <f>19158/(60*60*24)</f>
        <v>0.22173611111111111</v>
      </c>
      <c r="G686" s="7" t="s">
        <v>9</v>
      </c>
    </row>
    <row r="687" spans="1:7" x14ac:dyDescent="0.45">
      <c r="A687" t="s">
        <v>782</v>
      </c>
      <c r="B687" s="2" t="s">
        <v>148</v>
      </c>
      <c r="C687" s="8" t="s">
        <v>12</v>
      </c>
      <c r="D687" s="4">
        <f>1613/(60*60*24)</f>
        <v>1.8668981481481481E-2</v>
      </c>
      <c r="E687" s="3">
        <f>5721/(60*60*24)</f>
        <v>6.6215277777777776E-2</v>
      </c>
      <c r="F687" s="5">
        <f>19166/(60*60*24)</f>
        <v>0.22182870370370369</v>
      </c>
      <c r="G687" s="7" t="s">
        <v>9</v>
      </c>
    </row>
    <row r="688" spans="1:7" x14ac:dyDescent="0.45">
      <c r="A688" t="s">
        <v>783</v>
      </c>
      <c r="B688" s="2" t="s">
        <v>150</v>
      </c>
      <c r="C688" s="5">
        <f>6561/(60*60*24)</f>
        <v>7.5937500000000005E-2</v>
      </c>
      <c r="D688" s="4">
        <f>1467/(60*60*24)</f>
        <v>1.6979166666666667E-2</v>
      </c>
      <c r="E688" s="3">
        <f>6003/(60*60*24)</f>
        <v>6.9479166666666661E-2</v>
      </c>
      <c r="F688" s="6">
        <f>19993/(60*60*24)</f>
        <v>0.23140046296296296</v>
      </c>
      <c r="G688" s="7" t="s">
        <v>9</v>
      </c>
    </row>
    <row r="689" spans="1:7" x14ac:dyDescent="0.45">
      <c r="A689" t="s">
        <v>784</v>
      </c>
      <c r="B689" s="2" t="s">
        <v>152</v>
      </c>
      <c r="C689" s="5">
        <f>6372/(60*60*24)</f>
        <v>7.3749999999999996E-2</v>
      </c>
      <c r="D689" s="4">
        <f>1518/(60*60*24)</f>
        <v>1.7569444444444443E-2</v>
      </c>
      <c r="E689" s="3">
        <f>6261/(60*60*24)</f>
        <v>7.2465277777777781E-2</v>
      </c>
      <c r="F689" s="6">
        <f>20614/(60*60*24)</f>
        <v>0.23858796296296297</v>
      </c>
      <c r="G689" s="7" t="s">
        <v>9</v>
      </c>
    </row>
    <row r="690" spans="1:7" x14ac:dyDescent="0.45">
      <c r="A690" t="s">
        <v>785</v>
      </c>
      <c r="B690" s="2" t="s">
        <v>154</v>
      </c>
      <c r="C690" s="8" t="s">
        <v>12</v>
      </c>
      <c r="D690" s="4">
        <f>1618/(60*60*24)</f>
        <v>1.8726851851851852E-2</v>
      </c>
      <c r="E690" s="3">
        <f>6501/(60*60*24)</f>
        <v>7.5243055555555549E-2</v>
      </c>
      <c r="F690" s="5">
        <f>21111/(60*60*24)</f>
        <v>0.24434027777777778</v>
      </c>
      <c r="G690" s="7" t="s">
        <v>9</v>
      </c>
    </row>
    <row r="691" spans="1:7" x14ac:dyDescent="0.45">
      <c r="A691" t="s">
        <v>786</v>
      </c>
      <c r="B691" s="2" t="s">
        <v>156</v>
      </c>
      <c r="C691" s="8" t="s">
        <v>12</v>
      </c>
      <c r="D691" s="4">
        <f>1675/(60*60*24)</f>
        <v>1.9386574074074073E-2</v>
      </c>
      <c r="E691" s="3">
        <f>6343/(60*60*24)</f>
        <v>7.3414351851851856E-2</v>
      </c>
      <c r="F691" s="5">
        <f>22390/(60*60*24)</f>
        <v>0.25914351851851852</v>
      </c>
      <c r="G691" s="7" t="s">
        <v>9</v>
      </c>
    </row>
    <row r="692" spans="1:7" x14ac:dyDescent="0.45">
      <c r="A692" t="s">
        <v>787</v>
      </c>
      <c r="B692" s="2" t="s">
        <v>160</v>
      </c>
      <c r="C692" s="3">
        <f>5785/(60*60*24)</f>
        <v>6.6956018518518512E-2</v>
      </c>
      <c r="D692" s="4">
        <f>1770/(60*60*24)</f>
        <v>2.0486111111111111E-2</v>
      </c>
      <c r="E692" s="5">
        <f>6658/(60*60*24)</f>
        <v>7.706018518518519E-2</v>
      </c>
      <c r="F692" s="6">
        <f>23256/(60*60*24)</f>
        <v>0.26916666666666667</v>
      </c>
      <c r="G692" s="7" t="s">
        <v>9</v>
      </c>
    </row>
    <row r="693" spans="1:7" x14ac:dyDescent="0.45">
      <c r="A693" t="s">
        <v>788</v>
      </c>
      <c r="B693" s="2" t="s">
        <v>158</v>
      </c>
      <c r="C693" s="8" t="s">
        <v>12</v>
      </c>
      <c r="D693" s="4">
        <f>1898/(60*60*24)</f>
        <v>2.1967592592592594E-2</v>
      </c>
      <c r="E693" s="3">
        <f>7310/(60*60*24)</f>
        <v>8.4606481481481477E-2</v>
      </c>
      <c r="F693" s="5">
        <f>24858/(60*60*24)</f>
        <v>0.28770833333333334</v>
      </c>
      <c r="G693" s="7" t="s">
        <v>9</v>
      </c>
    </row>
    <row r="694" spans="1:7" x14ac:dyDescent="0.45">
      <c r="A694" t="s">
        <v>789</v>
      </c>
      <c r="B694" s="2" t="s">
        <v>162</v>
      </c>
      <c r="C694" s="8" t="s">
        <v>12</v>
      </c>
      <c r="D694" s="4">
        <f>1998/(60*60*24)</f>
        <v>2.3125E-2</v>
      </c>
      <c r="E694" s="3">
        <f>7161/(60*60*24)</f>
        <v>8.2881944444444439E-2</v>
      </c>
      <c r="F694" s="5">
        <f>24919/(60*60*24)</f>
        <v>0.28841435185185182</v>
      </c>
      <c r="G694" s="7" t="s">
        <v>9</v>
      </c>
    </row>
    <row r="695" spans="1:7" x14ac:dyDescent="0.45">
      <c r="A695" t="s">
        <v>790</v>
      </c>
      <c r="B695" s="2" t="s">
        <v>164</v>
      </c>
      <c r="C695" s="8" t="s">
        <v>12</v>
      </c>
      <c r="D695" s="4">
        <f>1994/(60*60*24)</f>
        <v>2.3078703703703702E-2</v>
      </c>
      <c r="E695" s="3">
        <f>7277/(60*60*24)</f>
        <v>8.4224537037037042E-2</v>
      </c>
      <c r="F695" s="5">
        <f>25341/(60*60*24)</f>
        <v>0.29329861111111111</v>
      </c>
      <c r="G695" s="7" t="s">
        <v>9</v>
      </c>
    </row>
    <row r="696" spans="1:7" x14ac:dyDescent="0.45">
      <c r="A696" t="s">
        <v>791</v>
      </c>
      <c r="B696" s="2" t="s">
        <v>168</v>
      </c>
      <c r="C696" s="3">
        <f>4901/(60*60*24)</f>
        <v>5.6724537037037039E-2</v>
      </c>
      <c r="D696" s="4">
        <f>1882/(60*60*24)</f>
        <v>2.1782407407407407E-2</v>
      </c>
      <c r="E696" s="5">
        <f>7379/(60*60*24)</f>
        <v>8.5405092592592588E-2</v>
      </c>
      <c r="F696" s="6">
        <f>25848/(60*60*24)</f>
        <v>0.29916666666666669</v>
      </c>
      <c r="G696" s="7" t="s">
        <v>9</v>
      </c>
    </row>
    <row r="697" spans="1:7" x14ac:dyDescent="0.45">
      <c r="A697" t="s">
        <v>792</v>
      </c>
      <c r="B697" s="2" t="s">
        <v>166</v>
      </c>
      <c r="C697" s="5">
        <f>10120/(60*60*24)</f>
        <v>0.11712962962962963</v>
      </c>
      <c r="D697" s="4">
        <f>1979/(60*60*24)</f>
        <v>2.2905092592592591E-2</v>
      </c>
      <c r="E697" s="3">
        <f>7665/(60*60*24)</f>
        <v>8.8715277777777782E-2</v>
      </c>
      <c r="F697" s="6">
        <f>26805/(60*60*24)</f>
        <v>0.31024305555555554</v>
      </c>
      <c r="G697" s="7" t="s">
        <v>9</v>
      </c>
    </row>
    <row r="698" spans="1:7" x14ac:dyDescent="0.45">
      <c r="A698" t="s">
        <v>793</v>
      </c>
      <c r="B698" s="2" t="s">
        <v>170</v>
      </c>
      <c r="C698" s="8" t="s">
        <v>12</v>
      </c>
      <c r="D698" s="4">
        <f>2083/(60*60*24)</f>
        <v>2.4108796296296295E-2</v>
      </c>
      <c r="E698" s="3">
        <f>7822/(60*60*24)</f>
        <v>9.0532407407407409E-2</v>
      </c>
      <c r="F698" s="5">
        <f>27490/(60*60*24)</f>
        <v>0.31817129629629631</v>
      </c>
      <c r="G698" s="7" t="s">
        <v>9</v>
      </c>
    </row>
    <row r="699" spans="1:7" x14ac:dyDescent="0.45">
      <c r="A699" t="s">
        <v>794</v>
      </c>
      <c r="B699" s="2" t="s">
        <v>172</v>
      </c>
      <c r="C699" s="8" t="s">
        <v>12</v>
      </c>
      <c r="D699" s="4">
        <f>2025/(60*60*24)</f>
        <v>2.34375E-2</v>
      </c>
      <c r="E699" s="3">
        <f>8033/(60*60*24)</f>
        <v>9.2974537037037036E-2</v>
      </c>
      <c r="F699" s="5">
        <f>28188/(60*60*24)</f>
        <v>0.32624999999999998</v>
      </c>
      <c r="G699" s="7" t="s">
        <v>9</v>
      </c>
    </row>
    <row r="700" spans="1:7" x14ac:dyDescent="0.45">
      <c r="A700" t="s">
        <v>795</v>
      </c>
      <c r="B700" s="2" t="s">
        <v>176</v>
      </c>
      <c r="C700" s="8" t="s">
        <v>12</v>
      </c>
      <c r="D700" s="4">
        <f>1866/(60*60*24)</f>
        <v>2.1597222222222223E-2</v>
      </c>
      <c r="E700" s="3">
        <f>8335/(60*60*24)</f>
        <v>9.6469907407407407E-2</v>
      </c>
      <c r="F700" s="5">
        <f>29345/(60*60*24)</f>
        <v>0.33964120370370371</v>
      </c>
      <c r="G700" s="7" t="s">
        <v>9</v>
      </c>
    </row>
    <row r="701" spans="1:7" x14ac:dyDescent="0.45">
      <c r="A701" t="s">
        <v>796</v>
      </c>
      <c r="B701" s="2" t="s">
        <v>174</v>
      </c>
      <c r="C701" s="8" t="s">
        <v>12</v>
      </c>
      <c r="D701" s="4">
        <f>2023/(60*60*24)</f>
        <v>2.3414351851851853E-2</v>
      </c>
      <c r="E701" s="3">
        <f>8597/(60*60*24)</f>
        <v>9.9502314814814821E-2</v>
      </c>
      <c r="F701" s="5">
        <f>30152/(60*60*24)</f>
        <v>0.3489814814814815</v>
      </c>
      <c r="G701" s="7" t="s">
        <v>9</v>
      </c>
    </row>
    <row r="702" spans="1:7" x14ac:dyDescent="0.45">
      <c r="A702" t="s">
        <v>797</v>
      </c>
      <c r="B702" s="2" t="s">
        <v>180</v>
      </c>
      <c r="C702" s="8" t="s">
        <v>12</v>
      </c>
      <c r="D702" s="4">
        <f>2138/(60*60*24)</f>
        <v>2.4745370370370369E-2</v>
      </c>
      <c r="E702" s="3">
        <f>8661/(60*60*24)</f>
        <v>0.10024305555555556</v>
      </c>
      <c r="F702" s="5">
        <f>30429/(60*60*24)</f>
        <v>0.35218749999999999</v>
      </c>
      <c r="G702" s="7" t="s">
        <v>9</v>
      </c>
    </row>
    <row r="703" spans="1:7" x14ac:dyDescent="0.45">
      <c r="A703" t="s">
        <v>798</v>
      </c>
      <c r="B703" s="2" t="s">
        <v>178</v>
      </c>
      <c r="C703" s="8" t="s">
        <v>12</v>
      </c>
      <c r="D703" s="4">
        <f>2428/(60*60*24)</f>
        <v>2.8101851851851854E-2</v>
      </c>
      <c r="E703" s="3">
        <f>8841/(60*60*24)</f>
        <v>0.10232638888888888</v>
      </c>
      <c r="F703" s="5">
        <f>31990/(60*60*24)</f>
        <v>0.37025462962962963</v>
      </c>
      <c r="G703" s="7" t="s">
        <v>9</v>
      </c>
    </row>
    <row r="704" spans="1:7" x14ac:dyDescent="0.45">
      <c r="A704" t="s">
        <v>799</v>
      </c>
      <c r="B704" s="2" t="s">
        <v>182</v>
      </c>
      <c r="C704" s="8" t="s">
        <v>12</v>
      </c>
      <c r="D704" s="4">
        <f>2305/(60*60*24)</f>
        <v>2.6678240740740742E-2</v>
      </c>
      <c r="E704" s="3">
        <f>8798/(60*60*24)</f>
        <v>0.1018287037037037</v>
      </c>
      <c r="F704" s="5">
        <f>32210/(60*60*24)</f>
        <v>0.37280092592592595</v>
      </c>
      <c r="G704" s="7" t="s">
        <v>9</v>
      </c>
    </row>
    <row r="705" spans="1:7" x14ac:dyDescent="0.45">
      <c r="A705" t="s">
        <v>800</v>
      </c>
      <c r="B705" s="2" t="s">
        <v>184</v>
      </c>
      <c r="C705" s="8" t="s">
        <v>12</v>
      </c>
      <c r="D705" s="4">
        <f>2230/(60*60*24)</f>
        <v>2.5810185185185186E-2</v>
      </c>
      <c r="E705" s="3">
        <f>8922/(60*60*24)</f>
        <v>0.10326388888888889</v>
      </c>
      <c r="F705" s="5">
        <f>32698/(60*60*24)</f>
        <v>0.37844907407407408</v>
      </c>
      <c r="G705" s="7" t="s">
        <v>9</v>
      </c>
    </row>
    <row r="706" spans="1:7" x14ac:dyDescent="0.45">
      <c r="A706" t="s">
        <v>801</v>
      </c>
      <c r="B706" s="2" t="s">
        <v>8</v>
      </c>
      <c r="C706" s="3">
        <f>6637/(60*60*24)</f>
        <v>7.6817129629629624E-2</v>
      </c>
      <c r="D706" s="4">
        <f>2104/(60*60*24)</f>
        <v>2.435185185185185E-2</v>
      </c>
      <c r="E706" s="5">
        <f>9898/(60*60*24)</f>
        <v>0.11456018518518518</v>
      </c>
      <c r="F706" s="6">
        <f>33805/(60*60*24)</f>
        <v>0.39126157407407408</v>
      </c>
      <c r="G706" s="7" t="s">
        <v>9</v>
      </c>
    </row>
    <row r="707" spans="1:7" x14ac:dyDescent="0.45">
      <c r="A707" t="s">
        <v>802</v>
      </c>
      <c r="B707" s="2" t="s">
        <v>11</v>
      </c>
      <c r="C707" s="8" t="s">
        <v>12</v>
      </c>
      <c r="D707" s="4">
        <f>2137/(60*60*24)</f>
        <v>2.4733796296296295E-2</v>
      </c>
      <c r="E707" s="3">
        <f>9754/(60*60*24)</f>
        <v>0.11289351851851852</v>
      </c>
      <c r="F707" s="5">
        <f>33035/(60*60*24)</f>
        <v>0.38234953703703706</v>
      </c>
      <c r="G707" s="7" t="s">
        <v>9</v>
      </c>
    </row>
    <row r="708" spans="1:7" x14ac:dyDescent="0.45">
      <c r="A708" t="s">
        <v>803</v>
      </c>
      <c r="B708" s="2" t="s">
        <v>14</v>
      </c>
      <c r="C708" s="3">
        <f>5565/(60*60*24)</f>
        <v>6.4409722222222215E-2</v>
      </c>
      <c r="D708" s="4">
        <f>2107/(60*60*24)</f>
        <v>2.4386574074074074E-2</v>
      </c>
      <c r="E708" s="5">
        <f>9611/(60*60*24)</f>
        <v>0.11123842592592592</v>
      </c>
      <c r="F708" s="6">
        <f>32574/(60*60*24)</f>
        <v>0.37701388888888887</v>
      </c>
      <c r="G708" s="7" t="s">
        <v>9</v>
      </c>
    </row>
    <row r="709" spans="1:7" x14ac:dyDescent="0.45">
      <c r="A709" t="s">
        <v>804</v>
      </c>
      <c r="B709" s="2" t="s">
        <v>16</v>
      </c>
      <c r="C709" s="3">
        <f>5854/(60*60*24)</f>
        <v>6.7754629629629623E-2</v>
      </c>
      <c r="D709" s="4">
        <f>1969/(60*60*24)</f>
        <v>2.2789351851851852E-2</v>
      </c>
      <c r="E709" s="5">
        <f>9475/(60*60*24)</f>
        <v>0.10966435185185185</v>
      </c>
      <c r="F709" s="6">
        <f>31841/(60*60*24)</f>
        <v>0.36853009259259262</v>
      </c>
      <c r="G709" s="7" t="s">
        <v>9</v>
      </c>
    </row>
    <row r="710" spans="1:7" x14ac:dyDescent="0.45">
      <c r="A710" t="s">
        <v>805</v>
      </c>
      <c r="B710" s="2" t="s">
        <v>18</v>
      </c>
      <c r="C710" s="8" t="s">
        <v>12</v>
      </c>
      <c r="D710" s="4">
        <f>2105/(60*60*24)</f>
        <v>2.4363425925925927E-2</v>
      </c>
      <c r="E710" s="3">
        <f>9684/(60*60*24)</f>
        <v>0.11208333333333333</v>
      </c>
      <c r="F710" s="5">
        <f>31295/(60*60*24)</f>
        <v>0.36221064814814813</v>
      </c>
      <c r="G710" s="7" t="s">
        <v>9</v>
      </c>
    </row>
    <row r="711" spans="1:7" x14ac:dyDescent="0.45">
      <c r="A711" t="s">
        <v>806</v>
      </c>
      <c r="B711" s="2" t="s">
        <v>20</v>
      </c>
      <c r="C711" s="8" t="s">
        <v>12</v>
      </c>
      <c r="D711" s="4">
        <f>2116/(60*60*24)</f>
        <v>2.449074074074074E-2</v>
      </c>
      <c r="E711" s="3">
        <f>9333/(60*60*24)</f>
        <v>0.10802083333333333</v>
      </c>
      <c r="F711" s="5">
        <f>30435/(60*60*24)</f>
        <v>0.35225694444444444</v>
      </c>
      <c r="G711" s="7" t="s">
        <v>9</v>
      </c>
    </row>
    <row r="712" spans="1:7" x14ac:dyDescent="0.45">
      <c r="A712" t="s">
        <v>807</v>
      </c>
      <c r="B712" s="2" t="s">
        <v>22</v>
      </c>
      <c r="C712" s="8" t="s">
        <v>12</v>
      </c>
      <c r="D712" s="4">
        <f>1729/(60*60*24)</f>
        <v>2.0011574074074074E-2</v>
      </c>
      <c r="E712" s="3">
        <f>9084/(60*60*24)</f>
        <v>0.10513888888888889</v>
      </c>
      <c r="F712" s="5">
        <f>30216/(60*60*24)</f>
        <v>0.34972222222222221</v>
      </c>
      <c r="G712" s="7" t="s">
        <v>9</v>
      </c>
    </row>
    <row r="713" spans="1:7" x14ac:dyDescent="0.45">
      <c r="A713" t="s">
        <v>808</v>
      </c>
      <c r="B713" s="2" t="s">
        <v>24</v>
      </c>
      <c r="C713" s="8" t="s">
        <v>12</v>
      </c>
      <c r="D713" s="4">
        <f>1662/(60*60*24)</f>
        <v>1.923611111111111E-2</v>
      </c>
      <c r="E713" s="3">
        <f>8759/(60*60*24)</f>
        <v>0.10137731481481481</v>
      </c>
      <c r="F713" s="5">
        <f>29436/(60*60*24)</f>
        <v>0.34069444444444447</v>
      </c>
      <c r="G713" s="7" t="s">
        <v>9</v>
      </c>
    </row>
    <row r="714" spans="1:7" x14ac:dyDescent="0.45">
      <c r="A714" t="s">
        <v>809</v>
      </c>
      <c r="B714" s="2" t="s">
        <v>28</v>
      </c>
      <c r="C714" s="3">
        <f>4821/(60*60*24)</f>
        <v>5.5798611111111111E-2</v>
      </c>
      <c r="D714" s="4">
        <f>1489/(60*60*24)</f>
        <v>1.7233796296296296E-2</v>
      </c>
      <c r="E714" s="5">
        <f>8303/(60*60*24)</f>
        <v>9.6099537037037039E-2</v>
      </c>
      <c r="F714" s="6">
        <f>27955/(60*60*24)</f>
        <v>0.32355324074074077</v>
      </c>
      <c r="G714" s="7" t="s">
        <v>9</v>
      </c>
    </row>
    <row r="715" spans="1:7" x14ac:dyDescent="0.45">
      <c r="A715" t="s">
        <v>810</v>
      </c>
      <c r="B715" s="2" t="s">
        <v>26</v>
      </c>
      <c r="C715" s="8" t="s">
        <v>12</v>
      </c>
      <c r="D715" s="4">
        <f>1464/(60*60*24)</f>
        <v>1.6944444444444446E-2</v>
      </c>
      <c r="E715" s="3">
        <f>8472/(60*60*24)</f>
        <v>9.8055555555555562E-2</v>
      </c>
      <c r="F715" s="5">
        <f>28579/(60*60*24)</f>
        <v>0.33077546296296295</v>
      </c>
      <c r="G715" s="7" t="s">
        <v>9</v>
      </c>
    </row>
    <row r="716" spans="1:7" x14ac:dyDescent="0.45">
      <c r="A716" t="s">
        <v>811</v>
      </c>
      <c r="B716" s="2" t="s">
        <v>30</v>
      </c>
      <c r="C716" s="3">
        <f>5223/(60*60*24)</f>
        <v>6.0451388888888888E-2</v>
      </c>
      <c r="D716" s="4">
        <f>1585/(60*60*24)</f>
        <v>1.8344907407407407E-2</v>
      </c>
      <c r="E716" s="5">
        <f>8159/(60*60*24)</f>
        <v>9.4432870370370375E-2</v>
      </c>
      <c r="F716" s="6">
        <f>27386/(60*60*24)</f>
        <v>0.31696759259259261</v>
      </c>
      <c r="G716" s="7" t="s">
        <v>9</v>
      </c>
    </row>
    <row r="717" spans="1:7" x14ac:dyDescent="0.45">
      <c r="A717" t="s">
        <v>812</v>
      </c>
      <c r="B717" s="2" t="s">
        <v>32</v>
      </c>
      <c r="C717" s="3">
        <f>5641/(60*60*24)</f>
        <v>6.5289351851851848E-2</v>
      </c>
      <c r="D717" s="4">
        <f>1434/(60*60*24)</f>
        <v>1.6597222222222222E-2</v>
      </c>
      <c r="E717" s="5">
        <f>7636/(60*60*24)</f>
        <v>8.8379629629629627E-2</v>
      </c>
      <c r="F717" s="6">
        <f>25233/(60*60*24)</f>
        <v>0.29204861111111113</v>
      </c>
      <c r="G717" s="7" t="s">
        <v>9</v>
      </c>
    </row>
    <row r="718" spans="1:7" x14ac:dyDescent="0.45">
      <c r="A718" t="s">
        <v>813</v>
      </c>
      <c r="B718" s="2" t="s">
        <v>36</v>
      </c>
      <c r="C718" s="8" t="s">
        <v>12</v>
      </c>
      <c r="D718" s="4">
        <f>1829/(60*60*24)</f>
        <v>2.1168981481481483E-2</v>
      </c>
      <c r="E718" s="3">
        <f>7535/(60*60*24)</f>
        <v>8.7210648148148148E-2</v>
      </c>
      <c r="F718" s="5">
        <f>25416/(60*60*24)</f>
        <v>0.29416666666666669</v>
      </c>
      <c r="G718" s="7" t="s">
        <v>9</v>
      </c>
    </row>
    <row r="719" spans="1:7" x14ac:dyDescent="0.45">
      <c r="A719" t="s">
        <v>814</v>
      </c>
      <c r="B719" s="2" t="s">
        <v>34</v>
      </c>
      <c r="C719" s="8" t="s">
        <v>12</v>
      </c>
      <c r="D719" s="4">
        <f>1706/(60*60*24)</f>
        <v>1.9745370370370371E-2</v>
      </c>
      <c r="E719" s="3">
        <f>7295/(60*60*24)</f>
        <v>8.4432870370370366E-2</v>
      </c>
      <c r="F719" s="5">
        <f>25192/(60*60*24)</f>
        <v>0.2915740740740741</v>
      </c>
      <c r="G719" s="7" t="s">
        <v>9</v>
      </c>
    </row>
    <row r="720" spans="1:7" x14ac:dyDescent="0.45">
      <c r="A720" t="s">
        <v>815</v>
      </c>
      <c r="B720" s="2" t="s">
        <v>38</v>
      </c>
      <c r="C720" s="8" t="s">
        <v>12</v>
      </c>
      <c r="D720" s="4">
        <f>1863/(60*60*24)</f>
        <v>2.1562499999999998E-2</v>
      </c>
      <c r="E720" s="3">
        <f>7160/(60*60*24)</f>
        <v>8.2870370370370372E-2</v>
      </c>
      <c r="F720" s="5">
        <f>23526/(60*60*24)</f>
        <v>0.27229166666666665</v>
      </c>
      <c r="G720" s="7" t="s">
        <v>9</v>
      </c>
    </row>
    <row r="721" spans="1:7" x14ac:dyDescent="0.45">
      <c r="A721" t="s">
        <v>816</v>
      </c>
      <c r="B721" s="2" t="s">
        <v>40</v>
      </c>
      <c r="C721" s="8" t="s">
        <v>12</v>
      </c>
      <c r="D721" s="4">
        <f>1743/(60*60*24)</f>
        <v>2.0173611111111111E-2</v>
      </c>
      <c r="E721" s="3">
        <f>6975/(60*60*24)</f>
        <v>8.0729166666666671E-2</v>
      </c>
      <c r="F721" s="5">
        <f>22717/(60*60*24)</f>
        <v>0.26292824074074073</v>
      </c>
      <c r="G721" s="7" t="s">
        <v>9</v>
      </c>
    </row>
    <row r="722" spans="1:7" x14ac:dyDescent="0.45">
      <c r="A722" t="s">
        <v>817</v>
      </c>
      <c r="B722" s="2" t="s">
        <v>44</v>
      </c>
      <c r="C722" s="8" t="s">
        <v>12</v>
      </c>
      <c r="D722" s="4">
        <f>1623/(60*60*24)</f>
        <v>1.8784722222222223E-2</v>
      </c>
      <c r="E722" s="3">
        <f>6743/(60*60*24)</f>
        <v>7.8043981481481478E-2</v>
      </c>
      <c r="F722" s="5">
        <f>21857/(60*60*24)</f>
        <v>0.25297453703703704</v>
      </c>
      <c r="G722" s="7" t="s">
        <v>9</v>
      </c>
    </row>
    <row r="723" spans="1:7" x14ac:dyDescent="0.45">
      <c r="A723" t="s">
        <v>818</v>
      </c>
      <c r="B723" s="2" t="s">
        <v>42</v>
      </c>
      <c r="C723" s="8" t="s">
        <v>12</v>
      </c>
      <c r="D723" s="4">
        <f>1728/(60*60*24)</f>
        <v>0.02</v>
      </c>
      <c r="E723" s="3">
        <f>6590/(60*60*24)</f>
        <v>7.6273148148148145E-2</v>
      </c>
      <c r="F723" s="5">
        <f>21633/(60*60*24)</f>
        <v>0.25038194444444445</v>
      </c>
      <c r="G723" s="7" t="s">
        <v>9</v>
      </c>
    </row>
    <row r="724" spans="1:7" x14ac:dyDescent="0.45">
      <c r="A724" t="s">
        <v>819</v>
      </c>
      <c r="B724" s="2" t="s">
        <v>48</v>
      </c>
      <c r="C724" s="3">
        <f>5076/(60*60*24)</f>
        <v>5.8749999999999997E-2</v>
      </c>
      <c r="D724" s="4">
        <f>1370/(60*60*24)</f>
        <v>1.5856481481481482E-2</v>
      </c>
      <c r="E724" s="5">
        <f>5990/(60*60*24)</f>
        <v>6.9328703703703698E-2</v>
      </c>
      <c r="F724" s="6">
        <f>20283/(60*60*24)</f>
        <v>0.23475694444444445</v>
      </c>
      <c r="G724" s="7" t="s">
        <v>9</v>
      </c>
    </row>
    <row r="725" spans="1:7" x14ac:dyDescent="0.45">
      <c r="A725" t="s">
        <v>820</v>
      </c>
      <c r="B725" s="2" t="s">
        <v>46</v>
      </c>
      <c r="C725" s="8" t="s">
        <v>12</v>
      </c>
      <c r="D725" s="4">
        <f>2332/(60*60*24)</f>
        <v>2.6990740740740742E-2</v>
      </c>
      <c r="E725" s="3">
        <f>6248/(60*60*24)</f>
        <v>7.2314814814814818E-2</v>
      </c>
      <c r="F725" s="5">
        <f>20923/(60*60*24)</f>
        <v>0.24216435185185184</v>
      </c>
      <c r="G725" s="7" t="s">
        <v>9</v>
      </c>
    </row>
    <row r="726" spans="1:7" x14ac:dyDescent="0.45">
      <c r="A726" t="s">
        <v>821</v>
      </c>
      <c r="B726" s="2" t="s">
        <v>50</v>
      </c>
      <c r="C726" s="3">
        <f>4813/(60*60*24)</f>
        <v>5.5706018518518516E-2</v>
      </c>
      <c r="D726" s="4">
        <f>1266/(60*60*24)</f>
        <v>1.4652777777777778E-2</v>
      </c>
      <c r="E726" s="5">
        <f>5755/(60*60*24)</f>
        <v>6.6608796296296291E-2</v>
      </c>
      <c r="F726" s="6">
        <f>19419/(60*60*24)</f>
        <v>0.22475694444444444</v>
      </c>
      <c r="G726" s="7" t="s">
        <v>9</v>
      </c>
    </row>
    <row r="727" spans="1:7" x14ac:dyDescent="0.45">
      <c r="A727" t="s">
        <v>822</v>
      </c>
      <c r="B727" s="2" t="s">
        <v>52</v>
      </c>
      <c r="C727" s="3">
        <f>4894/(60*60*24)</f>
        <v>5.6643518518518517E-2</v>
      </c>
      <c r="D727" s="4">
        <f>1139/(60*60*24)</f>
        <v>1.3182870370370371E-2</v>
      </c>
      <c r="E727" s="5">
        <f>5627/(60*60*24)</f>
        <v>6.5127314814814818E-2</v>
      </c>
      <c r="F727" s="6">
        <f>18958/(60*60*24)</f>
        <v>0.21942129629629631</v>
      </c>
      <c r="G727" s="7" t="s">
        <v>9</v>
      </c>
    </row>
    <row r="728" spans="1:7" x14ac:dyDescent="0.45">
      <c r="A728" t="s">
        <v>823</v>
      </c>
      <c r="B728" s="2" t="s">
        <v>54</v>
      </c>
      <c r="C728" s="5">
        <f>5696/(60*60*24)</f>
        <v>6.5925925925925929E-2</v>
      </c>
      <c r="D728" s="4">
        <f>1348/(60*60*24)</f>
        <v>1.5601851851851851E-2</v>
      </c>
      <c r="E728" s="3">
        <f>5554/(60*60*24)</f>
        <v>6.4282407407407413E-2</v>
      </c>
      <c r="F728" s="6">
        <f>18837/(60*60*24)</f>
        <v>0.21802083333333333</v>
      </c>
      <c r="G728" s="7" t="s">
        <v>9</v>
      </c>
    </row>
    <row r="729" spans="1:7" x14ac:dyDescent="0.45">
      <c r="A729" t="s">
        <v>824</v>
      </c>
      <c r="B729" s="2" t="s">
        <v>56</v>
      </c>
      <c r="C729" s="8" t="s">
        <v>12</v>
      </c>
      <c r="D729" s="4">
        <f>1290/(60*60*24)</f>
        <v>1.4930555555555556E-2</v>
      </c>
      <c r="E729" s="3">
        <f>5360/(60*60*24)</f>
        <v>6.2037037037037036E-2</v>
      </c>
      <c r="F729" s="5">
        <f>18149/(60*60*24)</f>
        <v>0.21005787037037038</v>
      </c>
      <c r="G729" s="7" t="s">
        <v>9</v>
      </c>
    </row>
    <row r="730" spans="1:7" x14ac:dyDescent="0.45">
      <c r="A730" t="s">
        <v>825</v>
      </c>
      <c r="B730" s="2" t="s">
        <v>60</v>
      </c>
      <c r="C730" s="5">
        <f>4797/(60*60*24)</f>
        <v>5.5520833333333332E-2</v>
      </c>
      <c r="D730" s="4">
        <f>791/(60*60*24)</f>
        <v>9.1550925925925931E-3</v>
      </c>
      <c r="E730" s="3">
        <f>4778/(60*60*24)</f>
        <v>5.5300925925925927E-2</v>
      </c>
      <c r="F730" s="6">
        <f>16722/(60*60*24)</f>
        <v>0.19354166666666667</v>
      </c>
      <c r="G730" s="7" t="s">
        <v>9</v>
      </c>
    </row>
    <row r="731" spans="1:7" x14ac:dyDescent="0.45">
      <c r="A731" t="s">
        <v>826</v>
      </c>
      <c r="B731" s="2" t="s">
        <v>58</v>
      </c>
      <c r="C731" s="8" t="s">
        <v>12</v>
      </c>
      <c r="D731" s="4">
        <f>1428/(60*60*24)</f>
        <v>1.6527777777777777E-2</v>
      </c>
      <c r="E731" s="3">
        <f>4920/(60*60*24)</f>
        <v>5.6944444444444443E-2</v>
      </c>
      <c r="F731" s="5">
        <f>17262/(60*60*24)</f>
        <v>0.19979166666666667</v>
      </c>
      <c r="G731" s="7" t="s">
        <v>9</v>
      </c>
    </row>
    <row r="732" spans="1:7" x14ac:dyDescent="0.45">
      <c r="A732" t="s">
        <v>827</v>
      </c>
      <c r="B732" s="2" t="s">
        <v>62</v>
      </c>
      <c r="C732" s="5">
        <f>4863/(60*60*24)</f>
        <v>5.6284722222222222E-2</v>
      </c>
      <c r="D732" s="4">
        <f>1342/(60*60*24)</f>
        <v>1.5532407407407408E-2</v>
      </c>
      <c r="E732" s="3">
        <f>4807/(60*60*24)</f>
        <v>5.5636574074074074E-2</v>
      </c>
      <c r="F732" s="6">
        <f>16074/(60*60*24)</f>
        <v>0.18604166666666666</v>
      </c>
      <c r="G732" s="7" t="s">
        <v>9</v>
      </c>
    </row>
    <row r="733" spans="1:7" x14ac:dyDescent="0.45">
      <c r="A733" t="s">
        <v>828</v>
      </c>
      <c r="B733" s="2" t="s">
        <v>64</v>
      </c>
      <c r="C733" s="8" t="s">
        <v>12</v>
      </c>
      <c r="D733" s="4">
        <f>1567/(60*60*24)</f>
        <v>1.8136574074074076E-2</v>
      </c>
      <c r="E733" s="3">
        <f>4723/(60*60*24)</f>
        <v>5.4664351851851853E-2</v>
      </c>
      <c r="F733" s="5">
        <f>15264/(60*60*24)</f>
        <v>0.17666666666666667</v>
      </c>
      <c r="G733" s="7" t="s">
        <v>9</v>
      </c>
    </row>
    <row r="734" spans="1:7" x14ac:dyDescent="0.45">
      <c r="A734" t="s">
        <v>829</v>
      </c>
      <c r="B734" s="2" t="s">
        <v>66</v>
      </c>
      <c r="C734" s="3">
        <f>4436/(60*60*24)</f>
        <v>5.1342592592592592E-2</v>
      </c>
      <c r="D734" s="4">
        <f>1423/(60*60*24)</f>
        <v>1.6469907407407409E-2</v>
      </c>
      <c r="E734" s="5">
        <f>4465/(60*60*24)</f>
        <v>5.167824074074074E-2</v>
      </c>
      <c r="F734" s="6">
        <f>14544/(60*60*24)</f>
        <v>0.16833333333333333</v>
      </c>
      <c r="G734" s="7" t="s">
        <v>9</v>
      </c>
    </row>
    <row r="735" spans="1:7" x14ac:dyDescent="0.45">
      <c r="A735" t="s">
        <v>830</v>
      </c>
      <c r="B735" s="2" t="s">
        <v>68</v>
      </c>
      <c r="C735" s="5">
        <f>4860/(60*60*24)</f>
        <v>5.6250000000000001E-2</v>
      </c>
      <c r="D735" s="4">
        <f>1179/(60*60*24)</f>
        <v>1.3645833333333333E-2</v>
      </c>
      <c r="E735" s="3">
        <f>4376/(60*60*24)</f>
        <v>5.064814814814815E-2</v>
      </c>
      <c r="F735" s="6">
        <f>13954/(60*60*24)</f>
        <v>0.16150462962962964</v>
      </c>
      <c r="G735" s="7" t="s">
        <v>9</v>
      </c>
    </row>
    <row r="736" spans="1:7" x14ac:dyDescent="0.45">
      <c r="A736" t="s">
        <v>831</v>
      </c>
      <c r="B736" s="2" t="s">
        <v>70</v>
      </c>
      <c r="C736" s="5">
        <f>5083/(60*60*24)</f>
        <v>5.8831018518518519E-2</v>
      </c>
      <c r="D736" s="4">
        <f>944/(60*60*24)</f>
        <v>1.0925925925925926E-2</v>
      </c>
      <c r="E736" s="3">
        <f>4210/(60*60*24)</f>
        <v>4.8726851851851855E-2</v>
      </c>
      <c r="F736" s="6">
        <f>13201/(60*60*24)</f>
        <v>0.15278935185185186</v>
      </c>
      <c r="G736" s="7" t="s">
        <v>9</v>
      </c>
    </row>
    <row r="737" spans="1:7" x14ac:dyDescent="0.45">
      <c r="A737" t="s">
        <v>832</v>
      </c>
      <c r="B737" s="2" t="s">
        <v>72</v>
      </c>
      <c r="C737" s="5">
        <f>5023/(60*60*24)</f>
        <v>5.8136574074074077E-2</v>
      </c>
      <c r="D737" s="4">
        <f>1316/(60*60*24)</f>
        <v>1.5231481481481481E-2</v>
      </c>
      <c r="E737" s="3">
        <f>4136/(60*60*24)</f>
        <v>4.7870370370370369E-2</v>
      </c>
      <c r="F737" s="6">
        <f>13193/(60*60*24)</f>
        <v>0.15269675925925927</v>
      </c>
      <c r="G737" s="7" t="s">
        <v>9</v>
      </c>
    </row>
    <row r="738" spans="1:7" x14ac:dyDescent="0.45">
      <c r="A738" t="s">
        <v>833</v>
      </c>
      <c r="B738" s="2" t="s">
        <v>74</v>
      </c>
      <c r="C738" s="8" t="s">
        <v>12</v>
      </c>
      <c r="D738" s="4">
        <f>804/(60*60*24)</f>
        <v>9.3055555555555548E-3</v>
      </c>
      <c r="E738" s="3">
        <f>4037/(60*60*24)</f>
        <v>4.6724537037037037E-2</v>
      </c>
      <c r="F738" s="5">
        <f>12318/(60*60*24)</f>
        <v>0.14256944444444444</v>
      </c>
      <c r="G738" s="7" t="s">
        <v>9</v>
      </c>
    </row>
    <row r="739" spans="1:7" x14ac:dyDescent="0.45">
      <c r="A739" t="s">
        <v>834</v>
      </c>
      <c r="B739" s="2" t="s">
        <v>76</v>
      </c>
      <c r="C739" s="8" t="s">
        <v>12</v>
      </c>
      <c r="D739" s="4">
        <f>865/(60*60*24)</f>
        <v>1.0011574074074074E-2</v>
      </c>
      <c r="E739" s="3">
        <f>3863/(60*60*24)</f>
        <v>4.4710648148148145E-2</v>
      </c>
      <c r="F739" s="5">
        <f>11820/(60*60*24)</f>
        <v>0.13680555555555557</v>
      </c>
      <c r="G739" s="7" t="s">
        <v>9</v>
      </c>
    </row>
    <row r="740" spans="1:7" x14ac:dyDescent="0.45">
      <c r="A740" t="s">
        <v>835</v>
      </c>
      <c r="B740" s="2" t="s">
        <v>80</v>
      </c>
      <c r="C740" s="5">
        <f>5230/(60*60*24)</f>
        <v>6.053240740740741E-2</v>
      </c>
      <c r="D740" s="4">
        <f>902/(60*60*24)</f>
        <v>1.0439814814814815E-2</v>
      </c>
      <c r="E740" s="3">
        <f>3195/(60*60*24)</f>
        <v>3.6979166666666667E-2</v>
      </c>
      <c r="F740" s="6">
        <f>10132/(60*60*24)</f>
        <v>0.11726851851851852</v>
      </c>
      <c r="G740" s="7" t="s">
        <v>9</v>
      </c>
    </row>
    <row r="741" spans="1:7" x14ac:dyDescent="0.45">
      <c r="A741" t="s">
        <v>836</v>
      </c>
      <c r="B741" s="2" t="s">
        <v>78</v>
      </c>
      <c r="C741" s="8" t="s">
        <v>12</v>
      </c>
      <c r="D741" s="4">
        <f>901/(60*60*24)</f>
        <v>1.0428240740740741E-2</v>
      </c>
      <c r="E741" s="3">
        <f>3310/(60*60*24)</f>
        <v>3.8310185185185183E-2</v>
      </c>
      <c r="F741" s="5">
        <f>11151/(60*60*24)</f>
        <v>0.1290625</v>
      </c>
      <c r="G741" s="7" t="s">
        <v>9</v>
      </c>
    </row>
    <row r="742" spans="1:7" x14ac:dyDescent="0.45">
      <c r="A742" t="s">
        <v>837</v>
      </c>
      <c r="B742" s="2" t="s">
        <v>82</v>
      </c>
      <c r="C742" s="5">
        <f>2589/(60*60*24)</f>
        <v>2.9965277777777778E-2</v>
      </c>
      <c r="D742" s="4">
        <f>1224/(60*60*24)</f>
        <v>1.4166666666666666E-2</v>
      </c>
      <c r="E742" s="3">
        <f>2458/(60*60*24)</f>
        <v>2.8449074074074075E-2</v>
      </c>
      <c r="F742" s="6">
        <f>8806/(60*60*24)</f>
        <v>0.1019212962962963</v>
      </c>
      <c r="G742" s="7" t="s">
        <v>9</v>
      </c>
    </row>
    <row r="743" spans="1:7" x14ac:dyDescent="0.45">
      <c r="A743" t="s">
        <v>838</v>
      </c>
      <c r="B743" s="2" t="s">
        <v>84</v>
      </c>
      <c r="C743" s="8" t="s">
        <v>12</v>
      </c>
      <c r="D743" s="4">
        <f>1332/(60*60*24)</f>
        <v>1.5416666666666667E-2</v>
      </c>
      <c r="E743" s="3">
        <f>3151/(60*60*24)</f>
        <v>3.6469907407407409E-2</v>
      </c>
      <c r="F743" s="5">
        <f>9441/(60*60*24)</f>
        <v>0.10927083333333333</v>
      </c>
      <c r="G743" s="7" t="s">
        <v>9</v>
      </c>
    </row>
    <row r="744" spans="1:7" x14ac:dyDescent="0.45">
      <c r="A744" t="s">
        <v>839</v>
      </c>
      <c r="B744" s="2" t="s">
        <v>88</v>
      </c>
      <c r="C744" s="3">
        <f>2240/(60*60*24)</f>
        <v>2.5925925925925925E-2</v>
      </c>
      <c r="D744" s="4">
        <f>1097/(60*60*24)</f>
        <v>1.269675925925926E-2</v>
      </c>
      <c r="E744" s="5">
        <f>2289/(60*60*24)</f>
        <v>2.6493055555555554E-2</v>
      </c>
      <c r="F744" s="6">
        <f>8198/(60*60*24)</f>
        <v>9.4884259259259265E-2</v>
      </c>
      <c r="G744" s="7" t="s">
        <v>9</v>
      </c>
    </row>
    <row r="745" spans="1:7" x14ac:dyDescent="0.45">
      <c r="A745" t="s">
        <v>840</v>
      </c>
      <c r="B745" s="2" t="s">
        <v>86</v>
      </c>
      <c r="C745" s="5">
        <f>2318/(60*60*24)</f>
        <v>2.6828703703703705E-2</v>
      </c>
      <c r="D745" s="4">
        <f>1017/(60*60*24)</f>
        <v>1.1770833333333333E-2</v>
      </c>
      <c r="E745" s="3">
        <f>2140/(60*60*24)</f>
        <v>2.476851851851852E-2</v>
      </c>
      <c r="F745" s="6">
        <f>7465/(60*60*24)</f>
        <v>8.6400462962962957E-2</v>
      </c>
      <c r="G745" s="7" t="s">
        <v>9</v>
      </c>
    </row>
    <row r="746" spans="1:7" x14ac:dyDescent="0.45">
      <c r="A746" t="s">
        <v>841</v>
      </c>
      <c r="B746" s="2" t="s">
        <v>90</v>
      </c>
      <c r="C746" s="8" t="s">
        <v>12</v>
      </c>
      <c r="D746" s="4">
        <f>840/(60*60*24)</f>
        <v>9.7222222222222224E-3</v>
      </c>
      <c r="E746" s="3">
        <f>2207/(60*60*24)</f>
        <v>2.554398148148148E-2</v>
      </c>
      <c r="F746" s="5">
        <f>7871/(60*60*24)</f>
        <v>9.1099537037037034E-2</v>
      </c>
      <c r="G746" s="7" t="s">
        <v>9</v>
      </c>
    </row>
    <row r="747" spans="1:7" x14ac:dyDescent="0.45">
      <c r="A747" t="s">
        <v>842</v>
      </c>
      <c r="B747" s="2" t="s">
        <v>92</v>
      </c>
      <c r="C747" s="8" t="s">
        <v>12</v>
      </c>
      <c r="D747" s="4">
        <f>995/(60*60*24)</f>
        <v>1.1516203703703704E-2</v>
      </c>
      <c r="E747" s="3">
        <f>2544/(60*60*24)</f>
        <v>2.9444444444444443E-2</v>
      </c>
      <c r="F747" s="5">
        <f>7968/(60*60*24)</f>
        <v>9.2222222222222219E-2</v>
      </c>
      <c r="G747" s="7" t="s">
        <v>9</v>
      </c>
    </row>
    <row r="748" spans="1:7" x14ac:dyDescent="0.45">
      <c r="A748" t="s">
        <v>843</v>
      </c>
      <c r="B748" s="2" t="s">
        <v>94</v>
      </c>
      <c r="C748" s="8" t="s">
        <v>12</v>
      </c>
      <c r="D748" s="4">
        <f>1074/(60*60*24)</f>
        <v>1.2430555555555556E-2</v>
      </c>
      <c r="E748" s="3">
        <f>2324/(60*60*24)</f>
        <v>2.6898148148148147E-2</v>
      </c>
      <c r="F748" s="5">
        <f>8204/(60*60*24)</f>
        <v>9.4953703703703707E-2</v>
      </c>
      <c r="G748" s="7" t="s">
        <v>9</v>
      </c>
    </row>
    <row r="749" spans="1:7" x14ac:dyDescent="0.45">
      <c r="A749" t="s">
        <v>844</v>
      </c>
      <c r="B749" s="2" t="s">
        <v>96</v>
      </c>
      <c r="C749" s="8" t="s">
        <v>12</v>
      </c>
      <c r="D749" s="4">
        <f>1236/(60*60*24)</f>
        <v>1.4305555555555556E-2</v>
      </c>
      <c r="E749" s="3">
        <f>2423/(60*60*24)</f>
        <v>2.8043981481481482E-2</v>
      </c>
      <c r="F749" s="5">
        <f>7917/(60*60*24)</f>
        <v>9.1631944444444446E-2</v>
      </c>
      <c r="G749" s="7" t="s">
        <v>9</v>
      </c>
    </row>
    <row r="750" spans="1:7" x14ac:dyDescent="0.45">
      <c r="A750" t="s">
        <v>845</v>
      </c>
      <c r="B750" s="2" t="s">
        <v>98</v>
      </c>
      <c r="C750" s="8" t="s">
        <v>12</v>
      </c>
      <c r="D750" s="4">
        <f>1236/(60*60*24)</f>
        <v>1.4305555555555556E-2</v>
      </c>
      <c r="E750" s="3">
        <f>2256/(60*60*24)</f>
        <v>2.6111111111111113E-2</v>
      </c>
      <c r="F750" s="5">
        <f>7312/(60*60*24)</f>
        <v>8.4629629629629624E-2</v>
      </c>
      <c r="G750" s="7" t="s">
        <v>9</v>
      </c>
    </row>
    <row r="751" spans="1:7" x14ac:dyDescent="0.45">
      <c r="A751" t="s">
        <v>846</v>
      </c>
      <c r="B751" s="2" t="s">
        <v>100</v>
      </c>
      <c r="C751" s="8" t="s">
        <v>12</v>
      </c>
      <c r="D751" s="4">
        <f>1002/(60*60*24)</f>
        <v>1.1597222222222222E-2</v>
      </c>
      <c r="E751" s="3">
        <f>2089/(60*60*24)</f>
        <v>2.417824074074074E-2</v>
      </c>
      <c r="F751" s="5">
        <f>6714/(60*60*24)</f>
        <v>7.7708333333333338E-2</v>
      </c>
      <c r="G751" s="7" t="s">
        <v>9</v>
      </c>
    </row>
    <row r="752" spans="1:7" x14ac:dyDescent="0.45">
      <c r="A752" t="s">
        <v>847</v>
      </c>
      <c r="B752" s="2" t="s">
        <v>104</v>
      </c>
      <c r="C752" s="8" t="s">
        <v>12</v>
      </c>
      <c r="D752" s="4">
        <f>836/(60*60*24)</f>
        <v>9.6759259259259264E-3</v>
      </c>
      <c r="E752" s="3">
        <f>1650/(60*60*24)</f>
        <v>1.9097222222222224E-2</v>
      </c>
      <c r="F752" s="5">
        <f>5349/(60*60*24)</f>
        <v>6.190972222222222E-2</v>
      </c>
      <c r="G752" s="7" t="s">
        <v>9</v>
      </c>
    </row>
    <row r="753" spans="1:7" x14ac:dyDescent="0.45">
      <c r="A753" t="s">
        <v>848</v>
      </c>
      <c r="B753" s="2" t="s">
        <v>102</v>
      </c>
      <c r="C753" s="8" t="s">
        <v>12</v>
      </c>
      <c r="D753" s="4">
        <f>1036/(60*60*24)</f>
        <v>1.1990740740740741E-2</v>
      </c>
      <c r="E753" s="3">
        <f>1934/(60*60*24)</f>
        <v>2.238425925925926E-2</v>
      </c>
      <c r="F753" s="5">
        <f>6194/(60*60*24)</f>
        <v>7.1689814814814817E-2</v>
      </c>
      <c r="G753" s="7" t="s">
        <v>9</v>
      </c>
    </row>
    <row r="754" spans="1:7" x14ac:dyDescent="0.45">
      <c r="A754" t="s">
        <v>849</v>
      </c>
      <c r="B754" s="2" t="s">
        <v>106</v>
      </c>
      <c r="C754" s="5">
        <f>2970/(60*60*24)</f>
        <v>3.4375000000000003E-2</v>
      </c>
      <c r="D754" s="4">
        <f>958/(60*60*24)</f>
        <v>1.1087962962962963E-2</v>
      </c>
      <c r="E754" s="3">
        <f>1967/(60*60*24)</f>
        <v>2.2766203703703705E-2</v>
      </c>
      <c r="F754" s="6">
        <f>6719/(60*60*24)</f>
        <v>7.7766203703703699E-2</v>
      </c>
      <c r="G754" s="7" t="s">
        <v>9</v>
      </c>
    </row>
    <row r="755" spans="1:7" x14ac:dyDescent="0.45">
      <c r="A755" t="s">
        <v>850</v>
      </c>
      <c r="B755" s="2" t="s">
        <v>108</v>
      </c>
      <c r="C755" s="5">
        <f>2085/(60*60*24)</f>
        <v>2.4131944444444445E-2</v>
      </c>
      <c r="D755" s="4">
        <f>910/(60*60*24)</f>
        <v>1.0532407407407407E-2</v>
      </c>
      <c r="E755" s="3">
        <f>1828/(60*60*24)</f>
        <v>2.1157407407407406E-2</v>
      </c>
      <c r="F755" s="6">
        <f>6092/(60*60*24)</f>
        <v>7.0509259259259258E-2</v>
      </c>
      <c r="G755" s="7" t="s">
        <v>9</v>
      </c>
    </row>
    <row r="756" spans="1:7" x14ac:dyDescent="0.45">
      <c r="A756" t="s">
        <v>851</v>
      </c>
      <c r="B756" s="2" t="s">
        <v>110</v>
      </c>
      <c r="C756" s="5">
        <f>2584/(60*60*24)</f>
        <v>2.9907407407407407E-2</v>
      </c>
      <c r="D756" s="4">
        <f>994/(60*60*24)</f>
        <v>1.150462962962963E-2</v>
      </c>
      <c r="E756" s="3">
        <f>1949/(60*60*24)</f>
        <v>2.255787037037037E-2</v>
      </c>
      <c r="F756" s="6">
        <f>6633/(60*60*24)</f>
        <v>7.677083333333333E-2</v>
      </c>
      <c r="G756" s="7" t="s">
        <v>9</v>
      </c>
    </row>
    <row r="757" spans="1:7" x14ac:dyDescent="0.45">
      <c r="A757" t="s">
        <v>852</v>
      </c>
      <c r="B757" s="2" t="s">
        <v>112</v>
      </c>
      <c r="C757" s="5">
        <f>2390/(60*60*24)</f>
        <v>2.7662037037037037E-2</v>
      </c>
      <c r="D757" s="4">
        <f>1039/(60*60*24)</f>
        <v>1.2025462962962963E-2</v>
      </c>
      <c r="E757" s="3">
        <f>2259/(60*60*24)</f>
        <v>2.6145833333333333E-2</v>
      </c>
      <c r="F757" s="6">
        <f>7738/(60*60*24)</f>
        <v>8.9560185185185187E-2</v>
      </c>
      <c r="G757" s="7" t="s">
        <v>9</v>
      </c>
    </row>
    <row r="758" spans="1:7" x14ac:dyDescent="0.45">
      <c r="A758" t="s">
        <v>853</v>
      </c>
      <c r="B758" s="2" t="s">
        <v>114</v>
      </c>
      <c r="C758" s="8" t="s">
        <v>12</v>
      </c>
      <c r="D758" s="4">
        <f>1153/(60*60*24)</f>
        <v>1.3344907407407408E-2</v>
      </c>
      <c r="E758" s="3">
        <f>2450/(60*60*24)</f>
        <v>2.8356481481481483E-2</v>
      </c>
      <c r="F758" s="5">
        <f>8016/(60*60*24)</f>
        <v>9.2777777777777778E-2</v>
      </c>
      <c r="G758" s="7" t="s">
        <v>9</v>
      </c>
    </row>
    <row r="759" spans="1:7" x14ac:dyDescent="0.45">
      <c r="A759" t="s">
        <v>854</v>
      </c>
      <c r="B759" s="2" t="s">
        <v>116</v>
      </c>
      <c r="C759" s="8" t="s">
        <v>12</v>
      </c>
      <c r="D759" s="4">
        <f>1369/(60*60*24)</f>
        <v>1.5844907407407408E-2</v>
      </c>
      <c r="E759" s="3">
        <f>2827/(60*60*24)</f>
        <v>3.2719907407407406E-2</v>
      </c>
      <c r="F759" s="5">
        <f>8341/(60*60*24)</f>
        <v>9.6539351851851848E-2</v>
      </c>
      <c r="G759" s="7" t="s">
        <v>9</v>
      </c>
    </row>
    <row r="760" spans="1:7" x14ac:dyDescent="0.45">
      <c r="A760" t="s">
        <v>855</v>
      </c>
      <c r="B760" s="2" t="s">
        <v>120</v>
      </c>
      <c r="C760" s="3">
        <f>2040/(60*60*24)</f>
        <v>2.361111111111111E-2</v>
      </c>
      <c r="D760" s="4">
        <f>1450/(60*60*24)</f>
        <v>1.6782407407407409E-2</v>
      </c>
      <c r="E760" s="5">
        <f>3130/(60*60*24)</f>
        <v>3.622685185185185E-2</v>
      </c>
      <c r="F760" s="6">
        <f>10278/(60*60*24)</f>
        <v>0.11895833333333333</v>
      </c>
      <c r="G760" s="7" t="s">
        <v>9</v>
      </c>
    </row>
    <row r="761" spans="1:7" x14ac:dyDescent="0.45">
      <c r="A761" t="s">
        <v>856</v>
      </c>
      <c r="B761" s="2" t="s">
        <v>118</v>
      </c>
      <c r="C761" s="8" t="s">
        <v>12</v>
      </c>
      <c r="D761" s="4">
        <f>1429/(60*60*24)</f>
        <v>1.653935185185185E-2</v>
      </c>
      <c r="E761" s="3">
        <f>2869/(60*60*24)</f>
        <v>3.3206018518518517E-2</v>
      </c>
      <c r="F761" s="5">
        <f>9341/(60*60*24)</f>
        <v>0.10811342592592593</v>
      </c>
      <c r="G761" s="7" t="s">
        <v>9</v>
      </c>
    </row>
    <row r="762" spans="1:7" x14ac:dyDescent="0.45">
      <c r="A762" t="s">
        <v>857</v>
      </c>
      <c r="B762" s="2" t="s">
        <v>124</v>
      </c>
      <c r="C762" s="3">
        <f>1914/(60*60*24)</f>
        <v>2.2152777777777778E-2</v>
      </c>
      <c r="D762" s="4">
        <f>1376/(60*60*24)</f>
        <v>1.5925925925925927E-2</v>
      </c>
      <c r="E762" s="5">
        <f>3082/(60*60*24)</f>
        <v>3.5671296296296298E-2</v>
      </c>
      <c r="F762" s="6">
        <f>10498/(60*60*24)</f>
        <v>0.12150462962962963</v>
      </c>
      <c r="G762" s="7" t="s">
        <v>9</v>
      </c>
    </row>
    <row r="763" spans="1:7" x14ac:dyDescent="0.45">
      <c r="A763" t="s">
        <v>858</v>
      </c>
      <c r="B763" s="2" t="s">
        <v>122</v>
      </c>
      <c r="C763" s="8" t="s">
        <v>12</v>
      </c>
      <c r="D763" s="4">
        <f>1476/(60*60*24)</f>
        <v>1.7083333333333332E-2</v>
      </c>
      <c r="E763" s="3">
        <f>3297/(60*60*24)</f>
        <v>3.815972222222222E-2</v>
      </c>
      <c r="F763" s="5">
        <f>11266/(60*60*24)</f>
        <v>0.13039351851851852</v>
      </c>
      <c r="G763" s="7" t="s">
        <v>9</v>
      </c>
    </row>
    <row r="764" spans="1:7" x14ac:dyDescent="0.45">
      <c r="A764" t="s">
        <v>859</v>
      </c>
      <c r="B764" s="2" t="s">
        <v>126</v>
      </c>
      <c r="C764" s="8" t="s">
        <v>12</v>
      </c>
      <c r="D764" s="4">
        <f>1441/(60*60*24)</f>
        <v>1.667824074074074E-2</v>
      </c>
      <c r="E764" s="3">
        <f>3392/(60*60*24)</f>
        <v>3.9259259259259258E-2</v>
      </c>
      <c r="F764" s="5">
        <f>11561/(60*60*24)</f>
        <v>0.13380787037037037</v>
      </c>
      <c r="G764" s="7" t="s">
        <v>9</v>
      </c>
    </row>
    <row r="765" spans="1:7" x14ac:dyDescent="0.45">
      <c r="A765" t="s">
        <v>860</v>
      </c>
      <c r="B765" s="2" t="s">
        <v>128</v>
      </c>
      <c r="C765" s="8" t="s">
        <v>12</v>
      </c>
      <c r="D765" s="4">
        <f>1333/(60*60*24)</f>
        <v>1.5428240740740741E-2</v>
      </c>
      <c r="E765" s="3">
        <f>3457/(60*60*24)</f>
        <v>4.0011574074074074E-2</v>
      </c>
      <c r="F765" s="5">
        <f>11968/(60*60*24)</f>
        <v>0.13851851851851851</v>
      </c>
      <c r="G765" s="7" t="s">
        <v>9</v>
      </c>
    </row>
    <row r="766" spans="1:7" x14ac:dyDescent="0.45">
      <c r="A766" t="s">
        <v>861</v>
      </c>
      <c r="B766" s="2" t="s">
        <v>132</v>
      </c>
      <c r="C766" s="5">
        <f>5418/(60*60*24)</f>
        <v>6.2708333333333338E-2</v>
      </c>
      <c r="D766" s="4">
        <f>1317/(60*60*24)</f>
        <v>1.5243055555555555E-2</v>
      </c>
      <c r="E766" s="3">
        <f>4209/(60*60*24)</f>
        <v>4.8715277777777781E-2</v>
      </c>
      <c r="F766" s="6">
        <f>13676/(60*60*24)</f>
        <v>0.15828703703703703</v>
      </c>
      <c r="G766" s="7" t="s">
        <v>9</v>
      </c>
    </row>
    <row r="767" spans="1:7" x14ac:dyDescent="0.45">
      <c r="A767" t="s">
        <v>862</v>
      </c>
      <c r="B767" s="2" t="s">
        <v>130</v>
      </c>
      <c r="C767" s="8" t="s">
        <v>12</v>
      </c>
      <c r="D767" s="4">
        <f>1393/(60*60*24)</f>
        <v>1.6122685185185184E-2</v>
      </c>
      <c r="E767" s="3">
        <f>3722/(60*60*24)</f>
        <v>4.3078703703703702E-2</v>
      </c>
      <c r="F767" s="5">
        <f>12860/(60*60*24)</f>
        <v>0.14884259259259258</v>
      </c>
      <c r="G767" s="7" t="s">
        <v>9</v>
      </c>
    </row>
    <row r="768" spans="1:7" x14ac:dyDescent="0.45">
      <c r="A768" t="s">
        <v>863</v>
      </c>
      <c r="B768" s="2" t="s">
        <v>136</v>
      </c>
      <c r="C768" s="5">
        <f>5365/(60*60*24)</f>
        <v>6.2094907407407404E-2</v>
      </c>
      <c r="D768" s="4">
        <f>1268/(60*60*24)</f>
        <v>1.4675925925925926E-2</v>
      </c>
      <c r="E768" s="3">
        <f>4221/(60*60*24)</f>
        <v>4.8854166666666664E-2</v>
      </c>
      <c r="F768" s="6">
        <f>13615/(60*60*24)</f>
        <v>0.15758101851851852</v>
      </c>
      <c r="G768" s="7" t="s">
        <v>9</v>
      </c>
    </row>
    <row r="769" spans="1:7" x14ac:dyDescent="0.45">
      <c r="A769" t="s">
        <v>864</v>
      </c>
      <c r="B769" s="2" t="s">
        <v>134</v>
      </c>
      <c r="C769" s="8" t="s">
        <v>12</v>
      </c>
      <c r="D769" s="4">
        <f>1543/(60*60*24)</f>
        <v>1.7858796296296296E-2</v>
      </c>
      <c r="E769" s="3">
        <f>4443/(60*60*24)</f>
        <v>5.1423611111111114E-2</v>
      </c>
      <c r="F769" s="5">
        <f>14649/(60*60*24)</f>
        <v>0.16954861111111111</v>
      </c>
      <c r="G769" s="7" t="s">
        <v>9</v>
      </c>
    </row>
    <row r="770" spans="1:7" x14ac:dyDescent="0.45">
      <c r="A770" t="s">
        <v>865</v>
      </c>
      <c r="B770" s="2" t="s">
        <v>140</v>
      </c>
      <c r="C770" s="3">
        <f>4033/(60*60*24)</f>
        <v>4.6678240740740742E-2</v>
      </c>
      <c r="D770" s="4">
        <f>1494/(60*60*24)</f>
        <v>1.7291666666666667E-2</v>
      </c>
      <c r="E770" s="5">
        <f>5014/(60*60*24)</f>
        <v>5.8032407407407408E-2</v>
      </c>
      <c r="F770" s="6">
        <f>16172/(60*60*24)</f>
        <v>0.18717592592592591</v>
      </c>
      <c r="G770" s="7" t="s">
        <v>9</v>
      </c>
    </row>
    <row r="771" spans="1:7" x14ac:dyDescent="0.45">
      <c r="A771" t="s">
        <v>866</v>
      </c>
      <c r="B771" s="2" t="s">
        <v>138</v>
      </c>
      <c r="C771" s="8" t="s">
        <v>12</v>
      </c>
      <c r="D771" s="4">
        <f>1462/(60*60*24)</f>
        <v>1.6921296296296295E-2</v>
      </c>
      <c r="E771" s="3">
        <f>4724/(60*60*24)</f>
        <v>5.4675925925925926E-2</v>
      </c>
      <c r="F771" s="5">
        <f>15043/(60*60*24)</f>
        <v>0.1741087962962963</v>
      </c>
      <c r="G771" s="7" t="s">
        <v>9</v>
      </c>
    </row>
    <row r="772" spans="1:7" x14ac:dyDescent="0.45">
      <c r="A772" t="s">
        <v>867</v>
      </c>
      <c r="B772" s="2" t="s">
        <v>142</v>
      </c>
      <c r="C772" s="3">
        <f>4138/(60*60*24)</f>
        <v>4.7893518518518516E-2</v>
      </c>
      <c r="D772" s="4">
        <f>1585/(60*60*24)</f>
        <v>1.8344907407407407E-2</v>
      </c>
      <c r="E772" s="5">
        <f>5121/(60*60*24)</f>
        <v>5.9270833333333335E-2</v>
      </c>
      <c r="F772" s="6">
        <f>17168/(60*60*24)</f>
        <v>0.19870370370370372</v>
      </c>
      <c r="G772" s="7" t="s">
        <v>9</v>
      </c>
    </row>
    <row r="773" spans="1:7" x14ac:dyDescent="0.45">
      <c r="A773" t="s">
        <v>868</v>
      </c>
      <c r="B773" s="2" t="s">
        <v>144</v>
      </c>
      <c r="C773" s="3">
        <f>3944/(60*60*24)</f>
        <v>4.5648148148148146E-2</v>
      </c>
      <c r="D773" s="4">
        <f>1559/(60*60*24)</f>
        <v>1.804398148148148E-2</v>
      </c>
      <c r="E773" s="5">
        <f>5110/(60*60*24)</f>
        <v>5.9143518518518519E-2</v>
      </c>
      <c r="F773" s="6">
        <f>17255/(60*60*24)</f>
        <v>0.19971064814814815</v>
      </c>
      <c r="G773" s="7" t="s">
        <v>9</v>
      </c>
    </row>
    <row r="774" spans="1:7" x14ac:dyDescent="0.45">
      <c r="A774" t="s">
        <v>869</v>
      </c>
      <c r="B774" s="2" t="s">
        <v>146</v>
      </c>
      <c r="C774" s="3">
        <f>4002/(60*60*24)</f>
        <v>4.6319444444444448E-2</v>
      </c>
      <c r="D774" s="4">
        <f>1578/(60*60*24)</f>
        <v>1.8263888888888889E-2</v>
      </c>
      <c r="E774" s="5">
        <f>5398/(60*60*24)</f>
        <v>6.2476851851851853E-2</v>
      </c>
      <c r="F774" s="6">
        <f>18186/(60*60*24)</f>
        <v>0.21048611111111112</v>
      </c>
      <c r="G774" s="7" t="s">
        <v>9</v>
      </c>
    </row>
    <row r="775" spans="1:7" x14ac:dyDescent="0.45">
      <c r="A775" t="s">
        <v>870</v>
      </c>
      <c r="B775" s="2" t="s">
        <v>148</v>
      </c>
      <c r="C775" s="8" t="s">
        <v>12</v>
      </c>
      <c r="D775" s="4">
        <f>1763/(60*60*24)</f>
        <v>2.0405092592592593E-2</v>
      </c>
      <c r="E775" s="3">
        <f>5964/(60*60*24)</f>
        <v>6.9027777777777771E-2</v>
      </c>
      <c r="F775" s="5">
        <f>18612/(60*60*24)</f>
        <v>0.21541666666666667</v>
      </c>
      <c r="G775" s="7" t="s">
        <v>9</v>
      </c>
    </row>
    <row r="776" spans="1:7" x14ac:dyDescent="0.45">
      <c r="A776" t="s">
        <v>871</v>
      </c>
      <c r="B776" s="2" t="s">
        <v>152</v>
      </c>
      <c r="C776" s="3">
        <f>5882/(60*60*24)</f>
        <v>6.8078703703703697E-2</v>
      </c>
      <c r="D776" s="4">
        <f>1471/(60*60*24)</f>
        <v>1.7025462962962964E-2</v>
      </c>
      <c r="E776" s="5">
        <f>5981/(60*60*24)</f>
        <v>6.9224537037037043E-2</v>
      </c>
      <c r="F776" s="6">
        <f>20638/(60*60*24)</f>
        <v>0.23886574074074074</v>
      </c>
      <c r="G776" s="7" t="s">
        <v>9</v>
      </c>
    </row>
    <row r="777" spans="1:7" x14ac:dyDescent="0.45">
      <c r="A777" t="s">
        <v>872</v>
      </c>
      <c r="B777" s="2" t="s">
        <v>150</v>
      </c>
      <c r="C777" s="8" t="s">
        <v>12</v>
      </c>
      <c r="D777" s="4">
        <f>1568/(60*60*24)</f>
        <v>1.8148148148148149E-2</v>
      </c>
      <c r="E777" s="3">
        <f>5839/(60*60*24)</f>
        <v>6.7581018518518512E-2</v>
      </c>
      <c r="F777" s="5">
        <f>19520/(60*60*24)</f>
        <v>0.22592592592592592</v>
      </c>
      <c r="G777" s="7" t="s">
        <v>9</v>
      </c>
    </row>
    <row r="778" spans="1:7" x14ac:dyDescent="0.45">
      <c r="A778" t="s">
        <v>873</v>
      </c>
      <c r="B778" s="2" t="s">
        <v>154</v>
      </c>
      <c r="C778" s="3">
        <f>5826/(60*60*24)</f>
        <v>6.7430555555555549E-2</v>
      </c>
      <c r="D778" s="4">
        <f>1601/(60*60*24)</f>
        <v>1.8530092592592591E-2</v>
      </c>
      <c r="E778" s="5">
        <f>6012/(60*60*24)</f>
        <v>6.958333333333333E-2</v>
      </c>
      <c r="F778" s="6">
        <f>20856/(60*60*24)</f>
        <v>0.24138888888888888</v>
      </c>
      <c r="G778" s="7" t="s">
        <v>9</v>
      </c>
    </row>
    <row r="779" spans="1:7" x14ac:dyDescent="0.45">
      <c r="A779" t="s">
        <v>874</v>
      </c>
      <c r="B779" s="2" t="s">
        <v>156</v>
      </c>
      <c r="C779" s="3">
        <f>5622/(60*60*24)</f>
        <v>6.5069444444444444E-2</v>
      </c>
      <c r="D779" s="4">
        <f>1698/(60*60*24)</f>
        <v>1.9652777777777779E-2</v>
      </c>
      <c r="E779" s="5">
        <f>6324/(60*60*24)</f>
        <v>7.3194444444444451E-2</v>
      </c>
      <c r="F779" s="6">
        <f>21999/(60*60*24)</f>
        <v>0.25461805555555556</v>
      </c>
      <c r="G779" s="7" t="s">
        <v>9</v>
      </c>
    </row>
    <row r="780" spans="1:7" x14ac:dyDescent="0.45">
      <c r="A780" t="s">
        <v>875</v>
      </c>
      <c r="B780" s="2" t="s">
        <v>160</v>
      </c>
      <c r="C780" s="3">
        <f>5614/(60*60*24)</f>
        <v>6.4976851851851855E-2</v>
      </c>
      <c r="D780" s="4">
        <f>1729/(60*60*24)</f>
        <v>2.0011574074074074E-2</v>
      </c>
      <c r="E780" s="5">
        <f>6487/(60*60*24)</f>
        <v>7.5081018518518519E-2</v>
      </c>
      <c r="F780" s="6">
        <f>22728/(60*60*24)</f>
        <v>0.26305555555555554</v>
      </c>
      <c r="G780" s="7" t="s">
        <v>9</v>
      </c>
    </row>
    <row r="781" spans="1:7" x14ac:dyDescent="0.45">
      <c r="A781" t="s">
        <v>876</v>
      </c>
      <c r="B781" s="2" t="s">
        <v>158</v>
      </c>
      <c r="C781" s="3">
        <f>5714/(60*60*24)</f>
        <v>6.6134259259259254E-2</v>
      </c>
      <c r="D781" s="4">
        <f>1758/(60*60*24)</f>
        <v>2.0347222222222221E-2</v>
      </c>
      <c r="E781" s="5">
        <f>6710/(60*60*24)</f>
        <v>7.7662037037037043E-2</v>
      </c>
      <c r="F781" s="6">
        <f>23399/(60*60*24)</f>
        <v>0.27082175925925928</v>
      </c>
      <c r="G781" s="7" t="s">
        <v>9</v>
      </c>
    </row>
    <row r="782" spans="1:7" x14ac:dyDescent="0.45">
      <c r="A782" t="s">
        <v>877</v>
      </c>
      <c r="B782" s="2" t="s">
        <v>162</v>
      </c>
      <c r="C782" s="3">
        <f>5253/(60*60*24)</f>
        <v>6.0798611111111109E-2</v>
      </c>
      <c r="D782" s="4">
        <f>1803/(60*60*24)</f>
        <v>2.0868055555555556E-2</v>
      </c>
      <c r="E782" s="5">
        <f>6885/(60*60*24)</f>
        <v>7.9687499999999994E-2</v>
      </c>
      <c r="F782" s="6">
        <f>23965/(60*60*24)</f>
        <v>0.27737268518518521</v>
      </c>
      <c r="G782" s="7" t="s">
        <v>9</v>
      </c>
    </row>
    <row r="783" spans="1:7" x14ac:dyDescent="0.45">
      <c r="A783" t="s">
        <v>878</v>
      </c>
      <c r="B783" s="2" t="s">
        <v>164</v>
      </c>
      <c r="C783" s="3">
        <f>5831/(60*60*24)</f>
        <v>6.7488425925925924E-2</v>
      </c>
      <c r="D783" s="4">
        <f>1876/(60*60*24)</f>
        <v>2.1712962962962962E-2</v>
      </c>
      <c r="E783" s="5">
        <f>7095/(60*60*24)</f>
        <v>8.2118055555555555E-2</v>
      </c>
      <c r="F783" s="6">
        <f>24701/(60*60*24)</f>
        <v>0.28589120370370369</v>
      </c>
      <c r="G783" s="7" t="s">
        <v>9</v>
      </c>
    </row>
    <row r="784" spans="1:7" x14ac:dyDescent="0.45">
      <c r="A784" t="s">
        <v>879</v>
      </c>
      <c r="B784" s="2" t="s">
        <v>168</v>
      </c>
      <c r="C784" s="3">
        <f>4984/(60*60*24)</f>
        <v>5.7685185185185187E-2</v>
      </c>
      <c r="D784" s="4">
        <f>1983/(60*60*24)</f>
        <v>2.2951388888888889E-2</v>
      </c>
      <c r="E784" s="5">
        <f>7318/(60*60*24)</f>
        <v>8.4699074074074079E-2</v>
      </c>
      <c r="F784" s="6">
        <f>25870/(60*60*24)</f>
        <v>0.29942129629629627</v>
      </c>
      <c r="G784" s="7" t="s">
        <v>9</v>
      </c>
    </row>
    <row r="785" spans="1:7" x14ac:dyDescent="0.45">
      <c r="A785" t="s">
        <v>880</v>
      </c>
      <c r="B785" s="2" t="s">
        <v>166</v>
      </c>
      <c r="C785" s="8" t="s">
        <v>12</v>
      </c>
      <c r="D785" s="4">
        <f>2063/(60*60*24)</f>
        <v>2.3877314814814816E-2</v>
      </c>
      <c r="E785" s="3">
        <f>7789/(60*60*24)</f>
        <v>9.015046296296296E-2</v>
      </c>
      <c r="F785" s="5">
        <f>27219/(60*60*24)</f>
        <v>0.31503472222222223</v>
      </c>
      <c r="G785" s="7" t="s">
        <v>9</v>
      </c>
    </row>
    <row r="786" spans="1:7" x14ac:dyDescent="0.45">
      <c r="A786" t="s">
        <v>881</v>
      </c>
      <c r="B786" s="2" t="s">
        <v>170</v>
      </c>
      <c r="C786" s="8" t="s">
        <v>12</v>
      </c>
      <c r="D786" s="4">
        <f>2136/(60*60*24)</f>
        <v>2.4722222222222222E-2</v>
      </c>
      <c r="E786" s="3">
        <f>7959/(60*60*24)</f>
        <v>9.211805555555555E-2</v>
      </c>
      <c r="F786" s="5">
        <f>27856/(60*60*24)</f>
        <v>0.32240740740740742</v>
      </c>
      <c r="G786" s="7" t="s">
        <v>9</v>
      </c>
    </row>
    <row r="787" spans="1:7" x14ac:dyDescent="0.45">
      <c r="A787" t="s">
        <v>882</v>
      </c>
      <c r="B787" s="2" t="s">
        <v>172</v>
      </c>
      <c r="C787" s="8" t="s">
        <v>12</v>
      </c>
      <c r="D787" s="4">
        <f>1931/(60*60*24)</f>
        <v>2.2349537037037036E-2</v>
      </c>
      <c r="E787" s="3">
        <f>8124/(60*60*24)</f>
        <v>9.402777777777778E-2</v>
      </c>
      <c r="F787" s="5">
        <f>28598/(60*60*24)</f>
        <v>0.33099537037037036</v>
      </c>
      <c r="G787" s="7" t="s">
        <v>9</v>
      </c>
    </row>
    <row r="788" spans="1:7" x14ac:dyDescent="0.45">
      <c r="A788" t="s">
        <v>883</v>
      </c>
      <c r="B788" s="2" t="s">
        <v>176</v>
      </c>
      <c r="C788" s="8" t="s">
        <v>12</v>
      </c>
      <c r="D788" s="4">
        <f>1980/(60*60*24)</f>
        <v>2.2916666666666665E-2</v>
      </c>
      <c r="E788" s="3">
        <f>8460/(60*60*24)</f>
        <v>9.7916666666666666E-2</v>
      </c>
      <c r="F788" s="5">
        <f>29632/(60*60*24)</f>
        <v>0.34296296296296297</v>
      </c>
      <c r="G788" s="7" t="s">
        <v>9</v>
      </c>
    </row>
    <row r="789" spans="1:7" x14ac:dyDescent="0.45">
      <c r="A789" t="s">
        <v>884</v>
      </c>
      <c r="B789" s="2" t="s">
        <v>174</v>
      </c>
      <c r="C789" s="8" t="s">
        <v>12</v>
      </c>
      <c r="D789" s="4">
        <f>2068/(60*60*24)</f>
        <v>2.3935185185185184E-2</v>
      </c>
      <c r="E789" s="3">
        <f>8524/(60*60*24)</f>
        <v>9.8657407407407402E-2</v>
      </c>
      <c r="F789" s="5">
        <f>29933/(60*60*24)</f>
        <v>0.34644675925925927</v>
      </c>
      <c r="G789" s="7" t="s">
        <v>9</v>
      </c>
    </row>
    <row r="790" spans="1:7" x14ac:dyDescent="0.45">
      <c r="A790" t="s">
        <v>885</v>
      </c>
      <c r="B790" s="2" t="s">
        <v>180</v>
      </c>
      <c r="C790" s="8" t="s">
        <v>12</v>
      </c>
      <c r="D790" s="4">
        <f>2156/(60*60*24)</f>
        <v>2.4953703703703704E-2</v>
      </c>
      <c r="E790" s="3">
        <f>8754/(60*60*24)</f>
        <v>0.10131944444444445</v>
      </c>
      <c r="F790" s="5">
        <f>30448/(60*60*24)</f>
        <v>0.35240740740740739</v>
      </c>
      <c r="G790" s="7" t="s">
        <v>9</v>
      </c>
    </row>
    <row r="791" spans="1:7" x14ac:dyDescent="0.45">
      <c r="A791" t="s">
        <v>886</v>
      </c>
      <c r="B791" s="2" t="s">
        <v>178</v>
      </c>
      <c r="C791" s="8" t="s">
        <v>12</v>
      </c>
      <c r="D791" s="4">
        <f>2289/(60*60*24)</f>
        <v>2.6493055555555554E-2</v>
      </c>
      <c r="E791" s="3">
        <f>8540/(60*60*24)</f>
        <v>9.8842592592592593E-2</v>
      </c>
      <c r="F791" s="5">
        <f>31354/(60*60*24)</f>
        <v>0.36289351851851853</v>
      </c>
      <c r="G791" s="7" t="s">
        <v>9</v>
      </c>
    </row>
    <row r="792" spans="1:7" x14ac:dyDescent="0.45">
      <c r="A792" t="s">
        <v>887</v>
      </c>
      <c r="B792" s="2" t="s">
        <v>182</v>
      </c>
      <c r="C792" s="8" t="s">
        <v>12</v>
      </c>
      <c r="D792" s="4">
        <f>2244/(60*60*24)</f>
        <v>2.5972222222222223E-2</v>
      </c>
      <c r="E792" s="3">
        <f>9567/(60*60*24)</f>
        <v>0.11072916666666667</v>
      </c>
      <c r="F792" s="5">
        <f>32412/(60*60*24)</f>
        <v>0.37513888888888891</v>
      </c>
      <c r="G792" s="7" t="s">
        <v>9</v>
      </c>
    </row>
    <row r="793" spans="1:7" x14ac:dyDescent="0.45">
      <c r="A793" t="s">
        <v>888</v>
      </c>
      <c r="B793" s="2" t="s">
        <v>184</v>
      </c>
      <c r="C793" s="8" t="s">
        <v>12</v>
      </c>
      <c r="D793" s="4">
        <f>2228/(60*60*24)</f>
        <v>2.5787037037037035E-2</v>
      </c>
      <c r="E793" s="3">
        <f>8941/(60*60*24)</f>
        <v>0.1034837962962963</v>
      </c>
      <c r="F793" s="5">
        <f>34417/(60*60*24)</f>
        <v>0.39834490740740741</v>
      </c>
      <c r="G793" s="7" t="s">
        <v>9</v>
      </c>
    </row>
    <row r="794" spans="1:7" x14ac:dyDescent="0.45">
      <c r="A794" t="s">
        <v>889</v>
      </c>
      <c r="B794" s="2" t="s">
        <v>11</v>
      </c>
      <c r="C794" s="3">
        <f>5774/(60*60*24)</f>
        <v>6.682870370370371E-2</v>
      </c>
      <c r="D794" s="4">
        <f>2023/(60*60*24)</f>
        <v>2.3414351851851853E-2</v>
      </c>
      <c r="E794" s="5">
        <f>9672/(60*60*24)</f>
        <v>0.11194444444444444</v>
      </c>
      <c r="F794" s="6">
        <f>32851/(60*60*24)</f>
        <v>0.38021990740740741</v>
      </c>
      <c r="G794" s="7" t="s">
        <v>9</v>
      </c>
    </row>
    <row r="795" spans="1:7" x14ac:dyDescent="0.45">
      <c r="A795" t="s">
        <v>890</v>
      </c>
      <c r="B795" s="2" t="s">
        <v>8</v>
      </c>
      <c r="C795" s="8" t="s">
        <v>12</v>
      </c>
      <c r="D795" s="4">
        <f>2137/(60*60*24)</f>
        <v>2.4733796296296295E-2</v>
      </c>
      <c r="E795" s="3">
        <f>9881/(60*60*24)</f>
        <v>0.11436342592592592</v>
      </c>
      <c r="F795" s="5">
        <f>33359/(60*60*24)</f>
        <v>0.38609953703703703</v>
      </c>
      <c r="G795" s="7" t="s">
        <v>9</v>
      </c>
    </row>
    <row r="796" spans="1:7" x14ac:dyDescent="0.45">
      <c r="A796" t="s">
        <v>891</v>
      </c>
      <c r="B796" s="2" t="s">
        <v>14</v>
      </c>
      <c r="C796" s="3">
        <f>4532/(60*60*24)</f>
        <v>5.2453703703703704E-2</v>
      </c>
      <c r="D796" s="4">
        <f>1950/(60*60*24)</f>
        <v>2.2569444444444444E-2</v>
      </c>
      <c r="E796" s="5">
        <f>9404/(60*60*24)</f>
        <v>0.10884259259259259</v>
      </c>
      <c r="F796" s="6">
        <f>31996/(60*60*24)</f>
        <v>0.37032407407407408</v>
      </c>
      <c r="G796" s="7" t="s">
        <v>9</v>
      </c>
    </row>
    <row r="797" spans="1:7" x14ac:dyDescent="0.45">
      <c r="A797" t="s">
        <v>892</v>
      </c>
      <c r="B797" s="2" t="s">
        <v>16</v>
      </c>
      <c r="C797" s="3">
        <f>5088/(60*60*24)</f>
        <v>5.8888888888888886E-2</v>
      </c>
      <c r="D797" s="4">
        <f>1825/(60*60*24)</f>
        <v>2.1122685185185185E-2</v>
      </c>
      <c r="E797" s="5">
        <f>9194/(60*60*24)</f>
        <v>0.10641203703703704</v>
      </c>
      <c r="F797" s="6">
        <f>31258/(60*60*24)</f>
        <v>0.36178240740740741</v>
      </c>
      <c r="G797" s="7" t="s">
        <v>9</v>
      </c>
    </row>
    <row r="798" spans="1:7" x14ac:dyDescent="0.45">
      <c r="A798" t="s">
        <v>893</v>
      </c>
      <c r="B798" s="2" t="s">
        <v>18</v>
      </c>
      <c r="C798" s="3">
        <f>5670/(60*60*24)</f>
        <v>6.5625000000000003E-2</v>
      </c>
      <c r="D798" s="4">
        <f>1875/(60*60*24)</f>
        <v>2.1701388888888888E-2</v>
      </c>
      <c r="E798" s="5">
        <f>9539/(60*60*24)</f>
        <v>0.1104050925925926</v>
      </c>
      <c r="F798" s="6">
        <f>30844/(60*60*24)</f>
        <v>0.35699074074074072</v>
      </c>
      <c r="G798" s="7" t="s">
        <v>9</v>
      </c>
    </row>
    <row r="799" spans="1:7" x14ac:dyDescent="0.45">
      <c r="A799" t="s">
        <v>894</v>
      </c>
      <c r="B799" s="2" t="s">
        <v>20</v>
      </c>
      <c r="C799" s="3">
        <f>4715/(60*60*24)</f>
        <v>5.4571759259259257E-2</v>
      </c>
      <c r="D799" s="4">
        <f>1979/(60*60*24)</f>
        <v>2.2905092592592591E-2</v>
      </c>
      <c r="E799" s="5">
        <f>9205/(60*60*24)</f>
        <v>0.10653935185185186</v>
      </c>
      <c r="F799" s="6">
        <f>30063/(60*60*24)</f>
        <v>0.34795138888888888</v>
      </c>
      <c r="G799" s="7" t="s">
        <v>9</v>
      </c>
    </row>
    <row r="800" spans="1:7" x14ac:dyDescent="0.45">
      <c r="A800" t="s">
        <v>895</v>
      </c>
      <c r="B800" s="2" t="s">
        <v>22</v>
      </c>
      <c r="C800" s="3">
        <f>4414/(60*60*24)</f>
        <v>5.108796296296296E-2</v>
      </c>
      <c r="D800" s="4">
        <f>1766/(60*60*24)</f>
        <v>2.0439814814814813E-2</v>
      </c>
      <c r="E800" s="5">
        <f>9044/(60*60*24)</f>
        <v>0.10467592592592592</v>
      </c>
      <c r="F800" s="6">
        <f>29466/(60*60*24)</f>
        <v>0.34104166666666669</v>
      </c>
      <c r="G800" s="7" t="s">
        <v>9</v>
      </c>
    </row>
    <row r="801" spans="1:7" x14ac:dyDescent="0.45">
      <c r="A801" t="s">
        <v>896</v>
      </c>
      <c r="B801" s="2" t="s">
        <v>24</v>
      </c>
      <c r="C801" s="8" t="s">
        <v>12</v>
      </c>
      <c r="D801" s="4">
        <f>1469/(60*60*24)</f>
        <v>1.7002314814814814E-2</v>
      </c>
      <c r="E801" s="3">
        <f>8546/(60*60*24)</f>
        <v>9.8912037037037034E-2</v>
      </c>
      <c r="F801" s="5">
        <f>28119/(60*60*24)</f>
        <v>0.32545138888888892</v>
      </c>
      <c r="G801" s="7" t="s">
        <v>9</v>
      </c>
    </row>
    <row r="802" spans="1:7" x14ac:dyDescent="0.45">
      <c r="A802" t="s">
        <v>897</v>
      </c>
      <c r="B802" s="2" t="s">
        <v>26</v>
      </c>
      <c r="C802" s="3">
        <f>4663/(60*60*24)</f>
        <v>5.3969907407407404E-2</v>
      </c>
      <c r="D802" s="4">
        <f>1573/(60*60*24)</f>
        <v>1.8206018518518517E-2</v>
      </c>
      <c r="E802" s="5">
        <f>8554/(60*60*24)</f>
        <v>9.9004629629629623E-2</v>
      </c>
      <c r="F802" s="6">
        <f>27967/(60*60*24)</f>
        <v>0.32369212962962962</v>
      </c>
      <c r="G802" s="7" t="s">
        <v>9</v>
      </c>
    </row>
    <row r="803" spans="1:7" x14ac:dyDescent="0.45">
      <c r="A803" t="s">
        <v>898</v>
      </c>
      <c r="B803" s="2" t="s">
        <v>28</v>
      </c>
      <c r="C803" s="3">
        <f>4305/(60*60*24)</f>
        <v>4.9826388888888892E-2</v>
      </c>
      <c r="D803" s="4">
        <f>1896/(60*60*24)</f>
        <v>2.1944444444444444E-2</v>
      </c>
      <c r="E803" s="5">
        <f>8186/(60*60*24)</f>
        <v>9.4745370370370369E-2</v>
      </c>
      <c r="F803" s="6">
        <f>27368/(60*60*24)</f>
        <v>0.31675925925925924</v>
      </c>
      <c r="G803" s="7" t="s">
        <v>9</v>
      </c>
    </row>
    <row r="804" spans="1:7" x14ac:dyDescent="0.45">
      <c r="A804" t="s">
        <v>899</v>
      </c>
      <c r="B804" s="2" t="s">
        <v>30</v>
      </c>
      <c r="C804" s="3">
        <f>4146/(60*60*24)</f>
        <v>4.7986111111111111E-2</v>
      </c>
      <c r="D804" s="4">
        <f>1748/(60*60*24)</f>
        <v>2.0231481481481482E-2</v>
      </c>
      <c r="E804" s="5">
        <f>7946/(60*60*24)</f>
        <v>9.1967592592592587E-2</v>
      </c>
      <c r="F804" s="6">
        <f>26614/(60*60*24)</f>
        <v>0.30803240740740739</v>
      </c>
      <c r="G804" s="7" t="s">
        <v>9</v>
      </c>
    </row>
    <row r="805" spans="1:7" x14ac:dyDescent="0.45">
      <c r="A805" t="s">
        <v>900</v>
      </c>
      <c r="B805" s="2" t="s">
        <v>32</v>
      </c>
      <c r="C805" s="3">
        <f>4852/(60*60*24)</f>
        <v>5.6157407407407406E-2</v>
      </c>
      <c r="D805" s="4">
        <f>1739/(60*60*24)</f>
        <v>2.0127314814814813E-2</v>
      </c>
      <c r="E805" s="5">
        <f>8025/(60*60*24)</f>
        <v>9.2881944444444448E-2</v>
      </c>
      <c r="F805" s="6">
        <f>26805/(60*60*24)</f>
        <v>0.31024305555555554</v>
      </c>
      <c r="G805" s="7" t="s">
        <v>9</v>
      </c>
    </row>
    <row r="806" spans="1:7" x14ac:dyDescent="0.45">
      <c r="A806" t="s">
        <v>901</v>
      </c>
      <c r="B806" s="2" t="s">
        <v>36</v>
      </c>
      <c r="C806" s="3">
        <f>6976/(60*60*24)</f>
        <v>8.0740740740740738E-2</v>
      </c>
      <c r="D806" s="4">
        <f>1742/(60*60*24)</f>
        <v>2.0162037037037037E-2</v>
      </c>
      <c r="E806" s="5">
        <f>7385/(60*60*24)</f>
        <v>8.5474537037037043E-2</v>
      </c>
      <c r="F806" s="6">
        <f>24346/(60*60*24)</f>
        <v>0.2817824074074074</v>
      </c>
      <c r="G806" s="7" t="s">
        <v>9</v>
      </c>
    </row>
    <row r="807" spans="1:7" x14ac:dyDescent="0.45">
      <c r="A807" t="s">
        <v>902</v>
      </c>
      <c r="B807" s="2" t="s">
        <v>34</v>
      </c>
      <c r="C807" s="5">
        <f>22866/(60*60*24)</f>
        <v>0.26465277777777779</v>
      </c>
      <c r="D807" s="4">
        <f>1808/(60*60*24)</f>
        <v>2.0925925925925924E-2</v>
      </c>
      <c r="E807" s="3">
        <f>7199/(60*60*24)</f>
        <v>8.3321759259259262E-2</v>
      </c>
      <c r="F807" s="6">
        <f>23628/(60*60*24)</f>
        <v>0.27347222222222223</v>
      </c>
      <c r="G807" s="7" t="s">
        <v>9</v>
      </c>
    </row>
    <row r="808" spans="1:7" x14ac:dyDescent="0.45">
      <c r="A808" t="s">
        <v>903</v>
      </c>
      <c r="B808" s="2" t="s">
        <v>38</v>
      </c>
      <c r="C808" s="5">
        <f>22753/(60*60*24)</f>
        <v>0.2633449074074074</v>
      </c>
      <c r="D808" s="4">
        <f>1712/(60*60*24)</f>
        <v>1.9814814814814816E-2</v>
      </c>
      <c r="E808" s="3">
        <f>6922/(60*60*24)</f>
        <v>8.0115740740740737E-2</v>
      </c>
      <c r="F808" s="6">
        <f>23316/(60*60*24)</f>
        <v>0.26986111111111111</v>
      </c>
      <c r="G808" s="7" t="s">
        <v>9</v>
      </c>
    </row>
    <row r="809" spans="1:7" x14ac:dyDescent="0.45">
      <c r="A809" t="s">
        <v>904</v>
      </c>
      <c r="B809" s="2" t="s">
        <v>40</v>
      </c>
      <c r="C809" s="8" t="s">
        <v>12</v>
      </c>
      <c r="D809" s="4">
        <f>1690/(60*60*24)</f>
        <v>1.9560185185185184E-2</v>
      </c>
      <c r="E809" s="3">
        <f>6857/(60*60*24)</f>
        <v>7.9363425925925921E-2</v>
      </c>
      <c r="F809" s="5">
        <f>22431/(60*60*24)</f>
        <v>0.25961805555555556</v>
      </c>
      <c r="G809" s="7" t="s">
        <v>9</v>
      </c>
    </row>
    <row r="810" spans="1:7" x14ac:dyDescent="0.45">
      <c r="A810" t="s">
        <v>905</v>
      </c>
      <c r="B810" s="2" t="s">
        <v>44</v>
      </c>
      <c r="C810" s="8" t="s">
        <v>12</v>
      </c>
      <c r="D810" s="4">
        <f>1734/(60*60*24)</f>
        <v>2.0069444444444445E-2</v>
      </c>
      <c r="E810" s="3">
        <f>6745/(60*60*24)</f>
        <v>7.8067129629629625E-2</v>
      </c>
      <c r="F810" s="5">
        <f>21685/(60*60*24)</f>
        <v>0.2509837962962963</v>
      </c>
      <c r="G810" s="7" t="s">
        <v>9</v>
      </c>
    </row>
    <row r="811" spans="1:7" x14ac:dyDescent="0.45">
      <c r="A811" t="s">
        <v>906</v>
      </c>
      <c r="B811" s="2" t="s">
        <v>42</v>
      </c>
      <c r="C811" s="8" t="s">
        <v>12</v>
      </c>
      <c r="D811" s="4">
        <f>1691/(60*60*24)</f>
        <v>1.9571759259259261E-2</v>
      </c>
      <c r="E811" s="3">
        <f>6545/(60*60*24)</f>
        <v>7.5752314814814814E-2</v>
      </c>
      <c r="F811" s="5">
        <f>21078/(60*60*24)</f>
        <v>0.24395833333333333</v>
      </c>
      <c r="G811" s="7" t="s">
        <v>9</v>
      </c>
    </row>
    <row r="812" spans="1:7" x14ac:dyDescent="0.45">
      <c r="A812" t="s">
        <v>907</v>
      </c>
      <c r="B812" s="2" t="s">
        <v>48</v>
      </c>
      <c r="C812" s="3">
        <f>4181/(60*60*24)</f>
        <v>4.8391203703703707E-2</v>
      </c>
      <c r="D812" s="4">
        <f>1460/(60*60*24)</f>
        <v>1.6898148148148148E-2</v>
      </c>
      <c r="E812" s="5">
        <f>6252/(60*60*24)</f>
        <v>7.2361111111111112E-2</v>
      </c>
      <c r="F812" s="6">
        <f>19747/(60*60*24)</f>
        <v>0.22855324074074074</v>
      </c>
      <c r="G812" s="7" t="s">
        <v>9</v>
      </c>
    </row>
    <row r="813" spans="1:7" x14ac:dyDescent="0.45">
      <c r="A813" t="s">
        <v>908</v>
      </c>
      <c r="B813" s="2" t="s">
        <v>46</v>
      </c>
      <c r="C813" s="8" t="s">
        <v>12</v>
      </c>
      <c r="D813" s="4">
        <f>1874/(60*60*24)</f>
        <v>2.1689814814814815E-2</v>
      </c>
      <c r="E813" s="3">
        <f>6295/(60*60*24)</f>
        <v>7.2858796296296297E-2</v>
      </c>
      <c r="F813" s="5">
        <f>20311/(60*60*24)</f>
        <v>0.23508101851851851</v>
      </c>
      <c r="G813" s="7" t="s">
        <v>9</v>
      </c>
    </row>
    <row r="814" spans="1:7" x14ac:dyDescent="0.45">
      <c r="A814" t="s">
        <v>909</v>
      </c>
      <c r="B814" s="2" t="s">
        <v>50</v>
      </c>
      <c r="C814" s="3">
        <f>5516/(60*60*24)</f>
        <v>6.384259259259259E-2</v>
      </c>
      <c r="D814" s="4">
        <f>1255/(60*60*24)</f>
        <v>1.4525462962962962E-2</v>
      </c>
      <c r="E814" s="5">
        <f>5771/(60*60*24)</f>
        <v>6.6793981481481482E-2</v>
      </c>
      <c r="F814" s="6">
        <f>19199/(60*60*24)</f>
        <v>0.22221064814814814</v>
      </c>
      <c r="G814" s="7" t="s">
        <v>9</v>
      </c>
    </row>
    <row r="815" spans="1:7" x14ac:dyDescent="0.45">
      <c r="A815" t="s">
        <v>910</v>
      </c>
      <c r="B815" s="2" t="s">
        <v>52</v>
      </c>
      <c r="C815" s="3">
        <f>4972/(60*60*24)</f>
        <v>5.7546296296296297E-2</v>
      </c>
      <c r="D815" s="4">
        <f>1152/(60*60*24)</f>
        <v>1.3333333333333334E-2</v>
      </c>
      <c r="E815" s="5">
        <f>5460/(60*60*24)</f>
        <v>6.3194444444444442E-2</v>
      </c>
      <c r="F815" s="6">
        <f>18330/(60*60*24)</f>
        <v>0.21215277777777777</v>
      </c>
      <c r="G815" s="7" t="s">
        <v>9</v>
      </c>
    </row>
    <row r="816" spans="1:7" x14ac:dyDescent="0.45">
      <c r="A816" t="s">
        <v>911</v>
      </c>
      <c r="B816" s="2" t="s">
        <v>54</v>
      </c>
      <c r="C816" s="3">
        <f>4628/(60*60*24)</f>
        <v>5.3564814814814815E-2</v>
      </c>
      <c r="D816" s="4">
        <f>1065/(60*60*24)</f>
        <v>1.2326388888888888E-2</v>
      </c>
      <c r="E816" s="5">
        <f>5232/(60*60*24)</f>
        <v>6.0555555555555557E-2</v>
      </c>
      <c r="F816" s="6">
        <f>18251/(60*60*24)</f>
        <v>0.21123842592592593</v>
      </c>
      <c r="G816" s="7" t="s">
        <v>9</v>
      </c>
    </row>
    <row r="817" spans="1:7" x14ac:dyDescent="0.45">
      <c r="A817" t="s">
        <v>912</v>
      </c>
      <c r="B817" s="2" t="s">
        <v>56</v>
      </c>
      <c r="C817" s="3">
        <f>4849/(60*60*24)</f>
        <v>5.6122685185185185E-2</v>
      </c>
      <c r="D817" s="4">
        <f>1135/(60*60*24)</f>
        <v>1.3136574074074075E-2</v>
      </c>
      <c r="E817" s="5">
        <f>5045/(60*60*24)</f>
        <v>5.8391203703703702E-2</v>
      </c>
      <c r="F817" s="6">
        <f>17724/(60*60*24)</f>
        <v>0.2051388888888889</v>
      </c>
      <c r="G817" s="7" t="s">
        <v>9</v>
      </c>
    </row>
    <row r="818" spans="1:7" x14ac:dyDescent="0.45">
      <c r="A818" t="s">
        <v>913</v>
      </c>
      <c r="B818" s="2" t="s">
        <v>58</v>
      </c>
      <c r="C818" s="3">
        <f>4676/(60*60*24)</f>
        <v>5.4120370370370367E-2</v>
      </c>
      <c r="D818" s="4">
        <f>1218/(60*60*24)</f>
        <v>1.4097222222222223E-2</v>
      </c>
      <c r="E818" s="5">
        <f>4907/(60*60*24)</f>
        <v>5.679398148148148E-2</v>
      </c>
      <c r="F818" s="6">
        <f>17124/(60*60*24)</f>
        <v>0.19819444444444445</v>
      </c>
      <c r="G818" s="7" t="s">
        <v>9</v>
      </c>
    </row>
    <row r="819" spans="1:7" x14ac:dyDescent="0.45">
      <c r="A819" t="s">
        <v>914</v>
      </c>
      <c r="B819" s="2" t="s">
        <v>60</v>
      </c>
      <c r="C819" s="3">
        <f>4562/(60*60*24)</f>
        <v>5.2800925925925925E-2</v>
      </c>
      <c r="D819" s="4">
        <f>1316/(60*60*24)</f>
        <v>1.5231481481481481E-2</v>
      </c>
      <c r="E819" s="5">
        <f>4758/(60*60*24)</f>
        <v>5.5069444444444442E-2</v>
      </c>
      <c r="F819" s="6">
        <f>16249/(60*60*24)</f>
        <v>0.18806712962962963</v>
      </c>
      <c r="G819" s="7" t="s">
        <v>9</v>
      </c>
    </row>
    <row r="820" spans="1:7" x14ac:dyDescent="0.45">
      <c r="A820" t="s">
        <v>915</v>
      </c>
      <c r="B820" s="2" t="s">
        <v>62</v>
      </c>
      <c r="C820" s="3">
        <f>4387/(60*60*24)</f>
        <v>5.077546296296296E-2</v>
      </c>
      <c r="D820" s="4">
        <f>1477/(60*60*24)</f>
        <v>1.7094907407407406E-2</v>
      </c>
      <c r="E820" s="5">
        <f>4697/(60*60*24)</f>
        <v>5.4363425925925926E-2</v>
      </c>
      <c r="F820" s="6">
        <f>16019/(60*60*24)</f>
        <v>0.18540509259259258</v>
      </c>
      <c r="G820" s="7" t="s">
        <v>9</v>
      </c>
    </row>
    <row r="821" spans="1:7" x14ac:dyDescent="0.45">
      <c r="A821" t="s">
        <v>916</v>
      </c>
      <c r="B821" s="2" t="s">
        <v>64</v>
      </c>
      <c r="C821" s="3">
        <f>4325/(60*60*24)</f>
        <v>5.0057870370370371E-2</v>
      </c>
      <c r="D821" s="4">
        <f>1350/(60*60*24)</f>
        <v>1.5625E-2</v>
      </c>
      <c r="E821" s="5">
        <f>4397/(60*60*24)</f>
        <v>5.0891203703703702E-2</v>
      </c>
      <c r="F821" s="6">
        <f>14976/(60*60*24)</f>
        <v>0.17333333333333334</v>
      </c>
      <c r="G821" s="7" t="s">
        <v>9</v>
      </c>
    </row>
    <row r="822" spans="1:7" x14ac:dyDescent="0.45">
      <c r="A822" t="s">
        <v>917</v>
      </c>
      <c r="B822" s="2" t="s">
        <v>66</v>
      </c>
      <c r="C822" s="3">
        <f>4195/(60*60*24)</f>
        <v>4.8553240740740744E-2</v>
      </c>
      <c r="D822" s="4">
        <f>1311/(60*60*24)</f>
        <v>1.5173611111111112E-2</v>
      </c>
      <c r="E822" s="5">
        <f>4282/(60*60*24)</f>
        <v>4.9560185185185186E-2</v>
      </c>
      <c r="F822" s="6">
        <f>14366/(60*60*24)</f>
        <v>0.16627314814814814</v>
      </c>
      <c r="G822" s="7" t="s">
        <v>9</v>
      </c>
    </row>
    <row r="823" spans="1:7" x14ac:dyDescent="0.45">
      <c r="A823" t="s">
        <v>918</v>
      </c>
      <c r="B823" s="2" t="s">
        <v>68</v>
      </c>
      <c r="C823" s="3">
        <f>4459/(60*60*24)</f>
        <v>5.1608796296296298E-2</v>
      </c>
      <c r="D823" s="4">
        <f>1249/(60*60*24)</f>
        <v>1.4456018518518519E-2</v>
      </c>
      <c r="E823" s="5">
        <f>4497/(60*60*24)</f>
        <v>5.2048611111111108E-2</v>
      </c>
      <c r="F823" s="6">
        <f>13696/(60*60*24)</f>
        <v>0.15851851851851853</v>
      </c>
      <c r="G823" s="7" t="s">
        <v>9</v>
      </c>
    </row>
    <row r="824" spans="1:7" x14ac:dyDescent="0.45">
      <c r="A824" t="s">
        <v>919</v>
      </c>
      <c r="B824" s="2" t="s">
        <v>70</v>
      </c>
      <c r="C824" s="5">
        <f>4896/(60*60*24)</f>
        <v>5.6666666666666664E-2</v>
      </c>
      <c r="D824" s="4">
        <f>846/(60*60*24)</f>
        <v>9.7916666666666673E-3</v>
      </c>
      <c r="E824" s="3">
        <f>3883/(60*60*24)</f>
        <v>4.494212962962963E-2</v>
      </c>
      <c r="F824" s="6">
        <f>13213/(60*60*24)</f>
        <v>0.15292824074074074</v>
      </c>
      <c r="G824" s="7" t="s">
        <v>9</v>
      </c>
    </row>
    <row r="825" spans="1:7" x14ac:dyDescent="0.45">
      <c r="A825" t="s">
        <v>920</v>
      </c>
      <c r="B825" s="2" t="s">
        <v>72</v>
      </c>
      <c r="C825" s="5">
        <f>4885/(60*60*24)</f>
        <v>5.6539351851851855E-2</v>
      </c>
      <c r="D825" s="4">
        <f>1123/(60*60*24)</f>
        <v>1.2997685185185185E-2</v>
      </c>
      <c r="E825" s="3">
        <f>3822/(60*60*24)</f>
        <v>4.4236111111111108E-2</v>
      </c>
      <c r="F825" s="6">
        <f>12146/(60*60*24)</f>
        <v>0.14057870370370371</v>
      </c>
      <c r="G825" s="7" t="s">
        <v>9</v>
      </c>
    </row>
    <row r="826" spans="1:7" x14ac:dyDescent="0.45">
      <c r="A826" t="s">
        <v>921</v>
      </c>
      <c r="B826" s="2" t="s">
        <v>76</v>
      </c>
      <c r="C826" s="5">
        <f>4021/(60*60*24)</f>
        <v>4.6539351851851853E-2</v>
      </c>
      <c r="D826" s="4">
        <f>812/(60*60*24)</f>
        <v>9.3981481481481485E-3</v>
      </c>
      <c r="E826" s="3">
        <f>3569/(60*60*24)</f>
        <v>4.130787037037037E-2</v>
      </c>
      <c r="F826" s="6">
        <f>11234/(60*60*24)</f>
        <v>0.13002314814814814</v>
      </c>
      <c r="G826" s="7" t="s">
        <v>9</v>
      </c>
    </row>
    <row r="827" spans="1:7" x14ac:dyDescent="0.45">
      <c r="A827" t="s">
        <v>922</v>
      </c>
      <c r="B827" s="2" t="s">
        <v>74</v>
      </c>
      <c r="C827" s="8" t="s">
        <v>12</v>
      </c>
      <c r="D827" s="4">
        <f>1159/(60*60*24)</f>
        <v>1.3414351851851853E-2</v>
      </c>
      <c r="E827" s="3">
        <f>3670/(60*60*24)</f>
        <v>4.2476851851851849E-2</v>
      </c>
      <c r="F827" s="5">
        <f>11530/(60*60*24)</f>
        <v>0.13344907407407408</v>
      </c>
      <c r="G827" s="7" t="s">
        <v>9</v>
      </c>
    </row>
    <row r="828" spans="1:7" x14ac:dyDescent="0.45">
      <c r="A828" t="s">
        <v>923</v>
      </c>
      <c r="B828" s="2" t="s">
        <v>78</v>
      </c>
      <c r="C828" s="5">
        <f>4716/(60*60*24)</f>
        <v>5.4583333333333331E-2</v>
      </c>
      <c r="D828" s="4">
        <f>871/(60*60*24)</f>
        <v>1.0081018518518519E-2</v>
      </c>
      <c r="E828" s="3">
        <f>3110/(60*60*24)</f>
        <v>3.5995370370370372E-2</v>
      </c>
      <c r="F828" s="6">
        <f>10167/(60*60*24)</f>
        <v>0.11767361111111112</v>
      </c>
      <c r="G828" s="7" t="s">
        <v>9</v>
      </c>
    </row>
    <row r="829" spans="1:7" x14ac:dyDescent="0.45">
      <c r="A829" t="s">
        <v>924</v>
      </c>
      <c r="B829" s="2" t="s">
        <v>80</v>
      </c>
      <c r="C829" s="5">
        <f>4711/(60*60*24)</f>
        <v>5.4525462962962963E-2</v>
      </c>
      <c r="D829" s="4">
        <f>1346/(60*60*24)</f>
        <v>1.5578703703703704E-2</v>
      </c>
      <c r="E829" s="3">
        <f>2947/(60*60*24)</f>
        <v>3.4108796296296297E-2</v>
      </c>
      <c r="F829" s="6">
        <f>9442/(60*60*24)</f>
        <v>0.10928240740740741</v>
      </c>
      <c r="G829" s="7" t="s">
        <v>9</v>
      </c>
    </row>
    <row r="830" spans="1:7" x14ac:dyDescent="0.45">
      <c r="A830" t="s">
        <v>925</v>
      </c>
      <c r="B830" s="2" t="s">
        <v>82</v>
      </c>
      <c r="C830" s="5">
        <f>2710/(60*60*24)</f>
        <v>3.1365740740740743E-2</v>
      </c>
      <c r="D830" s="4">
        <f>1228/(60*60*24)</f>
        <v>1.4212962962962964E-2</v>
      </c>
      <c r="E830" s="3">
        <f>2437/(60*60*24)</f>
        <v>2.8206018518518519E-2</v>
      </c>
      <c r="F830" s="6">
        <f>8563/(60*60*24)</f>
        <v>9.9108796296296292E-2</v>
      </c>
      <c r="G830" s="7" t="s">
        <v>9</v>
      </c>
    </row>
    <row r="831" spans="1:7" x14ac:dyDescent="0.45">
      <c r="A831" t="s">
        <v>926</v>
      </c>
      <c r="B831" s="2" t="s">
        <v>84</v>
      </c>
      <c r="C831" s="8" t="s">
        <v>12</v>
      </c>
      <c r="D831" s="4">
        <f>1252/(60*60*24)</f>
        <v>1.4490740740740742E-2</v>
      </c>
      <c r="E831" s="3">
        <f>2946/(60*60*24)</f>
        <v>3.4097222222222223E-2</v>
      </c>
      <c r="F831" s="5">
        <f>9376/(60*60*24)</f>
        <v>0.10851851851851851</v>
      </c>
      <c r="G831" s="7" t="s">
        <v>9</v>
      </c>
    </row>
    <row r="832" spans="1:7" x14ac:dyDescent="0.45">
      <c r="A832" t="s">
        <v>927</v>
      </c>
      <c r="B832" s="2" t="s">
        <v>88</v>
      </c>
      <c r="C832" s="5">
        <f>3104/(60*60*24)</f>
        <v>3.5925925925925924E-2</v>
      </c>
      <c r="D832" s="4">
        <f>1116/(60*60*24)</f>
        <v>1.2916666666666667E-2</v>
      </c>
      <c r="E832" s="3">
        <f>2219/(60*60*24)</f>
        <v>2.568287037037037E-2</v>
      </c>
      <c r="F832" s="6">
        <f>7831/(60*60*24)</f>
        <v>9.0636574074074078E-2</v>
      </c>
      <c r="G832" s="7" t="s">
        <v>9</v>
      </c>
    </row>
    <row r="833" spans="1:7" x14ac:dyDescent="0.45">
      <c r="A833" t="s">
        <v>928</v>
      </c>
      <c r="B833" s="2" t="s">
        <v>86</v>
      </c>
      <c r="C833" s="5">
        <f>3159/(60*60*24)</f>
        <v>3.6562499999999998E-2</v>
      </c>
      <c r="D833" s="4">
        <f>985/(60*60*24)</f>
        <v>1.1400462962962963E-2</v>
      </c>
      <c r="E833" s="3">
        <f>2088/(60*60*24)</f>
        <v>2.4166666666666666E-2</v>
      </c>
      <c r="F833" s="6">
        <f>7049/(60*60*24)</f>
        <v>8.1585648148148143E-2</v>
      </c>
      <c r="G833" s="7" t="s">
        <v>9</v>
      </c>
    </row>
    <row r="834" spans="1:7" x14ac:dyDescent="0.45">
      <c r="A834" t="s">
        <v>929</v>
      </c>
      <c r="B834" s="2" t="s">
        <v>90</v>
      </c>
      <c r="C834" s="8" t="s">
        <v>12</v>
      </c>
      <c r="D834" s="4">
        <f>846/(60*60*24)</f>
        <v>9.7916666666666673E-3</v>
      </c>
      <c r="E834" s="3">
        <f>2171/(60*60*24)</f>
        <v>2.5127314814814814E-2</v>
      </c>
      <c r="F834" s="5">
        <f>7372/(60*60*24)</f>
        <v>8.532407407407408E-2</v>
      </c>
      <c r="G834" s="7" t="s">
        <v>9</v>
      </c>
    </row>
    <row r="835" spans="1:7" x14ac:dyDescent="0.45">
      <c r="A835" t="s">
        <v>930</v>
      </c>
      <c r="B835" s="2" t="s">
        <v>92</v>
      </c>
      <c r="C835" s="8" t="s">
        <v>12</v>
      </c>
      <c r="D835" s="4">
        <f>1173/(60*60*24)</f>
        <v>1.357638888888889E-2</v>
      </c>
      <c r="E835" s="3">
        <f>2139/(60*60*24)</f>
        <v>2.4756944444444446E-2</v>
      </c>
      <c r="F835" s="5">
        <f>7397/(60*60*24)</f>
        <v>8.5613425925925926E-2</v>
      </c>
      <c r="G835" s="7" t="s">
        <v>9</v>
      </c>
    </row>
    <row r="836" spans="1:7" x14ac:dyDescent="0.45">
      <c r="A836" t="s">
        <v>931</v>
      </c>
      <c r="B836" s="2" t="s">
        <v>94</v>
      </c>
      <c r="C836" s="8" t="s">
        <v>12</v>
      </c>
      <c r="D836" s="4">
        <f>1363/(60*60*24)</f>
        <v>1.5775462962962963E-2</v>
      </c>
      <c r="E836" s="3">
        <f>2288/(60*60*24)</f>
        <v>2.6481481481481481E-2</v>
      </c>
      <c r="F836" s="5">
        <f>7721/(60*60*24)</f>
        <v>8.9363425925925929E-2</v>
      </c>
      <c r="G836" s="7" t="s">
        <v>9</v>
      </c>
    </row>
    <row r="837" spans="1:7" x14ac:dyDescent="0.45">
      <c r="A837" t="s">
        <v>932</v>
      </c>
      <c r="B837" s="2" t="s">
        <v>96</v>
      </c>
      <c r="C837" s="8" t="s">
        <v>12</v>
      </c>
      <c r="D837" s="4">
        <f>746/(60*60*24)</f>
        <v>8.6342592592592599E-3</v>
      </c>
      <c r="E837" s="3">
        <f>2473/(60*60*24)</f>
        <v>2.8622685185185185E-2</v>
      </c>
      <c r="F837" s="5">
        <f>8740/(60*60*24)</f>
        <v>0.1011574074074074</v>
      </c>
      <c r="G837" s="7" t="s">
        <v>9</v>
      </c>
    </row>
    <row r="838" spans="1:7" x14ac:dyDescent="0.45">
      <c r="A838" t="s">
        <v>933</v>
      </c>
      <c r="B838" s="2" t="s">
        <v>98</v>
      </c>
      <c r="C838" s="8" t="s">
        <v>12</v>
      </c>
      <c r="D838" s="4">
        <f>775/(60*60*24)</f>
        <v>8.9699074074074073E-3</v>
      </c>
      <c r="E838" s="3">
        <f>1088/(60*60*24)</f>
        <v>1.2592592592592593E-2</v>
      </c>
      <c r="F838" s="5">
        <f>3874/(60*60*24)</f>
        <v>4.4837962962962961E-2</v>
      </c>
      <c r="G838" s="7" t="s">
        <v>9</v>
      </c>
    </row>
    <row r="839" spans="1:7" x14ac:dyDescent="0.45">
      <c r="A839" t="s">
        <v>934</v>
      </c>
      <c r="B839" s="2" t="s">
        <v>100</v>
      </c>
      <c r="C839" s="8" t="s">
        <v>12</v>
      </c>
      <c r="D839" s="4">
        <f>811/(60*60*24)</f>
        <v>9.3865740740740732E-3</v>
      </c>
      <c r="E839" s="3">
        <f>1240/(60*60*24)</f>
        <v>1.4351851851851852E-2</v>
      </c>
      <c r="F839" s="5">
        <f>4359/(60*60*24)</f>
        <v>5.0451388888888886E-2</v>
      </c>
      <c r="G839" s="7" t="s">
        <v>9</v>
      </c>
    </row>
    <row r="840" spans="1:7" x14ac:dyDescent="0.45">
      <c r="A840" t="s">
        <v>935</v>
      </c>
      <c r="B840" s="2" t="s">
        <v>104</v>
      </c>
      <c r="C840" s="8" t="s">
        <v>12</v>
      </c>
      <c r="D840" s="4">
        <f>736/(60*60*24)</f>
        <v>8.518518518518519E-3</v>
      </c>
      <c r="E840" s="3">
        <f>1397/(60*60*24)</f>
        <v>1.6168981481481482E-2</v>
      </c>
      <c r="F840" s="5">
        <f>4744/(60*60*24)</f>
        <v>5.4907407407407405E-2</v>
      </c>
      <c r="G840" s="7" t="s">
        <v>9</v>
      </c>
    </row>
    <row r="841" spans="1:7" x14ac:dyDescent="0.45">
      <c r="A841" t="s">
        <v>936</v>
      </c>
      <c r="B841" s="2" t="s">
        <v>102</v>
      </c>
      <c r="C841" s="8" t="s">
        <v>12</v>
      </c>
      <c r="D841" s="4">
        <f>887/(60*60*24)</f>
        <v>1.0266203703703704E-2</v>
      </c>
      <c r="E841" s="3">
        <f>1583/(60*60*24)</f>
        <v>1.832175925925926E-2</v>
      </c>
      <c r="F841" s="5">
        <f>5188/(60*60*24)</f>
        <v>6.0046296296296299E-2</v>
      </c>
      <c r="G841" s="7" t="s">
        <v>9</v>
      </c>
    </row>
    <row r="842" spans="1:7" x14ac:dyDescent="0.45">
      <c r="A842" t="s">
        <v>937</v>
      </c>
      <c r="B842" s="2" t="s">
        <v>108</v>
      </c>
      <c r="C842" s="5">
        <f>2426/(60*60*24)</f>
        <v>2.8078703703703703E-2</v>
      </c>
      <c r="D842" s="4">
        <f>851/(60*60*24)</f>
        <v>9.8495370370370369E-3</v>
      </c>
      <c r="E842" s="3">
        <f>1718/(60*60*24)</f>
        <v>1.9884259259259258E-2</v>
      </c>
      <c r="F842" s="6">
        <f>5814/(60*60*24)</f>
        <v>6.7291666666666666E-2</v>
      </c>
      <c r="G842" s="7" t="s">
        <v>9</v>
      </c>
    </row>
    <row r="843" spans="1:7" x14ac:dyDescent="0.45">
      <c r="A843" t="s">
        <v>938</v>
      </c>
      <c r="B843" s="2" t="s">
        <v>106</v>
      </c>
      <c r="C843" s="8" t="s">
        <v>12</v>
      </c>
      <c r="D843" s="4">
        <f>900/(60*60*24)</f>
        <v>1.0416666666666666E-2</v>
      </c>
      <c r="E843" s="3">
        <f>1874/(60*60*24)</f>
        <v>2.1689814814814815E-2</v>
      </c>
      <c r="F843" s="5">
        <f>5887/(60*60*24)</f>
        <v>6.8136574074074072E-2</v>
      </c>
      <c r="G843" s="7" t="s">
        <v>9</v>
      </c>
    </row>
    <row r="844" spans="1:7" x14ac:dyDescent="0.45">
      <c r="A844" t="s">
        <v>939</v>
      </c>
      <c r="B844" s="2" t="s">
        <v>110</v>
      </c>
      <c r="C844" s="5">
        <f>2451/(60*60*24)</f>
        <v>2.8368055555555556E-2</v>
      </c>
      <c r="D844" s="4">
        <f>1012/(60*60*24)</f>
        <v>1.1712962962962963E-2</v>
      </c>
      <c r="E844" s="3">
        <f>1969/(60*60*24)</f>
        <v>2.2789351851851852E-2</v>
      </c>
      <c r="F844" s="6">
        <f>6378/(60*60*24)</f>
        <v>7.3819444444444438E-2</v>
      </c>
      <c r="G844" s="7" t="s">
        <v>9</v>
      </c>
    </row>
    <row r="845" spans="1:7" x14ac:dyDescent="0.45">
      <c r="A845" t="s">
        <v>940</v>
      </c>
      <c r="B845" s="2" t="s">
        <v>112</v>
      </c>
      <c r="C845" s="3">
        <f>1840/(60*60*24)</f>
        <v>2.1296296296296296E-2</v>
      </c>
      <c r="D845" s="4">
        <f>978/(60*60*24)</f>
        <v>1.1319444444444444E-2</v>
      </c>
      <c r="E845" s="5">
        <f>2104/(60*60*24)</f>
        <v>2.435185185185185E-2</v>
      </c>
      <c r="F845" s="6">
        <f>7188/(60*60*24)</f>
        <v>8.3194444444444446E-2</v>
      </c>
      <c r="G845" s="7" t="s">
        <v>9</v>
      </c>
    </row>
    <row r="846" spans="1:7" x14ac:dyDescent="0.45">
      <c r="A846" t="s">
        <v>941</v>
      </c>
      <c r="B846" s="2" t="s">
        <v>114</v>
      </c>
      <c r="C846" s="5">
        <f>2380/(60*60*24)</f>
        <v>2.7546296296296298E-2</v>
      </c>
      <c r="D846" s="4">
        <f>1015/(60*60*24)</f>
        <v>1.1747685185185186E-2</v>
      </c>
      <c r="E846" s="3">
        <f>2264/(60*60*24)</f>
        <v>2.6203703703703705E-2</v>
      </c>
      <c r="F846" s="6">
        <f>7009/(60*60*24)</f>
        <v>8.1122685185185187E-2</v>
      </c>
      <c r="G846" s="7" t="s">
        <v>9</v>
      </c>
    </row>
    <row r="847" spans="1:7" x14ac:dyDescent="0.45">
      <c r="A847" t="s">
        <v>942</v>
      </c>
      <c r="B847" s="2" t="s">
        <v>116</v>
      </c>
      <c r="C847" s="8" t="s">
        <v>12</v>
      </c>
      <c r="D847" s="4">
        <f>1096/(60*60*24)</f>
        <v>1.2685185185185185E-2</v>
      </c>
      <c r="E847" s="3">
        <f>2466/(60*60*24)</f>
        <v>2.8541666666666667E-2</v>
      </c>
      <c r="F847" s="5">
        <f>7730/(60*60*24)</f>
        <v>8.9467592592592599E-2</v>
      </c>
      <c r="G847" s="7" t="s">
        <v>9</v>
      </c>
    </row>
    <row r="848" spans="1:7" x14ac:dyDescent="0.45">
      <c r="A848" t="s">
        <v>943</v>
      </c>
      <c r="B848" s="2" t="s">
        <v>120</v>
      </c>
      <c r="C848" s="3">
        <f>2073/(60*60*24)</f>
        <v>2.3993055555555556E-2</v>
      </c>
      <c r="D848" s="4">
        <f>1387/(60*60*24)</f>
        <v>1.6053240740740739E-2</v>
      </c>
      <c r="E848" s="5">
        <f>2723/(60*60*24)</f>
        <v>3.1516203703703706E-2</v>
      </c>
      <c r="F848" s="6">
        <f>9269/(60*60*24)</f>
        <v>0.10728009259259259</v>
      </c>
      <c r="G848" s="7" t="s">
        <v>9</v>
      </c>
    </row>
    <row r="849" spans="1:7" x14ac:dyDescent="0.45">
      <c r="A849" t="s">
        <v>944</v>
      </c>
      <c r="B849" s="2" t="s">
        <v>118</v>
      </c>
      <c r="C849" s="8" t="s">
        <v>12</v>
      </c>
      <c r="D849" s="4">
        <f>1266/(60*60*24)</f>
        <v>1.4652777777777778E-2</v>
      </c>
      <c r="E849" s="3">
        <f>2702/(60*60*24)</f>
        <v>3.1273148148148147E-2</v>
      </c>
      <c r="F849" s="5">
        <f>8828/(60*60*24)</f>
        <v>0.10217592592592592</v>
      </c>
      <c r="G849" s="7" t="s">
        <v>9</v>
      </c>
    </row>
    <row r="850" spans="1:7" x14ac:dyDescent="0.45">
      <c r="A850" t="s">
        <v>945</v>
      </c>
      <c r="B850" s="2" t="s">
        <v>124</v>
      </c>
      <c r="C850" s="3">
        <f>1584/(60*60*24)</f>
        <v>1.8333333333333333E-2</v>
      </c>
      <c r="D850" s="4">
        <f>1464/(60*60*24)</f>
        <v>1.6944444444444446E-2</v>
      </c>
      <c r="E850" s="5">
        <f>2854/(60*60*24)</f>
        <v>3.3032407407407406E-2</v>
      </c>
      <c r="F850" s="6">
        <f>9844/(60*60*24)</f>
        <v>0.11393518518518518</v>
      </c>
      <c r="G850" s="7" t="s">
        <v>9</v>
      </c>
    </row>
    <row r="851" spans="1:7" x14ac:dyDescent="0.45">
      <c r="A851" t="s">
        <v>946</v>
      </c>
      <c r="B851" s="2" t="s">
        <v>122</v>
      </c>
      <c r="C851" s="8" t="s">
        <v>12</v>
      </c>
      <c r="D851" s="4">
        <f>1455/(60*60*24)</f>
        <v>1.6840277777777777E-2</v>
      </c>
      <c r="E851" s="3">
        <f>2997/(60*60*24)</f>
        <v>3.4687500000000003E-2</v>
      </c>
      <c r="F851" s="5">
        <f>10092/(60*60*24)</f>
        <v>0.11680555555555555</v>
      </c>
      <c r="G851" s="7" t="s">
        <v>9</v>
      </c>
    </row>
    <row r="852" spans="1:7" x14ac:dyDescent="0.45">
      <c r="A852" t="s">
        <v>947</v>
      </c>
      <c r="B852" s="2" t="s">
        <v>126</v>
      </c>
      <c r="C852" s="8" t="s">
        <v>12</v>
      </c>
      <c r="D852" s="4">
        <f>1450/(60*60*24)</f>
        <v>1.6782407407407409E-2</v>
      </c>
      <c r="E852" s="3">
        <f>3319/(60*60*24)</f>
        <v>3.8414351851851852E-2</v>
      </c>
      <c r="F852" s="5">
        <f>11392/(60*60*24)</f>
        <v>0.13185185185185186</v>
      </c>
      <c r="G852" s="7" t="s">
        <v>9</v>
      </c>
    </row>
    <row r="853" spans="1:7" x14ac:dyDescent="0.45">
      <c r="A853" t="s">
        <v>948</v>
      </c>
      <c r="B853" s="2" t="s">
        <v>128</v>
      </c>
      <c r="C853" s="8" t="s">
        <v>12</v>
      </c>
      <c r="D853" s="4">
        <f>1436/(60*60*24)</f>
        <v>1.6620370370370369E-2</v>
      </c>
      <c r="E853" s="3">
        <f>3434/(60*60*24)</f>
        <v>3.9745370370370368E-2</v>
      </c>
      <c r="F853" s="5">
        <f>11188/(60*60*24)</f>
        <v>0.12949074074074074</v>
      </c>
      <c r="G853" s="7" t="s">
        <v>9</v>
      </c>
    </row>
    <row r="854" spans="1:7" x14ac:dyDescent="0.45">
      <c r="A854" t="s">
        <v>949</v>
      </c>
      <c r="B854" s="2" t="s">
        <v>130</v>
      </c>
      <c r="C854" s="8" t="s">
        <v>12</v>
      </c>
      <c r="D854" s="4">
        <f>1263/(60*60*24)</f>
        <v>1.4618055555555556E-2</v>
      </c>
      <c r="E854" s="3">
        <f>3700/(60*60*24)</f>
        <v>4.2824074074074077E-2</v>
      </c>
      <c r="F854" s="5">
        <f>12391/(60*60*24)</f>
        <v>0.14341435185185186</v>
      </c>
      <c r="G854" s="7" t="s">
        <v>9</v>
      </c>
    </row>
    <row r="855" spans="1:7" x14ac:dyDescent="0.45">
      <c r="A855" t="s">
        <v>950</v>
      </c>
      <c r="B855" s="2" t="s">
        <v>132</v>
      </c>
      <c r="C855" s="8" t="s">
        <v>12</v>
      </c>
      <c r="D855" s="4">
        <f>1204/(60*60*24)</f>
        <v>1.3935185185185186E-2</v>
      </c>
      <c r="E855" s="3">
        <f>3884/(60*60*24)</f>
        <v>4.4953703703703704E-2</v>
      </c>
      <c r="F855" s="5">
        <f>12553/(60*60*24)</f>
        <v>0.14528935185185185</v>
      </c>
      <c r="G855" s="7" t="s">
        <v>9</v>
      </c>
    </row>
    <row r="856" spans="1:7" x14ac:dyDescent="0.45">
      <c r="A856" t="s">
        <v>951</v>
      </c>
      <c r="B856" s="2" t="s">
        <v>136</v>
      </c>
      <c r="C856" s="3">
        <f>3884/(60*60*24)</f>
        <v>4.4953703703703704E-2</v>
      </c>
      <c r="D856" s="4">
        <f>1151/(60*60*24)</f>
        <v>1.3321759259259259E-2</v>
      </c>
      <c r="E856" s="5">
        <f>4147/(60*60*24)</f>
        <v>4.7997685185185185E-2</v>
      </c>
      <c r="F856" s="6">
        <f>13500/(60*60*24)</f>
        <v>0.15625</v>
      </c>
      <c r="G856" s="7" t="s">
        <v>9</v>
      </c>
    </row>
    <row r="857" spans="1:7" x14ac:dyDescent="0.45">
      <c r="A857" t="s">
        <v>952</v>
      </c>
      <c r="B857" s="2" t="s">
        <v>134</v>
      </c>
      <c r="C857" s="3">
        <f>3863/(60*60*24)</f>
        <v>4.4710648148148145E-2</v>
      </c>
      <c r="D857" s="4">
        <f>1322/(60*60*24)</f>
        <v>1.5300925925925926E-2</v>
      </c>
      <c r="E857" s="5">
        <f>4366/(60*60*24)</f>
        <v>5.0532407407407408E-2</v>
      </c>
      <c r="F857" s="6">
        <f>14568/(60*60*24)</f>
        <v>0.1686111111111111</v>
      </c>
      <c r="G857" s="7" t="s">
        <v>9</v>
      </c>
    </row>
    <row r="858" spans="1:7" x14ac:dyDescent="0.45">
      <c r="A858" t="s">
        <v>953</v>
      </c>
      <c r="B858" s="2" t="s">
        <v>138</v>
      </c>
      <c r="C858" s="3">
        <f>3355/(60*60*24)</f>
        <v>3.8831018518518522E-2</v>
      </c>
      <c r="D858" s="4">
        <f>1320/(60*60*24)</f>
        <v>1.5277777777777777E-2</v>
      </c>
      <c r="E858" s="5">
        <f>4489/(60*60*24)</f>
        <v>5.1956018518518519E-2</v>
      </c>
      <c r="F858" s="6">
        <f>15389/(60*60*24)</f>
        <v>0.17811342592592594</v>
      </c>
      <c r="G858" s="7" t="s">
        <v>9</v>
      </c>
    </row>
    <row r="859" spans="1:7" x14ac:dyDescent="0.45">
      <c r="A859" t="s">
        <v>954</v>
      </c>
      <c r="B859" s="2" t="s">
        <v>140</v>
      </c>
      <c r="C859" s="3">
        <f>3414/(60*60*24)</f>
        <v>3.951388888888889E-2</v>
      </c>
      <c r="D859" s="4">
        <f>1346/(60*60*24)</f>
        <v>1.5578703703703704E-2</v>
      </c>
      <c r="E859" s="5">
        <f>4684/(60*60*24)</f>
        <v>5.4212962962962963E-2</v>
      </c>
      <c r="F859" s="6">
        <f>15440/(60*60*24)</f>
        <v>0.1787037037037037</v>
      </c>
      <c r="G859" s="7" t="s">
        <v>9</v>
      </c>
    </row>
    <row r="860" spans="1:7" x14ac:dyDescent="0.45">
      <c r="A860" t="s">
        <v>955</v>
      </c>
      <c r="B860" s="2" t="s">
        <v>142</v>
      </c>
      <c r="C860" s="3">
        <f>3465/(60*60*24)</f>
        <v>4.010416666666667E-2</v>
      </c>
      <c r="D860" s="4">
        <f>1475/(60*60*24)</f>
        <v>1.7071759259259259E-2</v>
      </c>
      <c r="E860" s="5">
        <f>4881/(60*60*24)</f>
        <v>5.6493055555555553E-2</v>
      </c>
      <c r="F860" s="6">
        <f>16292/(60*60*24)</f>
        <v>0.18856481481481482</v>
      </c>
      <c r="G860" s="7" t="s">
        <v>9</v>
      </c>
    </row>
    <row r="861" spans="1:7" x14ac:dyDescent="0.45">
      <c r="A861" t="s">
        <v>956</v>
      </c>
      <c r="B861" s="2" t="s">
        <v>144</v>
      </c>
      <c r="C861" s="3">
        <f>3906/(60*60*24)</f>
        <v>4.5208333333333336E-2</v>
      </c>
      <c r="D861" s="4">
        <f>1545/(60*60*24)</f>
        <v>1.7881944444444443E-2</v>
      </c>
      <c r="E861" s="5">
        <f>5135/(60*60*24)</f>
        <v>5.9432870370370372E-2</v>
      </c>
      <c r="F861" s="6">
        <f>17369/(60*60*24)</f>
        <v>0.20103009259259258</v>
      </c>
      <c r="G861" s="7" t="s">
        <v>9</v>
      </c>
    </row>
    <row r="862" spans="1:7" x14ac:dyDescent="0.45">
      <c r="A862" t="s">
        <v>957</v>
      </c>
      <c r="B862" s="2" t="s">
        <v>146</v>
      </c>
      <c r="C862" s="3">
        <f>3718/(60*60*24)</f>
        <v>4.3032407407407408E-2</v>
      </c>
      <c r="D862" s="4">
        <f>1563/(60*60*24)</f>
        <v>1.8090277777777778E-2</v>
      </c>
      <c r="E862" s="5">
        <f>5314/(60*60*24)</f>
        <v>6.1504629629629631E-2</v>
      </c>
      <c r="F862" s="6">
        <f>17489/(60*60*24)</f>
        <v>0.20241898148148149</v>
      </c>
      <c r="G862" s="7" t="s">
        <v>9</v>
      </c>
    </row>
    <row r="863" spans="1:7" x14ac:dyDescent="0.45">
      <c r="A863" t="s">
        <v>958</v>
      </c>
      <c r="B863" s="2" t="s">
        <v>148</v>
      </c>
      <c r="C863" s="3">
        <f>4220/(60*60*24)</f>
        <v>4.884259259259259E-2</v>
      </c>
      <c r="D863" s="4">
        <f>1599/(60*60*24)</f>
        <v>1.8506944444444444E-2</v>
      </c>
      <c r="E863" s="5">
        <f>5554/(60*60*24)</f>
        <v>6.4282407407407413E-2</v>
      </c>
      <c r="F863" s="6">
        <f>18274/(60*60*24)</f>
        <v>0.21150462962962963</v>
      </c>
      <c r="G863" s="7" t="s">
        <v>9</v>
      </c>
    </row>
    <row r="864" spans="1:7" x14ac:dyDescent="0.45">
      <c r="A864" t="s">
        <v>959</v>
      </c>
      <c r="B864" s="2" t="s">
        <v>150</v>
      </c>
      <c r="C864" s="3">
        <f>3626/(60*60*24)</f>
        <v>4.1967592592592591E-2</v>
      </c>
      <c r="D864" s="4">
        <f>1652/(60*60*24)</f>
        <v>1.9120370370370371E-2</v>
      </c>
      <c r="E864" s="5">
        <f>5645/(60*60*24)</f>
        <v>6.5335648148148143E-2</v>
      </c>
      <c r="F864" s="6">
        <f>19025/(60*60*24)</f>
        <v>0.22019675925925927</v>
      </c>
      <c r="G864" s="7" t="s">
        <v>9</v>
      </c>
    </row>
    <row r="865" spans="1:7" x14ac:dyDescent="0.45">
      <c r="A865" t="s">
        <v>960</v>
      </c>
      <c r="B865" s="2" t="s">
        <v>152</v>
      </c>
      <c r="C865" s="3">
        <f>4074/(60*60*24)</f>
        <v>4.715277777777778E-2</v>
      </c>
      <c r="D865" s="4">
        <f>1598/(60*60*24)</f>
        <v>1.849537037037037E-2</v>
      </c>
      <c r="E865" s="5">
        <f>5787/(60*60*24)</f>
        <v>6.6979166666666673E-2</v>
      </c>
      <c r="F865" s="6">
        <f>19788/(60*60*24)</f>
        <v>0.22902777777777777</v>
      </c>
      <c r="G865" s="7" t="s">
        <v>9</v>
      </c>
    </row>
    <row r="866" spans="1:7" x14ac:dyDescent="0.45">
      <c r="A866" t="s">
        <v>961</v>
      </c>
      <c r="B866" s="2" t="s">
        <v>154</v>
      </c>
      <c r="C866" s="3">
        <f>4547/(60*60*24)</f>
        <v>5.2627314814814814E-2</v>
      </c>
      <c r="D866" s="4">
        <f>1649/(60*60*24)</f>
        <v>1.9085648148148147E-2</v>
      </c>
      <c r="E866" s="5">
        <f>5895/(60*60*24)</f>
        <v>6.822916666666666E-2</v>
      </c>
      <c r="F866" s="6">
        <f>20889/(60*60*24)</f>
        <v>0.24177083333333332</v>
      </c>
      <c r="G866" s="7" t="s">
        <v>9</v>
      </c>
    </row>
    <row r="867" spans="1:7" x14ac:dyDescent="0.45">
      <c r="A867" t="s">
        <v>962</v>
      </c>
      <c r="B867" s="2" t="s">
        <v>156</v>
      </c>
      <c r="C867" s="8" t="s">
        <v>12</v>
      </c>
      <c r="D867" s="4">
        <f>1764/(60*60*24)</f>
        <v>2.0416666666666666E-2</v>
      </c>
      <c r="E867" s="3">
        <f>6127/(60*60*24)</f>
        <v>7.0914351851851853E-2</v>
      </c>
      <c r="F867" s="5">
        <f>21726/(60*60*24)</f>
        <v>0.25145833333333334</v>
      </c>
      <c r="G867" s="7" t="s">
        <v>9</v>
      </c>
    </row>
    <row r="868" spans="1:7" x14ac:dyDescent="0.45">
      <c r="A868" t="s">
        <v>963</v>
      </c>
      <c r="B868" s="2" t="s">
        <v>160</v>
      </c>
      <c r="C868" s="8" t="s">
        <v>12</v>
      </c>
      <c r="D868" s="4">
        <f>1815/(60*60*24)</f>
        <v>2.1006944444444446E-2</v>
      </c>
      <c r="E868" s="3">
        <f>6327/(60*60*24)</f>
        <v>7.3229166666666665E-2</v>
      </c>
      <c r="F868" s="5">
        <f>22184/(60*60*24)</f>
        <v>0.25675925925925924</v>
      </c>
      <c r="G868" s="7" t="s">
        <v>9</v>
      </c>
    </row>
    <row r="869" spans="1:7" x14ac:dyDescent="0.45">
      <c r="A869" t="s">
        <v>964</v>
      </c>
      <c r="B869" s="2" t="s">
        <v>158</v>
      </c>
      <c r="C869" s="8" t="s">
        <v>12</v>
      </c>
      <c r="D869" s="4">
        <f>1885/(60*60*24)</f>
        <v>2.1817129629629631E-2</v>
      </c>
      <c r="E869" s="3">
        <f>6596/(60*60*24)</f>
        <v>7.6342592592592587E-2</v>
      </c>
      <c r="F869" s="5">
        <f>23187/(60*60*24)</f>
        <v>0.26836805555555554</v>
      </c>
      <c r="G869" s="7" t="s">
        <v>9</v>
      </c>
    </row>
    <row r="870" spans="1:7" x14ac:dyDescent="0.45">
      <c r="A870" t="s">
        <v>965</v>
      </c>
      <c r="B870" s="2" t="s">
        <v>162</v>
      </c>
      <c r="C870" s="3">
        <f>5708/(60*60*24)</f>
        <v>6.6064814814814812E-2</v>
      </c>
      <c r="D870" s="4">
        <f>1942/(60*60*24)</f>
        <v>2.2476851851851852E-2</v>
      </c>
      <c r="E870" s="5">
        <f>6862/(60*60*24)</f>
        <v>7.9421296296296295E-2</v>
      </c>
      <c r="F870" s="6">
        <f>24287/(60*60*24)</f>
        <v>0.28109953703703705</v>
      </c>
      <c r="G870" s="7" t="s">
        <v>9</v>
      </c>
    </row>
    <row r="871" spans="1:7" x14ac:dyDescent="0.45">
      <c r="A871" t="s">
        <v>966</v>
      </c>
      <c r="B871" s="2" t="s">
        <v>164</v>
      </c>
      <c r="C871" s="3">
        <f>5563/(60*60*24)</f>
        <v>6.4386574074074068E-2</v>
      </c>
      <c r="D871" s="4">
        <f>1902/(60*60*24)</f>
        <v>2.2013888888888888E-2</v>
      </c>
      <c r="E871" s="5">
        <f>7144/(60*60*24)</f>
        <v>8.2685185185185181E-2</v>
      </c>
      <c r="F871" s="6">
        <f>25426/(60*60*24)</f>
        <v>0.29428240740740741</v>
      </c>
      <c r="G871" s="7" t="s">
        <v>9</v>
      </c>
    </row>
    <row r="872" spans="1:7" x14ac:dyDescent="0.45">
      <c r="A872" t="s">
        <v>967</v>
      </c>
      <c r="B872" s="2" t="s">
        <v>168</v>
      </c>
      <c r="C872" s="3">
        <f>5104/(60*60*24)</f>
        <v>5.9074074074074077E-2</v>
      </c>
      <c r="D872" s="4">
        <f>1983/(60*60*24)</f>
        <v>2.2951388888888889E-2</v>
      </c>
      <c r="E872" s="5">
        <f>7352/(60*60*24)</f>
        <v>8.5092592592592595E-2</v>
      </c>
      <c r="F872" s="6">
        <f>26066/(60*60*24)</f>
        <v>0.30168981481481483</v>
      </c>
      <c r="G872" s="7" t="s">
        <v>9</v>
      </c>
    </row>
    <row r="873" spans="1:7" x14ac:dyDescent="0.45">
      <c r="A873" t="s">
        <v>968</v>
      </c>
      <c r="B873" s="2" t="s">
        <v>166</v>
      </c>
      <c r="C873" s="8" t="s">
        <v>12</v>
      </c>
      <c r="D873" s="4">
        <f>2137/(60*60*24)</f>
        <v>2.4733796296296295E-2</v>
      </c>
      <c r="E873" s="3">
        <f>7967/(60*60*24)</f>
        <v>9.2210648148148153E-2</v>
      </c>
      <c r="F873" s="5">
        <f>27790/(60*60*24)</f>
        <v>0.32164351851851852</v>
      </c>
      <c r="G873" s="7" t="s">
        <v>9</v>
      </c>
    </row>
    <row r="874" spans="1:7" x14ac:dyDescent="0.45">
      <c r="A874" t="s">
        <v>969</v>
      </c>
      <c r="B874" s="2" t="s">
        <v>170</v>
      </c>
      <c r="C874" s="3">
        <f>5779/(60*60*24)</f>
        <v>6.6886574074074071E-2</v>
      </c>
      <c r="D874" s="4">
        <f>2025/(60*60*24)</f>
        <v>2.34375E-2</v>
      </c>
      <c r="E874" s="5">
        <f>7564/(60*60*24)</f>
        <v>8.7546296296296303E-2</v>
      </c>
      <c r="F874" s="6">
        <f>26982/(60*60*24)</f>
        <v>0.31229166666666669</v>
      </c>
      <c r="G874" s="7" t="s">
        <v>9</v>
      </c>
    </row>
    <row r="875" spans="1:7" x14ac:dyDescent="0.45">
      <c r="A875" t="s">
        <v>970</v>
      </c>
      <c r="B875" s="2" t="s">
        <v>172</v>
      </c>
      <c r="C875" s="8" t="s">
        <v>12</v>
      </c>
      <c r="D875" s="4">
        <f>1989/(60*60*24)</f>
        <v>2.3020833333333334E-2</v>
      </c>
      <c r="E875" s="3">
        <f>7794/(60*60*24)</f>
        <v>9.0208333333333335E-2</v>
      </c>
      <c r="F875" s="5">
        <f>27790/(60*60*24)</f>
        <v>0.32164351851851852</v>
      </c>
      <c r="G875" s="7" t="s">
        <v>9</v>
      </c>
    </row>
    <row r="876" spans="1:7" x14ac:dyDescent="0.45">
      <c r="A876" t="s">
        <v>971</v>
      </c>
      <c r="B876" s="2" t="s">
        <v>174</v>
      </c>
      <c r="C876" s="5">
        <f>10421/(60*60*24)</f>
        <v>0.12061342592592593</v>
      </c>
      <c r="D876" s="4">
        <f>2157/(60*60*24)</f>
        <v>2.4965277777777777E-2</v>
      </c>
      <c r="E876" s="3">
        <f>8324/(60*60*24)</f>
        <v>9.6342592592592591E-2</v>
      </c>
      <c r="F876" s="6">
        <f>30882/(60*60*24)</f>
        <v>0.35743055555555553</v>
      </c>
      <c r="G876" s="7" t="s">
        <v>9</v>
      </c>
    </row>
    <row r="877" spans="1:7" x14ac:dyDescent="0.45">
      <c r="A877" t="s">
        <v>972</v>
      </c>
      <c r="B877" s="2" t="s">
        <v>176</v>
      </c>
      <c r="C877" s="8" t="s">
        <v>12</v>
      </c>
      <c r="D877" s="4">
        <f>2085/(60*60*24)</f>
        <v>2.4131944444444445E-2</v>
      </c>
      <c r="E877" s="3">
        <f>7974/(60*60*24)</f>
        <v>9.2291666666666661E-2</v>
      </c>
      <c r="F877" s="5">
        <f>29593/(60*60*24)</f>
        <v>0.34251157407407407</v>
      </c>
      <c r="G877" s="7" t="s">
        <v>9</v>
      </c>
    </row>
    <row r="878" spans="1:7" x14ac:dyDescent="0.45">
      <c r="A878" t="s">
        <v>973</v>
      </c>
      <c r="B878" s="2" t="s">
        <v>180</v>
      </c>
      <c r="C878" s="5">
        <f>10140/(60*60*24)</f>
        <v>0.11736111111111111</v>
      </c>
      <c r="D878" s="4">
        <f>2134/(60*60*24)</f>
        <v>2.4699074074074075E-2</v>
      </c>
      <c r="E878" s="3">
        <f>8282/(60*60*24)</f>
        <v>9.5856481481481487E-2</v>
      </c>
      <c r="F878" s="6">
        <f>32780/(60*60*24)</f>
        <v>0.37939814814814815</v>
      </c>
      <c r="G878" s="7" t="s">
        <v>9</v>
      </c>
    </row>
    <row r="879" spans="1:7" x14ac:dyDescent="0.45">
      <c r="A879" t="s">
        <v>974</v>
      </c>
      <c r="B879" s="2" t="s">
        <v>178</v>
      </c>
      <c r="C879" s="5">
        <f>10261/(60*60*24)</f>
        <v>0.11876157407407407</v>
      </c>
      <c r="D879" s="4">
        <f>2161/(60*60*24)</f>
        <v>2.5011574074074075E-2</v>
      </c>
      <c r="E879" s="3">
        <f>9230/(60*60*24)</f>
        <v>0.1068287037037037</v>
      </c>
      <c r="F879" s="6">
        <f>32001/(60*60*24)</f>
        <v>0.37038194444444444</v>
      </c>
      <c r="G879" s="7" t="s">
        <v>9</v>
      </c>
    </row>
    <row r="880" spans="1:7" x14ac:dyDescent="0.45">
      <c r="A880" t="s">
        <v>975</v>
      </c>
      <c r="B880" s="2" t="s">
        <v>184</v>
      </c>
      <c r="C880" s="3">
        <f>5881/(60*60*24)</f>
        <v>6.806712962962963E-2</v>
      </c>
      <c r="D880" s="4">
        <f>2173/(60*60*24)</f>
        <v>2.5150462962962961E-2</v>
      </c>
      <c r="E880" s="5">
        <f>9175/(60*60*24)</f>
        <v>0.10619212962962964</v>
      </c>
      <c r="F880" s="6">
        <f>33043/(60*60*24)</f>
        <v>0.38244212962962965</v>
      </c>
      <c r="G880" s="7" t="s">
        <v>9</v>
      </c>
    </row>
    <row r="881" spans="1:7" x14ac:dyDescent="0.45">
      <c r="A881" t="s">
        <v>976</v>
      </c>
      <c r="B881" s="2" t="s">
        <v>182</v>
      </c>
      <c r="C881" s="8" t="s">
        <v>12</v>
      </c>
      <c r="D881" s="4">
        <f>2259/(60*60*24)</f>
        <v>2.6145833333333333E-2</v>
      </c>
      <c r="E881" s="3">
        <f>8749/(60*60*24)</f>
        <v>0.10126157407407407</v>
      </c>
      <c r="F881" s="5">
        <f>34161/(60*60*24)</f>
        <v>0.39538194444444447</v>
      </c>
      <c r="G881" s="7" t="s">
        <v>9</v>
      </c>
    </row>
    <row r="882" spans="1:7" x14ac:dyDescent="0.45">
      <c r="A882" t="s">
        <v>977</v>
      </c>
      <c r="B882" s="2" t="s">
        <v>8</v>
      </c>
      <c r="C882" s="3">
        <f>5766/(60*60*24)</f>
        <v>6.6736111111111107E-2</v>
      </c>
      <c r="D882" s="4">
        <f>1977/(60*60*24)</f>
        <v>2.2881944444444444E-2</v>
      </c>
      <c r="E882" s="5">
        <f>9850/(60*60*24)</f>
        <v>0.11400462962962964</v>
      </c>
      <c r="F882" s="6">
        <f>33135/(60*60*24)</f>
        <v>0.38350694444444444</v>
      </c>
      <c r="G882" s="7" t="s">
        <v>9</v>
      </c>
    </row>
    <row r="883" spans="1:7" x14ac:dyDescent="0.45">
      <c r="A883" t="s">
        <v>978</v>
      </c>
      <c r="B883" s="2" t="s">
        <v>11</v>
      </c>
      <c r="C883" s="3">
        <f>4966/(60*60*24)</f>
        <v>5.7476851851851848E-2</v>
      </c>
      <c r="D883" s="4">
        <f>1884/(60*60*24)</f>
        <v>2.1805555555555557E-2</v>
      </c>
      <c r="E883" s="5">
        <f>9703/(60*60*24)</f>
        <v>0.11230324074074075</v>
      </c>
      <c r="F883" s="6">
        <f>32599/(60*60*24)</f>
        <v>0.37730324074074073</v>
      </c>
      <c r="G883" s="7" t="s">
        <v>9</v>
      </c>
    </row>
    <row r="884" spans="1:7" x14ac:dyDescent="0.45">
      <c r="A884" t="s">
        <v>979</v>
      </c>
      <c r="B884" s="2" t="s">
        <v>14</v>
      </c>
      <c r="C884" s="3">
        <f>4708/(60*60*24)</f>
        <v>5.4490740740740742E-2</v>
      </c>
      <c r="D884" s="4">
        <f>1812/(60*60*24)</f>
        <v>2.0972222222222222E-2</v>
      </c>
      <c r="E884" s="5">
        <f>9595/(60*60*24)</f>
        <v>0.11105324074074074</v>
      </c>
      <c r="F884" s="6">
        <f>32082/(60*60*24)</f>
        <v>0.37131944444444442</v>
      </c>
      <c r="G884" s="7" t="s">
        <v>9</v>
      </c>
    </row>
    <row r="885" spans="1:7" x14ac:dyDescent="0.45">
      <c r="A885" t="s">
        <v>980</v>
      </c>
      <c r="B885" s="2" t="s">
        <v>16</v>
      </c>
      <c r="C885" s="8" t="s">
        <v>12</v>
      </c>
      <c r="D885" s="4">
        <f>1761/(60*60*24)</f>
        <v>2.0381944444444446E-2</v>
      </c>
      <c r="E885" s="3">
        <f>9070/(60*60*24)</f>
        <v>0.10497685185185185</v>
      </c>
      <c r="F885" s="5">
        <f>31173/(60*60*24)</f>
        <v>0.36079861111111111</v>
      </c>
      <c r="G885" s="7" t="s">
        <v>9</v>
      </c>
    </row>
    <row r="886" spans="1:7" x14ac:dyDescent="0.45">
      <c r="A886" t="s">
        <v>981</v>
      </c>
      <c r="B886" s="2" t="s">
        <v>20</v>
      </c>
      <c r="C886" s="3">
        <f>4677/(60*60*24)</f>
        <v>5.4131944444444448E-2</v>
      </c>
      <c r="D886" s="4">
        <f>1701/(60*60*24)</f>
        <v>1.96875E-2</v>
      </c>
      <c r="E886" s="5">
        <f>8763/(60*60*24)</f>
        <v>0.10142361111111112</v>
      </c>
      <c r="F886" s="6">
        <f>29614/(60*60*24)</f>
        <v>0.3427546296296296</v>
      </c>
      <c r="G886" s="7" t="s">
        <v>9</v>
      </c>
    </row>
    <row r="887" spans="1:7" x14ac:dyDescent="0.45">
      <c r="A887" t="s">
        <v>982</v>
      </c>
      <c r="B887" s="2" t="s">
        <v>18</v>
      </c>
      <c r="C887" s="8" t="s">
        <v>12</v>
      </c>
      <c r="D887" s="4">
        <f>1719/(60*60*24)</f>
        <v>1.9895833333333335E-2</v>
      </c>
      <c r="E887" s="3">
        <f>8917/(60*60*24)</f>
        <v>0.10320601851851852</v>
      </c>
      <c r="F887" s="5">
        <f>30505/(60*60*24)</f>
        <v>0.35306712962962961</v>
      </c>
      <c r="G887" s="7" t="s">
        <v>9</v>
      </c>
    </row>
    <row r="888" spans="1:7" x14ac:dyDescent="0.45">
      <c r="A888" t="s">
        <v>983</v>
      </c>
      <c r="B888" s="2" t="s">
        <v>22</v>
      </c>
      <c r="C888" s="3">
        <f>4700/(60*60*24)</f>
        <v>5.4398148148148147E-2</v>
      </c>
      <c r="D888" s="4">
        <f>1715/(60*60*24)</f>
        <v>1.9849537037037037E-2</v>
      </c>
      <c r="E888" s="5">
        <f>8862/(60*60*24)</f>
        <v>0.10256944444444445</v>
      </c>
      <c r="F888" s="6">
        <f>28788/(60*60*24)</f>
        <v>0.33319444444444446</v>
      </c>
      <c r="G888" s="7" t="s">
        <v>9</v>
      </c>
    </row>
    <row r="889" spans="1:7" x14ac:dyDescent="0.45">
      <c r="A889" t="s">
        <v>984</v>
      </c>
      <c r="B889" s="2" t="s">
        <v>24</v>
      </c>
      <c r="C889" s="3">
        <f>4291/(60*60*24)</f>
        <v>4.9664351851851848E-2</v>
      </c>
      <c r="D889" s="4">
        <f>1698/(60*60*24)</f>
        <v>1.9652777777777779E-2</v>
      </c>
      <c r="E889" s="5">
        <f>8514/(60*60*24)</f>
        <v>9.8541666666666666E-2</v>
      </c>
      <c r="F889" s="6">
        <f>27975/(60*60*24)</f>
        <v>0.32378472222222221</v>
      </c>
      <c r="G889" s="7" t="s">
        <v>9</v>
      </c>
    </row>
    <row r="890" spans="1:7" x14ac:dyDescent="0.45">
      <c r="A890" t="s">
        <v>985</v>
      </c>
      <c r="B890" s="2" t="s">
        <v>26</v>
      </c>
      <c r="C890" s="3">
        <f>4479/(60*60*24)</f>
        <v>5.1840277777777777E-2</v>
      </c>
      <c r="D890" s="4">
        <f>1742/(60*60*24)</f>
        <v>2.0162037037037037E-2</v>
      </c>
      <c r="E890" s="5">
        <f>8138/(60*60*24)</f>
        <v>9.418981481481481E-2</v>
      </c>
      <c r="F890" s="6">
        <f>27387/(60*60*24)</f>
        <v>0.31697916666666665</v>
      </c>
      <c r="G890" s="7" t="s">
        <v>9</v>
      </c>
    </row>
    <row r="891" spans="1:7" x14ac:dyDescent="0.45">
      <c r="A891" t="s">
        <v>986</v>
      </c>
      <c r="B891" s="2" t="s">
        <v>28</v>
      </c>
      <c r="C891" s="3">
        <f>4109/(60*60*24)</f>
        <v>4.7557870370370368E-2</v>
      </c>
      <c r="D891" s="4">
        <f>1856/(60*60*24)</f>
        <v>2.148148148148148E-2</v>
      </c>
      <c r="E891" s="5">
        <f>8127/(60*60*24)</f>
        <v>9.4062499999999993E-2</v>
      </c>
      <c r="F891" s="6">
        <f>26529/(60*60*24)</f>
        <v>0.30704861111111109</v>
      </c>
      <c r="G891" s="7" t="s">
        <v>9</v>
      </c>
    </row>
    <row r="892" spans="1:7" x14ac:dyDescent="0.45">
      <c r="A892" t="s">
        <v>987</v>
      </c>
      <c r="B892" s="2" t="s">
        <v>30</v>
      </c>
      <c r="C892" s="3">
        <f>4591/(60*60*24)</f>
        <v>5.3136574074074072E-2</v>
      </c>
      <c r="D892" s="4">
        <f>1843/(60*60*24)</f>
        <v>2.133101851851852E-2</v>
      </c>
      <c r="E892" s="5">
        <f>7901/(60*60*24)</f>
        <v>9.1446759259259255E-2</v>
      </c>
      <c r="F892" s="6">
        <f>26435/(60*60*24)</f>
        <v>0.30596064814814816</v>
      </c>
      <c r="G892" s="7" t="s">
        <v>9</v>
      </c>
    </row>
    <row r="893" spans="1:7" x14ac:dyDescent="0.45">
      <c r="A893" t="s">
        <v>988</v>
      </c>
      <c r="B893" s="2" t="s">
        <v>32</v>
      </c>
      <c r="C893" s="3">
        <f>4577/(60*60*24)</f>
        <v>5.2974537037037035E-2</v>
      </c>
      <c r="D893" s="4">
        <f>1811/(60*60*24)</f>
        <v>2.0960648148148148E-2</v>
      </c>
      <c r="E893" s="5">
        <f>7665/(60*60*24)</f>
        <v>8.8715277777777782E-2</v>
      </c>
      <c r="F893" s="6">
        <f>25615/(60*60*24)</f>
        <v>0.29646990740740742</v>
      </c>
      <c r="G893" s="7" t="s">
        <v>9</v>
      </c>
    </row>
    <row r="894" spans="1:7" x14ac:dyDescent="0.45">
      <c r="A894" t="s">
        <v>989</v>
      </c>
      <c r="B894" s="2" t="s">
        <v>36</v>
      </c>
      <c r="C894" s="3">
        <f>6762/(60*60*24)</f>
        <v>7.8263888888888883E-2</v>
      </c>
      <c r="D894" s="4">
        <f>2428/(60*60*24)</f>
        <v>2.8101851851851854E-2</v>
      </c>
      <c r="E894" s="5">
        <f>7528/(60*60*24)</f>
        <v>8.7129629629629626E-2</v>
      </c>
      <c r="F894" s="6">
        <f>24340/(60*60*24)</f>
        <v>0.28171296296296294</v>
      </c>
      <c r="G894" s="7" t="s">
        <v>9</v>
      </c>
    </row>
    <row r="895" spans="1:7" x14ac:dyDescent="0.45">
      <c r="A895" t="s">
        <v>990</v>
      </c>
      <c r="B895" s="2" t="s">
        <v>34</v>
      </c>
      <c r="C895" s="3">
        <f>7058/(60*60*24)</f>
        <v>8.1689814814814812E-2</v>
      </c>
      <c r="D895" s="4">
        <f>1867/(60*60*24)</f>
        <v>2.1608796296296296E-2</v>
      </c>
      <c r="E895" s="5">
        <f>7284/(60*60*24)</f>
        <v>8.430555555555555E-2</v>
      </c>
      <c r="F895" s="6">
        <f>23619/(60*60*24)</f>
        <v>0.27336805555555554</v>
      </c>
      <c r="G895" s="7" t="s">
        <v>9</v>
      </c>
    </row>
    <row r="896" spans="1:7" x14ac:dyDescent="0.45">
      <c r="A896" t="s">
        <v>991</v>
      </c>
      <c r="B896" s="2" t="s">
        <v>38</v>
      </c>
      <c r="C896" s="8" t="s">
        <v>12</v>
      </c>
      <c r="D896" s="4">
        <f>1698/(60*60*24)</f>
        <v>1.9652777777777779E-2</v>
      </c>
      <c r="E896" s="3">
        <f>6922/(60*60*24)</f>
        <v>8.0115740740740737E-2</v>
      </c>
      <c r="F896" s="5">
        <f>22761/(60*60*24)</f>
        <v>0.26343749999999999</v>
      </c>
      <c r="G896" s="7" t="s">
        <v>9</v>
      </c>
    </row>
    <row r="897" spans="1:7" x14ac:dyDescent="0.45">
      <c r="A897" t="s">
        <v>992</v>
      </c>
      <c r="B897" s="2" t="s">
        <v>40</v>
      </c>
      <c r="C897" s="8" t="s">
        <v>12</v>
      </c>
      <c r="D897" s="4">
        <f>1686/(60*60*24)</f>
        <v>1.951388888888889E-2</v>
      </c>
      <c r="E897" s="3">
        <f>6908/(60*60*24)</f>
        <v>7.9953703703703707E-2</v>
      </c>
      <c r="F897" s="5">
        <f>22496/(60*60*24)</f>
        <v>0.26037037037037036</v>
      </c>
      <c r="G897" s="7" t="s">
        <v>9</v>
      </c>
    </row>
    <row r="898" spans="1:7" x14ac:dyDescent="0.45">
      <c r="A898" t="s">
        <v>993</v>
      </c>
      <c r="B898" s="2" t="s">
        <v>44</v>
      </c>
      <c r="C898" s="8" t="s">
        <v>12</v>
      </c>
      <c r="D898" s="4">
        <f>1573/(60*60*24)</f>
        <v>1.8206018518518517E-2</v>
      </c>
      <c r="E898" s="3">
        <f>6544/(60*60*24)</f>
        <v>7.5740740740740747E-2</v>
      </c>
      <c r="F898" s="5">
        <f>21435/(60*60*24)</f>
        <v>0.24809027777777778</v>
      </c>
      <c r="G898" s="7" t="s">
        <v>9</v>
      </c>
    </row>
    <row r="899" spans="1:7" x14ac:dyDescent="0.45">
      <c r="A899" t="s">
        <v>994</v>
      </c>
      <c r="B899" s="2" t="s">
        <v>42</v>
      </c>
      <c r="C899" s="8" t="s">
        <v>12</v>
      </c>
      <c r="D899" s="4">
        <f>1548/(60*60*24)</f>
        <v>1.7916666666666668E-2</v>
      </c>
      <c r="E899" s="3">
        <f>6377/(60*60*24)</f>
        <v>7.3807870370370371E-2</v>
      </c>
      <c r="F899" s="5">
        <f>20848/(60*60*24)</f>
        <v>0.24129629629629629</v>
      </c>
      <c r="G899" s="7" t="s">
        <v>9</v>
      </c>
    </row>
    <row r="900" spans="1:7" x14ac:dyDescent="0.45">
      <c r="A900" t="s">
        <v>995</v>
      </c>
      <c r="B900" s="2" t="s">
        <v>48</v>
      </c>
      <c r="C900" s="3">
        <f>4660/(60*60*24)</f>
        <v>5.3935185185185183E-2</v>
      </c>
      <c r="D900" s="4">
        <f>1354/(60*60*24)</f>
        <v>1.5671296296296298E-2</v>
      </c>
      <c r="E900" s="5">
        <f>6055/(60*60*24)</f>
        <v>7.0081018518518515E-2</v>
      </c>
      <c r="F900" s="6">
        <f>19502/(60*60*24)</f>
        <v>0.22571759259259258</v>
      </c>
      <c r="G900" s="7" t="s">
        <v>9</v>
      </c>
    </row>
    <row r="901" spans="1:7" x14ac:dyDescent="0.45">
      <c r="A901" t="s">
        <v>996</v>
      </c>
      <c r="B901" s="2" t="s">
        <v>46</v>
      </c>
      <c r="C901" s="8" t="s">
        <v>12</v>
      </c>
      <c r="D901" s="4">
        <f>1482/(60*60*24)</f>
        <v>1.7152777777777777E-2</v>
      </c>
      <c r="E901" s="3">
        <f>6248/(60*60*24)</f>
        <v>7.2314814814814818E-2</v>
      </c>
      <c r="F901" s="5">
        <f>20194/(60*60*24)</f>
        <v>0.23372685185185185</v>
      </c>
      <c r="G901" s="7" t="s">
        <v>9</v>
      </c>
    </row>
    <row r="902" spans="1:7" x14ac:dyDescent="0.45">
      <c r="A902" t="s">
        <v>997</v>
      </c>
      <c r="B902" s="2" t="s">
        <v>50</v>
      </c>
      <c r="C902" s="3">
        <f>4303/(60*60*24)</f>
        <v>4.9803240740740738E-2</v>
      </c>
      <c r="D902" s="4">
        <f>1585/(60*60*24)</f>
        <v>1.8344907407407407E-2</v>
      </c>
      <c r="E902" s="5">
        <f>5991/(60*60*24)</f>
        <v>6.9340277777777778E-2</v>
      </c>
      <c r="F902" s="6">
        <f>18546/(60*60*24)</f>
        <v>0.21465277777777778</v>
      </c>
      <c r="G902" s="7" t="s">
        <v>9</v>
      </c>
    </row>
    <row r="903" spans="1:7" x14ac:dyDescent="0.45">
      <c r="A903" t="s">
        <v>998</v>
      </c>
      <c r="B903" s="2" t="s">
        <v>52</v>
      </c>
      <c r="C903" s="5">
        <f>5426/(60*60*24)</f>
        <v>6.2800925925925927E-2</v>
      </c>
      <c r="D903" s="4">
        <f>1624/(60*60*24)</f>
        <v>1.8796296296296297E-2</v>
      </c>
      <c r="E903" s="3">
        <f>5334/(60*60*24)</f>
        <v>6.173611111111111E-2</v>
      </c>
      <c r="F903" s="6">
        <f>17903/(60*60*24)</f>
        <v>0.20721064814814816</v>
      </c>
      <c r="G903" s="7" t="s">
        <v>9</v>
      </c>
    </row>
    <row r="904" spans="1:7" x14ac:dyDescent="0.45">
      <c r="A904" t="s">
        <v>999</v>
      </c>
      <c r="B904" s="2" t="s">
        <v>54</v>
      </c>
      <c r="C904" s="3">
        <f>5044/(60*60*24)</f>
        <v>5.8379629629629629E-2</v>
      </c>
      <c r="D904" s="4">
        <f>983/(60*60*24)</f>
        <v>1.1377314814814814E-2</v>
      </c>
      <c r="E904" s="5">
        <f>5137/(60*60*24)</f>
        <v>5.9456018518518519E-2</v>
      </c>
      <c r="F904" s="6">
        <f>17378/(60*60*24)</f>
        <v>0.20113425925925926</v>
      </c>
      <c r="G904" s="7" t="s">
        <v>9</v>
      </c>
    </row>
    <row r="905" spans="1:7" x14ac:dyDescent="0.45">
      <c r="A905" t="s">
        <v>1000</v>
      </c>
      <c r="B905" s="2" t="s">
        <v>56</v>
      </c>
      <c r="C905" s="5">
        <f>5206/(60*60*24)</f>
        <v>6.025462962962963E-2</v>
      </c>
      <c r="D905" s="4">
        <f>1128/(60*60*24)</f>
        <v>1.3055555555555556E-2</v>
      </c>
      <c r="E905" s="3">
        <f>5119/(60*60*24)</f>
        <v>5.9247685185185188E-2</v>
      </c>
      <c r="F905" s="6">
        <f>17107/(60*60*24)</f>
        <v>0.19799768518518518</v>
      </c>
      <c r="G905" s="7" t="s">
        <v>9</v>
      </c>
    </row>
    <row r="906" spans="1:7" x14ac:dyDescent="0.45">
      <c r="A906" t="s">
        <v>1001</v>
      </c>
      <c r="B906" s="2" t="s">
        <v>58</v>
      </c>
      <c r="C906" s="5">
        <f>5207/(60*60*24)</f>
        <v>6.0266203703703704E-2</v>
      </c>
      <c r="D906" s="4">
        <f>1290/(60*60*24)</f>
        <v>1.4930555555555556E-2</v>
      </c>
      <c r="E906" s="3">
        <f>4923/(60*60*24)</f>
        <v>5.6979166666666664E-2</v>
      </c>
      <c r="F906" s="6">
        <f>16928/(60*60*24)</f>
        <v>0.19592592592592592</v>
      </c>
      <c r="G906" s="7" t="s">
        <v>9</v>
      </c>
    </row>
    <row r="907" spans="1:7" x14ac:dyDescent="0.45">
      <c r="A907" t="s">
        <v>1002</v>
      </c>
      <c r="B907" s="2" t="s">
        <v>60</v>
      </c>
      <c r="C907" s="8" t="s">
        <v>12</v>
      </c>
      <c r="D907" s="4">
        <f>1443/(60*60*24)</f>
        <v>1.6701388888888891E-2</v>
      </c>
      <c r="E907" s="3">
        <f>4574/(60*60*24)</f>
        <v>5.2939814814814815E-2</v>
      </c>
      <c r="F907" s="5">
        <f>15833/(60*60*24)</f>
        <v>0.18325231481481483</v>
      </c>
      <c r="G907" s="7" t="s">
        <v>9</v>
      </c>
    </row>
    <row r="908" spans="1:7" x14ac:dyDescent="0.45">
      <c r="A908" t="s">
        <v>1003</v>
      </c>
      <c r="B908" s="2" t="s">
        <v>62</v>
      </c>
      <c r="C908" s="5">
        <f>4683/(60*60*24)</f>
        <v>5.4201388888888889E-2</v>
      </c>
      <c r="D908" s="4">
        <f>1477/(60*60*24)</f>
        <v>1.7094907407407406E-2</v>
      </c>
      <c r="E908" s="3">
        <f>4316/(60*60*24)</f>
        <v>4.9953703703703702E-2</v>
      </c>
      <c r="F908" s="6">
        <f>15130/(60*60*24)</f>
        <v>0.17511574074074074</v>
      </c>
      <c r="G908" s="7" t="s">
        <v>9</v>
      </c>
    </row>
    <row r="909" spans="1:7" x14ac:dyDescent="0.45">
      <c r="A909" t="s">
        <v>1004</v>
      </c>
      <c r="B909" s="2" t="s">
        <v>64</v>
      </c>
      <c r="C909" s="5">
        <f>4479/(60*60*24)</f>
        <v>5.1840277777777777E-2</v>
      </c>
      <c r="D909" s="4">
        <f>1444/(60*60*24)</f>
        <v>1.6712962962962964E-2</v>
      </c>
      <c r="E909" s="3">
        <f>4297/(60*60*24)</f>
        <v>4.9733796296296297E-2</v>
      </c>
      <c r="F909" s="6">
        <f>14891/(60*60*24)</f>
        <v>0.17234953703703704</v>
      </c>
      <c r="G909" s="7" t="s">
        <v>9</v>
      </c>
    </row>
    <row r="910" spans="1:7" x14ac:dyDescent="0.45">
      <c r="A910" t="s">
        <v>1005</v>
      </c>
      <c r="B910" s="2" t="s">
        <v>66</v>
      </c>
      <c r="C910" s="5">
        <f>4339/(60*60*24)</f>
        <v>5.0219907407407408E-2</v>
      </c>
      <c r="D910" s="4">
        <f>1350/(60*60*24)</f>
        <v>1.5625E-2</v>
      </c>
      <c r="E910" s="3">
        <f>4138/(60*60*24)</f>
        <v>4.7893518518518516E-2</v>
      </c>
      <c r="F910" s="6">
        <f>14257/(60*60*24)</f>
        <v>0.16501157407407407</v>
      </c>
      <c r="G910" s="7" t="s">
        <v>9</v>
      </c>
    </row>
    <row r="911" spans="1:7" x14ac:dyDescent="0.45">
      <c r="A911" t="s">
        <v>1006</v>
      </c>
      <c r="B911" s="2" t="s">
        <v>68</v>
      </c>
      <c r="C911" s="5">
        <f>4065/(60*60*24)</f>
        <v>4.704861111111111E-2</v>
      </c>
      <c r="D911" s="4">
        <f>1340/(60*60*24)</f>
        <v>1.5509259259259259E-2</v>
      </c>
      <c r="E911" s="3">
        <f>3993/(60*60*24)</f>
        <v>4.6215277777777779E-2</v>
      </c>
      <c r="F911" s="6">
        <f>13618/(60*60*24)</f>
        <v>0.15761574074074075</v>
      </c>
      <c r="G911" s="7" t="s">
        <v>9</v>
      </c>
    </row>
    <row r="912" spans="1:7" x14ac:dyDescent="0.45">
      <c r="A912" t="s">
        <v>1007</v>
      </c>
      <c r="B912" s="2" t="s">
        <v>70</v>
      </c>
      <c r="C912" s="5">
        <f>4636/(60*60*24)</f>
        <v>5.3657407407407411E-2</v>
      </c>
      <c r="D912" s="4">
        <f>1159/(60*60*24)</f>
        <v>1.3414351851851853E-2</v>
      </c>
      <c r="E912" s="3">
        <f>4057/(60*60*24)</f>
        <v>4.6956018518518522E-2</v>
      </c>
      <c r="F912" s="6">
        <f>13293/(60*60*24)</f>
        <v>0.15385416666666665</v>
      </c>
      <c r="G912" s="7" t="s">
        <v>9</v>
      </c>
    </row>
    <row r="913" spans="1:7" x14ac:dyDescent="0.45">
      <c r="A913" t="s">
        <v>1008</v>
      </c>
      <c r="B913" s="2" t="s">
        <v>72</v>
      </c>
      <c r="C913" s="5">
        <f>4723/(60*60*24)</f>
        <v>5.4664351851851853E-2</v>
      </c>
      <c r="D913" s="4">
        <f>1106/(60*60*24)</f>
        <v>1.2800925925925926E-2</v>
      </c>
      <c r="E913" s="3">
        <f>3939/(60*60*24)</f>
        <v>4.5590277777777778E-2</v>
      </c>
      <c r="F913" s="6">
        <f>13101/(60*60*24)</f>
        <v>0.15163194444444444</v>
      </c>
      <c r="G913" s="7" t="s">
        <v>9</v>
      </c>
    </row>
    <row r="914" spans="1:7" x14ac:dyDescent="0.45">
      <c r="A914" t="s">
        <v>1009</v>
      </c>
      <c r="B914" s="2" t="s">
        <v>74</v>
      </c>
      <c r="C914" s="5">
        <f>4187/(60*60*24)</f>
        <v>4.8460648148148149E-2</v>
      </c>
      <c r="D914" s="4">
        <f>1096/(60*60*24)</f>
        <v>1.2685185185185185E-2</v>
      </c>
      <c r="E914" s="3">
        <f>3460/(60*60*24)</f>
        <v>4.0046296296296295E-2</v>
      </c>
      <c r="F914" s="6">
        <f>11444/(60*60*24)</f>
        <v>0.13245370370370371</v>
      </c>
      <c r="G914" s="7" t="s">
        <v>9</v>
      </c>
    </row>
    <row r="915" spans="1:7" x14ac:dyDescent="0.45">
      <c r="A915" t="s">
        <v>1010</v>
      </c>
      <c r="B915" s="2" t="s">
        <v>76</v>
      </c>
      <c r="C915" s="5">
        <f>3805/(60*60*24)</f>
        <v>4.403935185185185E-2</v>
      </c>
      <c r="D915" s="4">
        <f>823/(60*60*24)</f>
        <v>9.525462962962963E-3</v>
      </c>
      <c r="E915" s="3">
        <f>3294/(60*60*24)</f>
        <v>3.8124999999999999E-2</v>
      </c>
      <c r="F915" s="6">
        <f>10814/(60*60*24)</f>
        <v>0.12516203703703704</v>
      </c>
      <c r="G915" s="7" t="s">
        <v>9</v>
      </c>
    </row>
    <row r="916" spans="1:7" x14ac:dyDescent="0.45">
      <c r="A916" t="s">
        <v>1011</v>
      </c>
      <c r="B916" s="2" t="s">
        <v>78</v>
      </c>
      <c r="C916" s="5">
        <f>4325/(60*60*24)</f>
        <v>5.0057870370370371E-2</v>
      </c>
      <c r="D916" s="4">
        <f>979/(60*60*24)</f>
        <v>1.1331018518518518E-2</v>
      </c>
      <c r="E916" s="3">
        <f>2827/(60*60*24)</f>
        <v>3.2719907407407406E-2</v>
      </c>
      <c r="F916" s="6">
        <f>9200/(60*60*24)</f>
        <v>0.10648148148148148</v>
      </c>
      <c r="G916" s="7" t="s">
        <v>9</v>
      </c>
    </row>
    <row r="917" spans="1:7" x14ac:dyDescent="0.45">
      <c r="A917" t="s">
        <v>1012</v>
      </c>
      <c r="B917" s="2" t="s">
        <v>80</v>
      </c>
      <c r="C917" s="5">
        <f>4672/(60*60*24)</f>
        <v>5.4074074074074073E-2</v>
      </c>
      <c r="D917" s="4">
        <f>1335/(60*60*24)</f>
        <v>1.545138888888889E-2</v>
      </c>
      <c r="E917" s="3">
        <f>2663/(60*60*24)</f>
        <v>3.0821759259259261E-2</v>
      </c>
      <c r="F917" s="6">
        <f>8718/(60*60*24)</f>
        <v>0.10090277777777777</v>
      </c>
      <c r="G917" s="7" t="s">
        <v>9</v>
      </c>
    </row>
    <row r="918" spans="1:7" x14ac:dyDescent="0.45">
      <c r="A918" t="s">
        <v>1013</v>
      </c>
      <c r="B918" s="2" t="s">
        <v>84</v>
      </c>
      <c r="C918" s="5">
        <f>3268/(60*60*24)</f>
        <v>3.7824074074074072E-2</v>
      </c>
      <c r="D918" s="4">
        <f>519/(60*60*24)</f>
        <v>6.0069444444444441E-3</v>
      </c>
      <c r="E918" s="3">
        <f>2726/(60*60*24)</f>
        <v>3.1550925925925927E-2</v>
      </c>
      <c r="F918" s="6">
        <f>8112/(60*60*24)</f>
        <v>9.3888888888888883E-2</v>
      </c>
      <c r="G918" s="7" t="s">
        <v>9</v>
      </c>
    </row>
    <row r="919" spans="1:7" x14ac:dyDescent="0.45">
      <c r="A919" t="s">
        <v>1014</v>
      </c>
      <c r="B919" s="2" t="s">
        <v>82</v>
      </c>
      <c r="C919" s="5">
        <f>2840/(60*60*24)</f>
        <v>3.2870370370370369E-2</v>
      </c>
      <c r="D919" s="4">
        <f>1377/(60*60*24)</f>
        <v>1.59375E-2</v>
      </c>
      <c r="E919" s="3">
        <f>2642/(60*60*24)</f>
        <v>3.0578703703703705E-2</v>
      </c>
      <c r="F919" s="6">
        <f>8501/(60*60*24)</f>
        <v>9.8391203703703703E-2</v>
      </c>
      <c r="G919" s="7" t="s">
        <v>9</v>
      </c>
    </row>
    <row r="920" spans="1:7" x14ac:dyDescent="0.45">
      <c r="A920" t="s">
        <v>1015</v>
      </c>
      <c r="B920" s="2" t="s">
        <v>86</v>
      </c>
      <c r="C920" s="5">
        <f>3732/(60*60*24)</f>
        <v>4.3194444444444445E-2</v>
      </c>
      <c r="D920" s="4">
        <f>1044/(60*60*24)</f>
        <v>1.2083333333333333E-2</v>
      </c>
      <c r="E920" s="3">
        <f>2091/(60*60*24)</f>
        <v>2.420138888888889E-2</v>
      </c>
      <c r="F920" s="6">
        <f>7203/(60*60*24)</f>
        <v>8.3368055555555556E-2</v>
      </c>
      <c r="G920" s="7" t="s">
        <v>9</v>
      </c>
    </row>
    <row r="921" spans="1:7" x14ac:dyDescent="0.45">
      <c r="A921" t="s">
        <v>1016</v>
      </c>
      <c r="B921" s="2" t="s">
        <v>88</v>
      </c>
      <c r="C921" s="8" t="s">
        <v>12</v>
      </c>
      <c r="D921" s="4">
        <f>1146/(60*60*24)</f>
        <v>1.3263888888888889E-2</v>
      </c>
      <c r="E921" s="3">
        <f>2419/(60*60*24)</f>
        <v>2.7997685185185184E-2</v>
      </c>
      <c r="F921" s="5">
        <f>8100/(60*60*24)</f>
        <v>9.375E-2</v>
      </c>
      <c r="G921" s="7" t="s">
        <v>9</v>
      </c>
    </row>
    <row r="922" spans="1:7" x14ac:dyDescent="0.45">
      <c r="A922" t="s">
        <v>1017</v>
      </c>
      <c r="B922" s="2" t="s">
        <v>90</v>
      </c>
      <c r="C922" s="5">
        <f>3912/(60*60*24)</f>
        <v>4.5277777777777778E-2</v>
      </c>
      <c r="D922" s="4">
        <f>1121/(60*60*24)</f>
        <v>1.2974537037037038E-2</v>
      </c>
      <c r="E922" s="3">
        <f>1794/(60*60*24)</f>
        <v>2.0763888888888887E-2</v>
      </c>
      <c r="F922" s="6">
        <f>6254/(60*60*24)</f>
        <v>7.2384259259259259E-2</v>
      </c>
      <c r="G922" s="7" t="s">
        <v>9</v>
      </c>
    </row>
    <row r="923" spans="1:7" x14ac:dyDescent="0.45">
      <c r="A923" t="s">
        <v>1018</v>
      </c>
      <c r="B923" s="2" t="s">
        <v>92</v>
      </c>
      <c r="C923" s="8" t="s">
        <v>12</v>
      </c>
      <c r="D923" s="4">
        <f>1262/(60*60*24)</f>
        <v>1.4606481481481481E-2</v>
      </c>
      <c r="E923" s="3">
        <f>1984/(60*60*24)</f>
        <v>2.2962962962962963E-2</v>
      </c>
      <c r="F923" s="5">
        <f>6868/(60*60*24)</f>
        <v>7.9490740740740737E-2</v>
      </c>
      <c r="G923" s="7" t="s">
        <v>9</v>
      </c>
    </row>
    <row r="924" spans="1:7" x14ac:dyDescent="0.45">
      <c r="A924" t="s">
        <v>1019</v>
      </c>
      <c r="B924" s="2" t="s">
        <v>94</v>
      </c>
      <c r="C924" s="8" t="s">
        <v>12</v>
      </c>
      <c r="D924" s="4">
        <f>770/(60*60*24)</f>
        <v>8.9120370370370378E-3</v>
      </c>
      <c r="E924" s="3">
        <f>1496/(60*60*24)</f>
        <v>1.7314814814814814E-2</v>
      </c>
      <c r="F924" s="5">
        <f>4419/(60*60*24)</f>
        <v>5.1145833333333335E-2</v>
      </c>
      <c r="G924" s="7" t="s">
        <v>9</v>
      </c>
    </row>
    <row r="925" spans="1:7" x14ac:dyDescent="0.45">
      <c r="A925" t="s">
        <v>1020</v>
      </c>
      <c r="B925" s="2" t="s">
        <v>96</v>
      </c>
      <c r="C925" s="8" t="s">
        <v>12</v>
      </c>
      <c r="D925" s="4">
        <f>786/(60*60*24)</f>
        <v>9.0972222222222218E-3</v>
      </c>
      <c r="E925" s="3">
        <f>1302/(60*60*24)</f>
        <v>1.5069444444444444E-2</v>
      </c>
      <c r="F925" s="5">
        <f>4013/(60*60*24)</f>
        <v>4.6446759259259257E-2</v>
      </c>
      <c r="G925" s="7" t="s">
        <v>9</v>
      </c>
    </row>
    <row r="926" spans="1:7" x14ac:dyDescent="0.45">
      <c r="A926" t="s">
        <v>1021</v>
      </c>
      <c r="B926" s="2" t="s">
        <v>98</v>
      </c>
      <c r="C926" s="8" t="s">
        <v>12</v>
      </c>
      <c r="D926" s="4">
        <f>748/(60*60*24)</f>
        <v>8.6574074074074071E-3</v>
      </c>
      <c r="E926" s="3">
        <f>1114/(60*60*24)</f>
        <v>1.2893518518518518E-2</v>
      </c>
      <c r="F926" s="5">
        <f>4067/(60*60*24)</f>
        <v>4.7071759259259258E-2</v>
      </c>
      <c r="G926" s="7" t="s">
        <v>9</v>
      </c>
    </row>
    <row r="927" spans="1:7" x14ac:dyDescent="0.45">
      <c r="A927" t="s">
        <v>1022</v>
      </c>
      <c r="B927" s="2" t="s">
        <v>100</v>
      </c>
      <c r="C927" s="8" t="s">
        <v>12</v>
      </c>
      <c r="D927" s="4">
        <f>762/(60*60*24)</f>
        <v>8.819444444444444E-3</v>
      </c>
      <c r="E927" s="3">
        <f>1145/(60*60*24)</f>
        <v>1.3252314814814814E-2</v>
      </c>
      <c r="F927" s="5">
        <f>3793/(60*60*24)</f>
        <v>4.3900462962962961E-2</v>
      </c>
      <c r="G927" s="7" t="s">
        <v>9</v>
      </c>
    </row>
    <row r="928" spans="1:7" x14ac:dyDescent="0.45">
      <c r="A928" t="s">
        <v>1023</v>
      </c>
      <c r="B928" s="2" t="s">
        <v>104</v>
      </c>
      <c r="C928" s="5">
        <f>1459/(60*60*24)</f>
        <v>1.6886574074074075E-2</v>
      </c>
      <c r="D928" s="4">
        <f>699/(60*60*24)</f>
        <v>8.0902777777777778E-3</v>
      </c>
      <c r="E928" s="3">
        <f>1228/(60*60*24)</f>
        <v>1.4212962962962964E-2</v>
      </c>
      <c r="F928" s="6">
        <f>4095/(60*60*24)</f>
        <v>4.7395833333333331E-2</v>
      </c>
      <c r="G928" s="7" t="s">
        <v>9</v>
      </c>
    </row>
    <row r="929" spans="1:7" x14ac:dyDescent="0.45">
      <c r="A929" t="s">
        <v>1024</v>
      </c>
      <c r="B929" s="2" t="s">
        <v>102</v>
      </c>
      <c r="C929" s="3">
        <f>986/(60*60*24)</f>
        <v>1.1412037037037037E-2</v>
      </c>
      <c r="D929" s="4">
        <f>722/(60*60*24)</f>
        <v>8.3564814814814821E-3</v>
      </c>
      <c r="E929" s="5">
        <f>1409/(60*60*24)</f>
        <v>1.6307870370370372E-2</v>
      </c>
      <c r="F929" s="6">
        <f>5108/(60*60*24)</f>
        <v>5.9120370370370372E-2</v>
      </c>
      <c r="G929" s="7" t="s">
        <v>9</v>
      </c>
    </row>
    <row r="930" spans="1:7" x14ac:dyDescent="0.45">
      <c r="A930" t="s">
        <v>1025</v>
      </c>
      <c r="B930" s="2" t="s">
        <v>106</v>
      </c>
      <c r="C930" s="8" t="s">
        <v>12</v>
      </c>
      <c r="D930" s="4">
        <f>739/(60*60*24)</f>
        <v>8.5532407407407415E-3</v>
      </c>
      <c r="E930" s="3">
        <f>1448/(60*60*24)</f>
        <v>1.6759259259259258E-2</v>
      </c>
      <c r="F930" s="5">
        <f>4659/(60*60*24)</f>
        <v>5.392361111111111E-2</v>
      </c>
      <c r="G930" s="7" t="s">
        <v>9</v>
      </c>
    </row>
    <row r="931" spans="1:7" x14ac:dyDescent="0.45">
      <c r="A931" t="s">
        <v>1026</v>
      </c>
      <c r="B931" s="2" t="s">
        <v>108</v>
      </c>
      <c r="C931" s="8" t="s">
        <v>12</v>
      </c>
      <c r="D931" s="4">
        <f>718/(60*60*24)</f>
        <v>8.3101851851851843E-3</v>
      </c>
      <c r="E931" s="3">
        <f>1463/(60*60*24)</f>
        <v>1.6932870370370369E-2</v>
      </c>
      <c r="F931" s="5">
        <f>4884/(60*60*24)</f>
        <v>5.6527777777777781E-2</v>
      </c>
      <c r="G931" s="7" t="s">
        <v>9</v>
      </c>
    </row>
    <row r="932" spans="1:7" x14ac:dyDescent="0.45">
      <c r="A932" t="s">
        <v>1027</v>
      </c>
      <c r="B932" s="2" t="s">
        <v>110</v>
      </c>
      <c r="C932" s="5">
        <f>2414/(60*60*24)</f>
        <v>2.7939814814814813E-2</v>
      </c>
      <c r="D932" s="4">
        <f>912/(60*60*24)</f>
        <v>1.0555555555555556E-2</v>
      </c>
      <c r="E932" s="3">
        <f>1721/(60*60*24)</f>
        <v>1.9918981481481482E-2</v>
      </c>
      <c r="F932" s="6">
        <f>5553/(60*60*24)</f>
        <v>6.4270833333333333E-2</v>
      </c>
      <c r="G932" s="7" t="s">
        <v>9</v>
      </c>
    </row>
    <row r="933" spans="1:7" x14ac:dyDescent="0.45">
      <c r="A933" t="s">
        <v>1028</v>
      </c>
      <c r="B933" s="2" t="s">
        <v>112</v>
      </c>
      <c r="C933" s="5">
        <f>2503/(60*60*24)</f>
        <v>2.8969907407407406E-2</v>
      </c>
      <c r="D933" s="4">
        <f>987/(60*60*24)</f>
        <v>1.1423611111111112E-2</v>
      </c>
      <c r="E933" s="3">
        <f>2080/(60*60*24)</f>
        <v>2.4074074074074074E-2</v>
      </c>
      <c r="F933" s="6">
        <f>6492/(60*60*24)</f>
        <v>7.5138888888888894E-2</v>
      </c>
      <c r="G933" s="7" t="s">
        <v>9</v>
      </c>
    </row>
    <row r="934" spans="1:7" x14ac:dyDescent="0.45">
      <c r="A934" t="s">
        <v>1029</v>
      </c>
      <c r="B934" s="2" t="s">
        <v>114</v>
      </c>
      <c r="C934" s="5">
        <f>2924/(60*60*24)</f>
        <v>3.3842592592592591E-2</v>
      </c>
      <c r="D934" s="4">
        <f>1075/(60*60*24)</f>
        <v>1.2442129629629629E-2</v>
      </c>
      <c r="E934" s="3">
        <f>2067/(60*60*24)</f>
        <v>2.3923611111111111E-2</v>
      </c>
      <c r="F934" s="6">
        <f>6817/(60*60*24)</f>
        <v>7.8900462962962964E-2</v>
      </c>
      <c r="G934" s="7" t="s">
        <v>9</v>
      </c>
    </row>
    <row r="935" spans="1:7" x14ac:dyDescent="0.45">
      <c r="A935" t="s">
        <v>1030</v>
      </c>
      <c r="B935" s="2" t="s">
        <v>116</v>
      </c>
      <c r="C935" s="8" t="s">
        <v>12</v>
      </c>
      <c r="D935" s="4">
        <f>991/(60*60*24)</f>
        <v>1.1469907407407408E-2</v>
      </c>
      <c r="E935" s="3">
        <f>2254/(60*60*24)</f>
        <v>2.6087962962962962E-2</v>
      </c>
      <c r="F935" s="5">
        <f>7112/(60*60*24)</f>
        <v>8.2314814814814813E-2</v>
      </c>
      <c r="G935" s="7" t="s">
        <v>9</v>
      </c>
    </row>
    <row r="936" spans="1:7" x14ac:dyDescent="0.45">
      <c r="A936" t="s">
        <v>1031</v>
      </c>
      <c r="B936" s="2" t="s">
        <v>118</v>
      </c>
      <c r="C936" s="8" t="s">
        <v>12</v>
      </c>
      <c r="D936" s="4">
        <f>1317/(60*60*24)</f>
        <v>1.5243055555555555E-2</v>
      </c>
      <c r="E936" s="3">
        <f>2395/(60*60*24)</f>
        <v>2.7719907407407408E-2</v>
      </c>
      <c r="F936" s="5">
        <f>8254/(60*60*24)</f>
        <v>9.5532407407407413E-2</v>
      </c>
      <c r="G936" s="7" t="s">
        <v>9</v>
      </c>
    </row>
    <row r="937" spans="1:7" x14ac:dyDescent="0.45">
      <c r="A937" t="s">
        <v>1032</v>
      </c>
      <c r="B937" s="2" t="s">
        <v>120</v>
      </c>
      <c r="C937" s="8" t="s">
        <v>12</v>
      </c>
      <c r="D937" s="4">
        <f>1559/(60*60*24)</f>
        <v>1.804398148148148E-2</v>
      </c>
      <c r="E937" s="3">
        <f>2791/(60*60*24)</f>
        <v>3.2303240740740743E-2</v>
      </c>
      <c r="F937" s="5">
        <f>9238/(60*60*24)</f>
        <v>0.10692129629629629</v>
      </c>
      <c r="G937" s="7" t="s">
        <v>9</v>
      </c>
    </row>
    <row r="938" spans="1:7" x14ac:dyDescent="0.45">
      <c r="A938" t="s">
        <v>1033</v>
      </c>
      <c r="B938" s="2" t="s">
        <v>124</v>
      </c>
      <c r="C938" s="8" t="s">
        <v>12</v>
      </c>
      <c r="D938" s="4">
        <f>1479/(60*60*24)</f>
        <v>1.7118055555555556E-2</v>
      </c>
      <c r="E938" s="3">
        <f>2655/(60*60*24)</f>
        <v>3.0729166666666665E-2</v>
      </c>
      <c r="F938" s="5">
        <f>8985/(60*60*24)</f>
        <v>0.10399305555555556</v>
      </c>
      <c r="G938" s="7" t="s">
        <v>9</v>
      </c>
    </row>
    <row r="939" spans="1:7" x14ac:dyDescent="0.45">
      <c r="A939" t="s">
        <v>1034</v>
      </c>
      <c r="B939" s="2" t="s">
        <v>122</v>
      </c>
      <c r="C939" s="8" t="s">
        <v>12</v>
      </c>
      <c r="D939" s="4">
        <f>1509/(60*60*24)</f>
        <v>1.7465277777777777E-2</v>
      </c>
      <c r="E939" s="3">
        <f>2793/(60*60*24)</f>
        <v>3.2326388888888891E-2</v>
      </c>
      <c r="F939" s="5">
        <f>9715/(60*60*24)</f>
        <v>0.11244212962962963</v>
      </c>
      <c r="G939" s="7" t="s">
        <v>9</v>
      </c>
    </row>
    <row r="940" spans="1:7" x14ac:dyDescent="0.45">
      <c r="A940" t="s">
        <v>1035</v>
      </c>
      <c r="B940" s="2" t="s">
        <v>126</v>
      </c>
      <c r="C940" s="8" t="s">
        <v>12</v>
      </c>
      <c r="D940" s="4">
        <f>1548/(60*60*24)</f>
        <v>1.7916666666666668E-2</v>
      </c>
      <c r="E940" s="3">
        <f>3511/(60*60*24)</f>
        <v>4.0636574074074075E-2</v>
      </c>
      <c r="F940" s="5">
        <f>10861/(60*60*24)</f>
        <v>0.12570601851851851</v>
      </c>
      <c r="G940" s="7" t="s">
        <v>9</v>
      </c>
    </row>
    <row r="941" spans="1:7" x14ac:dyDescent="0.45">
      <c r="A941" t="s">
        <v>1036</v>
      </c>
      <c r="B941" s="2" t="s">
        <v>128</v>
      </c>
      <c r="C941" s="8" t="s">
        <v>12</v>
      </c>
      <c r="D941" s="4">
        <f>1506/(60*60*24)</f>
        <v>1.7430555555555557E-2</v>
      </c>
      <c r="E941" s="3">
        <f>3748/(60*60*24)</f>
        <v>4.3379629629629629E-2</v>
      </c>
      <c r="F941" s="5">
        <f>10905/(60*60*24)</f>
        <v>0.12621527777777777</v>
      </c>
      <c r="G941" s="7" t="s">
        <v>9</v>
      </c>
    </row>
    <row r="942" spans="1:7" x14ac:dyDescent="0.45">
      <c r="A942" t="s">
        <v>1037</v>
      </c>
      <c r="B942" s="2" t="s">
        <v>130</v>
      </c>
      <c r="C942" s="5">
        <f>5338/(60*60*24)</f>
        <v>6.1782407407407404E-2</v>
      </c>
      <c r="D942" s="4">
        <f>1385/(60*60*24)</f>
        <v>1.6030092592592592E-2</v>
      </c>
      <c r="E942" s="3">
        <f>3619/(60*60*24)</f>
        <v>4.1886574074074076E-2</v>
      </c>
      <c r="F942" s="6">
        <f>11537/(60*60*24)</f>
        <v>0.1335300925925926</v>
      </c>
      <c r="G942" s="7" t="s">
        <v>9</v>
      </c>
    </row>
    <row r="943" spans="1:7" x14ac:dyDescent="0.45">
      <c r="A943" t="s">
        <v>1038</v>
      </c>
      <c r="B943" s="2" t="s">
        <v>132</v>
      </c>
      <c r="C943" s="5">
        <f>5223/(60*60*24)</f>
        <v>6.0451388888888888E-2</v>
      </c>
      <c r="D943" s="4">
        <f>1290/(60*60*24)</f>
        <v>1.4930555555555556E-2</v>
      </c>
      <c r="E943" s="3">
        <f>3985/(60*60*24)</f>
        <v>4.6122685185185183E-2</v>
      </c>
      <c r="F943" s="6">
        <f>12914/(60*60*24)</f>
        <v>0.1494675925925926</v>
      </c>
      <c r="G943" s="7" t="s">
        <v>9</v>
      </c>
    </row>
    <row r="944" spans="1:7" x14ac:dyDescent="0.45">
      <c r="A944" t="s">
        <v>1039</v>
      </c>
      <c r="B944" s="2" t="s">
        <v>136</v>
      </c>
      <c r="C944" s="3">
        <f>3550/(60*60*24)</f>
        <v>4.1087962962962965E-2</v>
      </c>
      <c r="D944" s="4">
        <f>1341/(60*60*24)</f>
        <v>1.5520833333333333E-2</v>
      </c>
      <c r="E944" s="5">
        <f>4042/(60*60*24)</f>
        <v>4.6782407407407404E-2</v>
      </c>
      <c r="F944" s="6">
        <f>13208/(60*60*24)</f>
        <v>0.15287037037037038</v>
      </c>
      <c r="G944" s="7" t="s">
        <v>9</v>
      </c>
    </row>
    <row r="945" spans="1:7" x14ac:dyDescent="0.45">
      <c r="A945" t="s">
        <v>1040</v>
      </c>
      <c r="B945" s="2" t="s">
        <v>134</v>
      </c>
      <c r="C945" s="3">
        <f>3237/(60*60*24)</f>
        <v>3.7465277777777778E-2</v>
      </c>
      <c r="D945" s="4">
        <f>1273/(60*60*24)</f>
        <v>1.4733796296296297E-2</v>
      </c>
      <c r="E945" s="5">
        <f>4419/(60*60*24)</f>
        <v>5.1145833333333335E-2</v>
      </c>
      <c r="F945" s="6">
        <f>13971/(60*60*24)</f>
        <v>0.16170138888888888</v>
      </c>
      <c r="G945" s="7" t="s">
        <v>9</v>
      </c>
    </row>
    <row r="946" spans="1:7" x14ac:dyDescent="0.45">
      <c r="A946" t="s">
        <v>1041</v>
      </c>
      <c r="B946" s="2" t="s">
        <v>138</v>
      </c>
      <c r="C946" s="3">
        <f>3813/(60*60*24)</f>
        <v>4.4131944444444446E-2</v>
      </c>
      <c r="D946" s="4">
        <f>1865/(60*60*24)</f>
        <v>2.1585648148148149E-2</v>
      </c>
      <c r="E946" s="5">
        <f>4581/(60*60*24)</f>
        <v>5.3020833333333336E-2</v>
      </c>
      <c r="F946" s="6">
        <f>14388/(60*60*24)</f>
        <v>0.16652777777777777</v>
      </c>
      <c r="G946" s="7" t="s">
        <v>9</v>
      </c>
    </row>
    <row r="947" spans="1:7" x14ac:dyDescent="0.45">
      <c r="A947" t="s">
        <v>1042</v>
      </c>
      <c r="B947" s="2" t="s">
        <v>140</v>
      </c>
      <c r="C947" s="3">
        <f>3965/(60*60*24)</f>
        <v>4.5891203703703705E-2</v>
      </c>
      <c r="D947" s="4">
        <f>1539/(60*60*24)</f>
        <v>1.7812499999999998E-2</v>
      </c>
      <c r="E947" s="5">
        <f>4690/(60*60*24)</f>
        <v>5.4282407407407404E-2</v>
      </c>
      <c r="F947" s="6">
        <f>15010/(60*60*24)</f>
        <v>0.17372685185185185</v>
      </c>
      <c r="G947" s="7" t="s">
        <v>9</v>
      </c>
    </row>
    <row r="948" spans="1:7" x14ac:dyDescent="0.45">
      <c r="A948" t="s">
        <v>1043</v>
      </c>
      <c r="B948" s="2" t="s">
        <v>142</v>
      </c>
      <c r="C948" s="8" t="s">
        <v>12</v>
      </c>
      <c r="D948" s="4">
        <f>1510/(60*60*24)</f>
        <v>1.7476851851851851E-2</v>
      </c>
      <c r="E948" s="3">
        <f>4858/(60*60*24)</f>
        <v>5.6226851851851854E-2</v>
      </c>
      <c r="F948" s="5">
        <f>15785/(60*60*24)</f>
        <v>0.18269675925925927</v>
      </c>
      <c r="G948" s="7" t="s">
        <v>9</v>
      </c>
    </row>
    <row r="949" spans="1:7" x14ac:dyDescent="0.45">
      <c r="A949" t="s">
        <v>1044</v>
      </c>
      <c r="B949" s="2" t="s">
        <v>144</v>
      </c>
      <c r="C949" s="8" t="s">
        <v>12</v>
      </c>
      <c r="D949" s="4">
        <f>1609/(60*60*24)</f>
        <v>1.8622685185185187E-2</v>
      </c>
      <c r="E949" s="3">
        <f>4964/(60*60*24)</f>
        <v>5.7453703703703701E-2</v>
      </c>
      <c r="F949" s="5">
        <f>16485/(60*60*24)</f>
        <v>0.1907986111111111</v>
      </c>
      <c r="G949" s="7" t="s">
        <v>9</v>
      </c>
    </row>
    <row r="950" spans="1:7" x14ac:dyDescent="0.45">
      <c r="A950" t="s">
        <v>1045</v>
      </c>
      <c r="B950" s="2" t="s">
        <v>146</v>
      </c>
      <c r="C950" s="8" t="s">
        <v>12</v>
      </c>
      <c r="D950" s="4">
        <f>1985/(60*60*24)</f>
        <v>2.2974537037037036E-2</v>
      </c>
      <c r="E950" s="3">
        <f>5100/(60*60*24)</f>
        <v>5.9027777777777776E-2</v>
      </c>
      <c r="F950" s="5">
        <f>17472/(60*60*24)</f>
        <v>0.20222222222222222</v>
      </c>
      <c r="G950" s="7" t="s">
        <v>9</v>
      </c>
    </row>
    <row r="951" spans="1:7" x14ac:dyDescent="0.45">
      <c r="A951" t="s">
        <v>1046</v>
      </c>
      <c r="B951" s="2" t="s">
        <v>148</v>
      </c>
      <c r="C951" s="8" t="s">
        <v>12</v>
      </c>
      <c r="D951" s="4">
        <f>1821/(60*60*24)</f>
        <v>2.1076388888888888E-2</v>
      </c>
      <c r="E951" s="3">
        <f>5540/(60*60*24)</f>
        <v>6.4120370370370369E-2</v>
      </c>
      <c r="F951" s="5">
        <f>18646/(60*60*24)</f>
        <v>0.21581018518518519</v>
      </c>
      <c r="G951" s="7" t="s">
        <v>9</v>
      </c>
    </row>
    <row r="952" spans="1:7" x14ac:dyDescent="0.45">
      <c r="A952" t="s">
        <v>1047</v>
      </c>
      <c r="B952" s="2" t="s">
        <v>150</v>
      </c>
      <c r="C952" s="3">
        <f>4421/(60*60*24)</f>
        <v>5.1168981481481482E-2</v>
      </c>
      <c r="D952" s="4">
        <f>1700/(60*60*24)</f>
        <v>1.9675925925925927E-2</v>
      </c>
      <c r="E952" s="5">
        <f>5427/(60*60*24)</f>
        <v>6.2812499999999993E-2</v>
      </c>
      <c r="F952" s="6">
        <f>19206/(60*60*24)</f>
        <v>0.22229166666666667</v>
      </c>
      <c r="G952" s="7" t="s">
        <v>9</v>
      </c>
    </row>
    <row r="953" spans="1:7" x14ac:dyDescent="0.45">
      <c r="A953" t="s">
        <v>1048</v>
      </c>
      <c r="B953" s="2" t="s">
        <v>152</v>
      </c>
      <c r="C953" s="3">
        <f>3956/(60*60*24)</f>
        <v>4.5787037037037036E-2</v>
      </c>
      <c r="D953" s="4">
        <f>1705/(60*60*24)</f>
        <v>1.9733796296296298E-2</v>
      </c>
      <c r="E953" s="5">
        <f>5551/(60*60*24)</f>
        <v>6.4247685185185185E-2</v>
      </c>
      <c r="F953" s="6">
        <f>19743/(60*60*24)</f>
        <v>0.22850694444444444</v>
      </c>
      <c r="G953" s="7" t="s">
        <v>9</v>
      </c>
    </row>
    <row r="954" spans="1:7" x14ac:dyDescent="0.45">
      <c r="A954" t="s">
        <v>1049</v>
      </c>
      <c r="B954" s="2" t="s">
        <v>154</v>
      </c>
      <c r="C954" s="3">
        <f>4587/(60*60*24)</f>
        <v>5.3090277777777778E-2</v>
      </c>
      <c r="D954" s="4">
        <f>1783/(60*60*24)</f>
        <v>2.0636574074074075E-2</v>
      </c>
      <c r="E954" s="5">
        <f>5798/(60*60*24)</f>
        <v>6.7106481481481475E-2</v>
      </c>
      <c r="F954" s="6">
        <f>20453/(60*60*24)</f>
        <v>0.23672453703703702</v>
      </c>
      <c r="G954" s="7" t="s">
        <v>9</v>
      </c>
    </row>
    <row r="955" spans="1:7" x14ac:dyDescent="0.45">
      <c r="A955" t="s">
        <v>1050</v>
      </c>
      <c r="B955" s="2" t="s">
        <v>156</v>
      </c>
      <c r="C955" s="8" t="s">
        <v>12</v>
      </c>
      <c r="D955" s="4">
        <f>1804/(60*60*24)</f>
        <v>2.087962962962963E-2</v>
      </c>
      <c r="E955" s="3">
        <f>6107/(60*60*24)</f>
        <v>7.0682870370370368E-2</v>
      </c>
      <c r="F955" s="5">
        <f>21292/(60*60*24)</f>
        <v>0.24643518518518517</v>
      </c>
      <c r="G955" s="7" t="s">
        <v>9</v>
      </c>
    </row>
    <row r="956" spans="1:7" x14ac:dyDescent="0.45">
      <c r="A956" t="s">
        <v>1051</v>
      </c>
      <c r="B956" s="2" t="s">
        <v>160</v>
      </c>
      <c r="C956" s="8" t="s">
        <v>12</v>
      </c>
      <c r="D956" s="4">
        <f>1864/(60*60*24)</f>
        <v>2.1574074074074075E-2</v>
      </c>
      <c r="E956" s="3">
        <f>6246/(60*60*24)</f>
        <v>7.2291666666666671E-2</v>
      </c>
      <c r="F956" s="5">
        <f>22353/(60*60*24)</f>
        <v>0.25871527777777775</v>
      </c>
      <c r="G956" s="7" t="s">
        <v>9</v>
      </c>
    </row>
    <row r="957" spans="1:7" x14ac:dyDescent="0.45">
      <c r="A957" t="s">
        <v>1052</v>
      </c>
      <c r="B957" s="2" t="s">
        <v>158</v>
      </c>
      <c r="C957" s="8" t="s">
        <v>12</v>
      </c>
      <c r="D957" s="4">
        <f>1953/(60*60*24)</f>
        <v>2.2604166666666668E-2</v>
      </c>
      <c r="E957" s="3">
        <f>6503/(60*60*24)</f>
        <v>7.526620370370371E-2</v>
      </c>
      <c r="F957" s="5">
        <f>23167/(60*60*24)</f>
        <v>0.2681365740740741</v>
      </c>
      <c r="G957" s="7" t="s">
        <v>9</v>
      </c>
    </row>
    <row r="958" spans="1:7" x14ac:dyDescent="0.45">
      <c r="A958" t="s">
        <v>1053</v>
      </c>
      <c r="B958" s="2" t="s">
        <v>162</v>
      </c>
      <c r="C958" s="8" t="s">
        <v>12</v>
      </c>
      <c r="D958" s="4">
        <f>2021/(60*60*24)</f>
        <v>2.3391203703703702E-2</v>
      </c>
      <c r="E958" s="3">
        <f>6801/(60*60*24)</f>
        <v>7.8715277777777773E-2</v>
      </c>
      <c r="F958" s="5">
        <f>24119/(60*60*24)</f>
        <v>0.27915509259259258</v>
      </c>
      <c r="G958" s="7" t="s">
        <v>9</v>
      </c>
    </row>
    <row r="959" spans="1:7" x14ac:dyDescent="0.45">
      <c r="A959" t="s">
        <v>1054</v>
      </c>
      <c r="B959" s="2" t="s">
        <v>164</v>
      </c>
      <c r="C959" s="8" t="s">
        <v>12</v>
      </c>
      <c r="D959" s="4">
        <f>2105/(60*60*24)</f>
        <v>2.4363425925925927E-2</v>
      </c>
      <c r="E959" s="3">
        <f>7022/(60*60*24)</f>
        <v>8.127314814814815E-2</v>
      </c>
      <c r="F959" s="5">
        <f>24765/(60*60*24)</f>
        <v>0.28663194444444445</v>
      </c>
      <c r="G959" s="7" t="s">
        <v>9</v>
      </c>
    </row>
    <row r="960" spans="1:7" x14ac:dyDescent="0.45">
      <c r="A960" t="s">
        <v>1055</v>
      </c>
      <c r="B960" s="2" t="s">
        <v>166</v>
      </c>
      <c r="C960" s="3">
        <f>5710/(60*60*24)</f>
        <v>6.6087962962962959E-2</v>
      </c>
      <c r="D960" s="4">
        <f>2097/(60*60*24)</f>
        <v>2.4270833333333332E-2</v>
      </c>
      <c r="E960" s="5">
        <f>7309/(60*60*24)</f>
        <v>8.459490740740741E-2</v>
      </c>
      <c r="F960" s="6">
        <f>26018/(60*60*24)</f>
        <v>0.30113425925925924</v>
      </c>
      <c r="G960" s="7" t="s">
        <v>9</v>
      </c>
    </row>
    <row r="961" spans="1:7" x14ac:dyDescent="0.45">
      <c r="A961" t="s">
        <v>1056</v>
      </c>
      <c r="B961" s="2" t="s">
        <v>168</v>
      </c>
      <c r="C961" s="8" t="s">
        <v>12</v>
      </c>
      <c r="D961" s="4">
        <f>2046/(60*60*24)</f>
        <v>2.3680555555555555E-2</v>
      </c>
      <c r="E961" s="3">
        <f>7125/(60*60*24)</f>
        <v>8.2465277777777776E-2</v>
      </c>
      <c r="F961" s="5">
        <f>25218/(60*60*24)</f>
        <v>0.291875</v>
      </c>
      <c r="G961" s="7" t="s">
        <v>9</v>
      </c>
    </row>
    <row r="962" spans="1:7" x14ac:dyDescent="0.45">
      <c r="A962" t="s">
        <v>1057</v>
      </c>
      <c r="B962" s="2" t="s">
        <v>170</v>
      </c>
      <c r="C962" s="8" t="s">
        <v>12</v>
      </c>
      <c r="D962" s="4">
        <f>2121/(60*60*24)</f>
        <v>2.4548611111111111E-2</v>
      </c>
      <c r="E962" s="3">
        <f>7722/(60*60*24)</f>
        <v>8.9374999999999996E-2</v>
      </c>
      <c r="F962" s="5">
        <f>27532/(60*60*24)</f>
        <v>0.31865740740740739</v>
      </c>
      <c r="G962" s="7" t="s">
        <v>9</v>
      </c>
    </row>
    <row r="963" spans="1:7" x14ac:dyDescent="0.45">
      <c r="A963" t="s">
        <v>1058</v>
      </c>
      <c r="B963" s="2" t="s">
        <v>172</v>
      </c>
      <c r="C963" s="8" t="s">
        <v>12</v>
      </c>
      <c r="D963" s="4">
        <f>2104/(60*60*24)</f>
        <v>2.435185185185185E-2</v>
      </c>
      <c r="E963" s="3">
        <f>7904/(60*60*24)</f>
        <v>9.1481481481481483E-2</v>
      </c>
      <c r="F963" s="5">
        <f>29001/(60*60*24)</f>
        <v>0.33565972222222223</v>
      </c>
      <c r="G963" s="7" t="s">
        <v>9</v>
      </c>
    </row>
    <row r="964" spans="1:7" x14ac:dyDescent="0.45">
      <c r="A964" t="s">
        <v>1059</v>
      </c>
      <c r="B964" s="2" t="s">
        <v>174</v>
      </c>
      <c r="C964" s="3">
        <f>5601/(60*60*24)</f>
        <v>6.4826388888888892E-2</v>
      </c>
      <c r="D964" s="4">
        <f>2089/(60*60*24)</f>
        <v>2.417824074074074E-2</v>
      </c>
      <c r="E964" s="5">
        <f>8730/(60*60*24)</f>
        <v>0.10104166666666667</v>
      </c>
      <c r="F964" s="6">
        <f>31408/(60*60*24)</f>
        <v>0.36351851851851852</v>
      </c>
      <c r="G964" s="7" t="s">
        <v>9</v>
      </c>
    </row>
    <row r="965" spans="1:7" x14ac:dyDescent="0.45">
      <c r="A965" t="s">
        <v>1060</v>
      </c>
      <c r="B965" s="2" t="s">
        <v>176</v>
      </c>
      <c r="C965" s="8" t="s">
        <v>12</v>
      </c>
      <c r="D965" s="4">
        <f>2081/(60*60*24)</f>
        <v>2.4085648148148148E-2</v>
      </c>
      <c r="E965" s="3">
        <f>8036/(60*60*24)</f>
        <v>9.3009259259259264E-2</v>
      </c>
      <c r="F965" s="5">
        <f>29535/(60*60*24)</f>
        <v>0.34184027777777776</v>
      </c>
      <c r="G965" s="7" t="s">
        <v>9</v>
      </c>
    </row>
    <row r="966" spans="1:7" x14ac:dyDescent="0.45">
      <c r="A966" t="s">
        <v>1061</v>
      </c>
      <c r="B966" s="2" t="s">
        <v>180</v>
      </c>
      <c r="C966" s="5">
        <f>10763/(60*60*24)</f>
        <v>0.12457175925925926</v>
      </c>
      <c r="D966" s="4">
        <f>2204/(60*60*24)</f>
        <v>2.5509259259259259E-2</v>
      </c>
      <c r="E966" s="3">
        <f>8416/(60*60*24)</f>
        <v>9.7407407407407401E-2</v>
      </c>
      <c r="F966" s="6">
        <f>32479/(60*60*24)</f>
        <v>0.37591435185185185</v>
      </c>
      <c r="G966" s="7" t="s">
        <v>9</v>
      </c>
    </row>
    <row r="967" spans="1:7" x14ac:dyDescent="0.45">
      <c r="A967" t="s">
        <v>1062</v>
      </c>
      <c r="B967" s="2" t="s">
        <v>178</v>
      </c>
      <c r="C967" s="5">
        <f>10486/(60*60*24)</f>
        <v>0.12136574074074075</v>
      </c>
      <c r="D967" s="4">
        <f>2201/(60*60*24)</f>
        <v>2.5474537037037039E-2</v>
      </c>
      <c r="E967" s="3">
        <f>9051/(60*60*24)</f>
        <v>0.10475694444444444</v>
      </c>
      <c r="F967" s="6">
        <f>31454/(60*60*24)</f>
        <v>0.36405092592592592</v>
      </c>
      <c r="G967" s="7" t="s">
        <v>9</v>
      </c>
    </row>
    <row r="968" spans="1:7" x14ac:dyDescent="0.45">
      <c r="A968" t="s">
        <v>1063</v>
      </c>
      <c r="B968" s="2" t="s">
        <v>182</v>
      </c>
      <c r="C968" s="8" t="s">
        <v>12</v>
      </c>
      <c r="D968" s="4">
        <f>2281/(60*60*24)</f>
        <v>2.6400462962962962E-2</v>
      </c>
      <c r="E968" s="3">
        <f>9027/(60*60*24)</f>
        <v>0.10447916666666666</v>
      </c>
      <c r="F968" s="5">
        <f>31973/(60*60*24)</f>
        <v>0.37005787037037036</v>
      </c>
      <c r="G968" s="7" t="s">
        <v>9</v>
      </c>
    </row>
    <row r="969" spans="1:7" x14ac:dyDescent="0.45">
      <c r="A969" t="s">
        <v>1064</v>
      </c>
      <c r="B969" s="2" t="s">
        <v>184</v>
      </c>
      <c r="C969" s="8" t="s">
        <v>12</v>
      </c>
      <c r="D969" s="4">
        <f>2326/(60*60*24)</f>
        <v>2.6921296296296297E-2</v>
      </c>
      <c r="E969" s="3">
        <f>9620/(60*60*24)</f>
        <v>0.11134259259259259</v>
      </c>
      <c r="F969" s="5">
        <f>33333/(60*60*24)</f>
        <v>0.38579861111111113</v>
      </c>
      <c r="G969" s="7" t="s">
        <v>9</v>
      </c>
    </row>
    <row r="970" spans="1:7" x14ac:dyDescent="0.45">
      <c r="A970" t="s">
        <v>1065</v>
      </c>
      <c r="B970" s="2" t="s">
        <v>8</v>
      </c>
      <c r="C970" s="3">
        <f>5325/(60*60*24)</f>
        <v>6.1631944444444448E-2</v>
      </c>
      <c r="D970" s="4">
        <f>1909/(60*60*24)</f>
        <v>2.2094907407407407E-2</v>
      </c>
      <c r="E970" s="5">
        <f>9556/(60*60*24)</f>
        <v>0.11060185185185185</v>
      </c>
      <c r="F970" s="6">
        <f>32466/(60*60*24)</f>
        <v>0.3757638888888889</v>
      </c>
      <c r="G970" s="7" t="s">
        <v>9</v>
      </c>
    </row>
    <row r="971" spans="1:7" x14ac:dyDescent="0.45">
      <c r="A971" t="s">
        <v>1066</v>
      </c>
      <c r="B971" s="2" t="s">
        <v>11</v>
      </c>
      <c r="C971" s="3">
        <f>5285/(60*60*24)</f>
        <v>6.1168981481481484E-2</v>
      </c>
      <c r="D971" s="4">
        <f>1984/(60*60*24)</f>
        <v>2.2962962962962963E-2</v>
      </c>
      <c r="E971" s="5">
        <f>9525/(60*60*24)</f>
        <v>0.11024305555555555</v>
      </c>
      <c r="F971" s="6">
        <f>32020/(60*60*24)</f>
        <v>0.37060185185185185</v>
      </c>
      <c r="G971" s="7" t="s">
        <v>9</v>
      </c>
    </row>
    <row r="972" spans="1:7" x14ac:dyDescent="0.45">
      <c r="A972" t="s">
        <v>1067</v>
      </c>
      <c r="B972" s="2" t="s">
        <v>14</v>
      </c>
      <c r="C972" s="3">
        <f>5633/(60*60*24)</f>
        <v>6.519675925925926E-2</v>
      </c>
      <c r="D972" s="4">
        <f>1920/(60*60*24)</f>
        <v>2.2222222222222223E-2</v>
      </c>
      <c r="E972" s="5">
        <f>9208/(60*60*24)</f>
        <v>0.10657407407407407</v>
      </c>
      <c r="F972" s="6">
        <f>31268/(60*60*24)</f>
        <v>0.36189814814814814</v>
      </c>
      <c r="G972" s="7" t="s">
        <v>9</v>
      </c>
    </row>
    <row r="973" spans="1:7" x14ac:dyDescent="0.45">
      <c r="A973" t="s">
        <v>1068</v>
      </c>
      <c r="B973" s="2" t="s">
        <v>16</v>
      </c>
      <c r="C973" s="8" t="s">
        <v>12</v>
      </c>
      <c r="D973" s="4">
        <f>1759/(60*60*24)</f>
        <v>2.0358796296296295E-2</v>
      </c>
      <c r="E973" s="3">
        <f>9050/(60*60*24)</f>
        <v>0.10474537037037036</v>
      </c>
      <c r="F973" s="5">
        <f>30788/(60*60*24)</f>
        <v>0.3563425925925926</v>
      </c>
      <c r="G973" s="7" t="s">
        <v>9</v>
      </c>
    </row>
    <row r="974" spans="1:7" x14ac:dyDescent="0.45">
      <c r="A974" t="s">
        <v>1069</v>
      </c>
      <c r="B974" s="2" t="s">
        <v>20</v>
      </c>
      <c r="C974" s="3">
        <f>6063/(60*60*24)</f>
        <v>7.0173611111111117E-2</v>
      </c>
      <c r="D974" s="4">
        <f>1712/(60*60*24)</f>
        <v>1.9814814814814816E-2</v>
      </c>
      <c r="E974" s="5">
        <f>8709/(60*60*24)</f>
        <v>0.10079861111111112</v>
      </c>
      <c r="F974" s="6">
        <f>29652/(60*60*24)</f>
        <v>0.34319444444444447</v>
      </c>
      <c r="G974" s="7" t="s">
        <v>9</v>
      </c>
    </row>
    <row r="975" spans="1:7" x14ac:dyDescent="0.45">
      <c r="A975" t="s">
        <v>1070</v>
      </c>
      <c r="B975" s="2" t="s">
        <v>18</v>
      </c>
      <c r="C975" s="8" t="s">
        <v>12</v>
      </c>
      <c r="D975" s="4">
        <f>1762/(60*60*24)</f>
        <v>2.0393518518518519E-2</v>
      </c>
      <c r="E975" s="3">
        <f>9003/(60*60*24)</f>
        <v>0.10420138888888889</v>
      </c>
      <c r="F975" s="5">
        <f>30655/(60*60*24)</f>
        <v>0.35480324074074077</v>
      </c>
      <c r="G975" s="7" t="s">
        <v>9</v>
      </c>
    </row>
    <row r="976" spans="1:7" x14ac:dyDescent="0.45">
      <c r="A976" t="s">
        <v>1071</v>
      </c>
      <c r="B976" s="2" t="s">
        <v>22</v>
      </c>
      <c r="C976" s="3">
        <f>4642/(60*60*24)</f>
        <v>5.3726851851851852E-2</v>
      </c>
      <c r="D976" s="4">
        <f>1704/(60*60*24)</f>
        <v>1.9722222222222221E-2</v>
      </c>
      <c r="E976" s="5">
        <f>8435/(60*60*24)</f>
        <v>9.762731481481482E-2</v>
      </c>
      <c r="F976" s="6">
        <f>28441/(60*60*24)</f>
        <v>0.32917824074074076</v>
      </c>
      <c r="G976" s="7" t="s">
        <v>9</v>
      </c>
    </row>
    <row r="977" spans="1:7" x14ac:dyDescent="0.45">
      <c r="A977" t="s">
        <v>1072</v>
      </c>
      <c r="B977" s="2" t="s">
        <v>24</v>
      </c>
      <c r="C977" s="3">
        <f>4825/(60*60*24)</f>
        <v>5.5844907407407406E-2</v>
      </c>
      <c r="D977" s="4">
        <f>1915/(60*60*24)</f>
        <v>2.2164351851851852E-2</v>
      </c>
      <c r="E977" s="5">
        <f>8348/(60*60*24)</f>
        <v>9.662037037037037E-2</v>
      </c>
      <c r="F977" s="6">
        <f>28047/(60*60*24)</f>
        <v>0.32461805555555556</v>
      </c>
      <c r="G977" s="7" t="s">
        <v>9</v>
      </c>
    </row>
    <row r="978" spans="1:7" x14ac:dyDescent="0.45">
      <c r="A978" t="s">
        <v>1073</v>
      </c>
      <c r="B978" s="2" t="s">
        <v>26</v>
      </c>
      <c r="C978" s="3">
        <f>4671/(60*60*24)</f>
        <v>5.4062499999999999E-2</v>
      </c>
      <c r="D978" s="4">
        <f>1817/(60*60*24)</f>
        <v>2.1030092592592593E-2</v>
      </c>
      <c r="E978" s="5">
        <f>8032/(60*60*24)</f>
        <v>9.2962962962962969E-2</v>
      </c>
      <c r="F978" s="6">
        <f>27301/(60*60*24)</f>
        <v>0.3159837962962963</v>
      </c>
      <c r="G978" s="7" t="s">
        <v>9</v>
      </c>
    </row>
    <row r="979" spans="1:7" x14ac:dyDescent="0.45">
      <c r="A979" t="s">
        <v>1074</v>
      </c>
      <c r="B979" s="2" t="s">
        <v>28</v>
      </c>
      <c r="C979" s="3">
        <f>4743/(60*60*24)</f>
        <v>5.4895833333333331E-2</v>
      </c>
      <c r="D979" s="4">
        <f>1862/(60*60*24)</f>
        <v>2.1550925925925925E-2</v>
      </c>
      <c r="E979" s="5">
        <f>7822/(60*60*24)</f>
        <v>9.0532407407407409E-2</v>
      </c>
      <c r="F979" s="6">
        <f>26279/(60*60*24)</f>
        <v>0.3041550925925926</v>
      </c>
      <c r="G979" s="7" t="s">
        <v>9</v>
      </c>
    </row>
    <row r="980" spans="1:7" x14ac:dyDescent="0.45">
      <c r="A980" t="s">
        <v>1075</v>
      </c>
      <c r="B980" s="2" t="s">
        <v>30</v>
      </c>
      <c r="C980" s="3">
        <f>5064/(60*60*24)</f>
        <v>5.8611111111111114E-2</v>
      </c>
      <c r="D980" s="4">
        <f>1879/(60*60*24)</f>
        <v>2.1747685185185186E-2</v>
      </c>
      <c r="E980" s="5">
        <f>7780/(60*60*24)</f>
        <v>9.0046296296296291E-2</v>
      </c>
      <c r="F980" s="6">
        <f>25800/(60*60*24)</f>
        <v>0.2986111111111111</v>
      </c>
      <c r="G980" s="7" t="s">
        <v>9</v>
      </c>
    </row>
    <row r="981" spans="1:7" x14ac:dyDescent="0.45">
      <c r="A981" t="s">
        <v>1076</v>
      </c>
      <c r="B981" s="2" t="s">
        <v>32</v>
      </c>
      <c r="C981" s="3">
        <f>6887/(60*60*24)</f>
        <v>7.9710648148148142E-2</v>
      </c>
      <c r="D981" s="4">
        <f>1948/(60*60*24)</f>
        <v>2.2546296296296297E-2</v>
      </c>
      <c r="E981" s="5">
        <f>7409/(60*60*24)</f>
        <v>8.5752314814814809E-2</v>
      </c>
      <c r="F981" s="6">
        <f>25011/(60*60*24)</f>
        <v>0.28947916666666668</v>
      </c>
      <c r="G981" s="7" t="s">
        <v>9</v>
      </c>
    </row>
    <row r="982" spans="1:7" x14ac:dyDescent="0.45">
      <c r="A982" t="s">
        <v>1077</v>
      </c>
      <c r="B982" s="2" t="s">
        <v>36</v>
      </c>
      <c r="C982" s="3">
        <f>4202/(60*60*24)</f>
        <v>4.8634259259259259E-2</v>
      </c>
      <c r="D982" s="4">
        <f>1832/(60*60*24)</f>
        <v>2.1203703703703704E-2</v>
      </c>
      <c r="E982" s="5">
        <f>7387/(60*60*24)</f>
        <v>8.549768518518519E-2</v>
      </c>
      <c r="F982" s="6">
        <f>24711/(60*60*24)</f>
        <v>0.28600694444444447</v>
      </c>
      <c r="G982" s="7" t="s">
        <v>9</v>
      </c>
    </row>
    <row r="983" spans="1:7" x14ac:dyDescent="0.45">
      <c r="A983" t="s">
        <v>1078</v>
      </c>
      <c r="B983" s="2" t="s">
        <v>34</v>
      </c>
      <c r="C983" s="3">
        <f>5872/(60*60*24)</f>
        <v>6.7962962962962961E-2</v>
      </c>
      <c r="D983" s="4">
        <f>1802/(60*60*24)</f>
        <v>2.0856481481481483E-2</v>
      </c>
      <c r="E983" s="5">
        <f>7217/(60*60*24)</f>
        <v>8.3530092592592586E-2</v>
      </c>
      <c r="F983" s="6">
        <f>24515/(60*60*24)</f>
        <v>0.28373842592592591</v>
      </c>
      <c r="G983" s="7" t="s">
        <v>9</v>
      </c>
    </row>
    <row r="984" spans="1:7" x14ac:dyDescent="0.45">
      <c r="A984" t="s">
        <v>1079</v>
      </c>
      <c r="B984" s="2" t="s">
        <v>38</v>
      </c>
      <c r="C984" s="8" t="s">
        <v>12</v>
      </c>
      <c r="D984" s="4">
        <f>2032/(60*60*24)</f>
        <v>2.3518518518518518E-2</v>
      </c>
      <c r="E984" s="3">
        <f>7044/(60*60*24)</f>
        <v>8.1527777777777782E-2</v>
      </c>
      <c r="F984" s="5">
        <f>22881/(60*60*24)</f>
        <v>0.26482638888888888</v>
      </c>
      <c r="G984" s="7" t="s">
        <v>9</v>
      </c>
    </row>
    <row r="985" spans="1:7" x14ac:dyDescent="0.45">
      <c r="A985" t="s">
        <v>1080</v>
      </c>
      <c r="B985" s="2" t="s">
        <v>40</v>
      </c>
      <c r="C985" s="8" t="s">
        <v>12</v>
      </c>
      <c r="D985" s="4">
        <f>1562/(60*60*24)</f>
        <v>1.8078703703703704E-2</v>
      </c>
      <c r="E985" s="3">
        <f>6637/(60*60*24)</f>
        <v>7.6817129629629624E-2</v>
      </c>
      <c r="F985" s="5">
        <f>21758/(60*60*24)</f>
        <v>0.25182870370370369</v>
      </c>
      <c r="G985" s="7" t="s">
        <v>9</v>
      </c>
    </row>
    <row r="986" spans="1:7" x14ac:dyDescent="0.45">
      <c r="A986" t="s">
        <v>1081</v>
      </c>
      <c r="B986" s="2" t="s">
        <v>44</v>
      </c>
      <c r="C986" s="8" t="s">
        <v>12</v>
      </c>
      <c r="D986" s="4">
        <f>1626/(60*60*24)</f>
        <v>1.8819444444444444E-2</v>
      </c>
      <c r="E986" s="3">
        <f>6529/(60*60*24)</f>
        <v>7.5567129629629623E-2</v>
      </c>
      <c r="F986" s="5">
        <f>21032/(60*60*24)</f>
        <v>0.24342592592592593</v>
      </c>
      <c r="G986" s="7" t="s">
        <v>9</v>
      </c>
    </row>
    <row r="987" spans="1:7" x14ac:dyDescent="0.45">
      <c r="A987" t="s">
        <v>1082</v>
      </c>
      <c r="B987" s="2" t="s">
        <v>42</v>
      </c>
      <c r="C987" s="8" t="s">
        <v>12</v>
      </c>
      <c r="D987" s="4">
        <f>1612/(60*60*24)</f>
        <v>1.8657407407407407E-2</v>
      </c>
      <c r="E987" s="3">
        <f>6274/(60*60*24)</f>
        <v>7.2615740740740745E-2</v>
      </c>
      <c r="F987" s="5">
        <f>20222/(60*60*24)</f>
        <v>0.23405092592592591</v>
      </c>
      <c r="G987" s="7" t="s">
        <v>9</v>
      </c>
    </row>
    <row r="988" spans="1:7" x14ac:dyDescent="0.45">
      <c r="A988" t="s">
        <v>1083</v>
      </c>
      <c r="B988" s="2" t="s">
        <v>46</v>
      </c>
      <c r="C988" s="3">
        <f>4462/(60*60*24)</f>
        <v>5.1643518518518519E-2</v>
      </c>
      <c r="D988" s="4">
        <f>1553/(60*60*24)</f>
        <v>1.7974537037037035E-2</v>
      </c>
      <c r="E988" s="5">
        <f>6068/(60*60*24)</f>
        <v>7.0231481481481478E-2</v>
      </c>
      <c r="F988" s="6">
        <f>19521/(60*60*24)</f>
        <v>0.22593750000000001</v>
      </c>
      <c r="G988" s="7" t="s">
        <v>9</v>
      </c>
    </row>
    <row r="989" spans="1:7" x14ac:dyDescent="0.45">
      <c r="A989" t="s">
        <v>1084</v>
      </c>
      <c r="B989" s="2" t="s">
        <v>48</v>
      </c>
      <c r="C989" s="3">
        <f>4321/(60*60*24)</f>
        <v>5.0011574074074076E-2</v>
      </c>
      <c r="D989" s="4">
        <f>1318/(60*60*24)</f>
        <v>1.525462962962963E-2</v>
      </c>
      <c r="E989" s="5">
        <f>5879/(60*60*24)</f>
        <v>6.8043981481481483E-2</v>
      </c>
      <c r="F989" s="6">
        <f>18879/(60*60*24)</f>
        <v>0.21850694444444443</v>
      </c>
      <c r="G989" s="7" t="s">
        <v>9</v>
      </c>
    </row>
    <row r="990" spans="1:7" x14ac:dyDescent="0.45">
      <c r="A990" t="s">
        <v>1085</v>
      </c>
      <c r="B990" s="2" t="s">
        <v>50</v>
      </c>
      <c r="C990" s="3">
        <f>4601/(60*60*24)</f>
        <v>5.3252314814814815E-2</v>
      </c>
      <c r="D990" s="4">
        <f>1411/(60*60*24)</f>
        <v>1.6331018518518519E-2</v>
      </c>
      <c r="E990" s="5">
        <f>5684/(60*60*24)</f>
        <v>6.5787037037037033E-2</v>
      </c>
      <c r="F990" s="6">
        <f>18180/(60*60*24)</f>
        <v>0.21041666666666667</v>
      </c>
      <c r="G990" s="7" t="s">
        <v>9</v>
      </c>
    </row>
    <row r="991" spans="1:7" x14ac:dyDescent="0.45">
      <c r="A991" t="s">
        <v>1086</v>
      </c>
      <c r="B991" s="2" t="s">
        <v>52</v>
      </c>
      <c r="C991" s="8" t="s">
        <v>12</v>
      </c>
      <c r="D991" s="4">
        <f>1397/(60*60*24)</f>
        <v>1.6168981481481482E-2</v>
      </c>
      <c r="E991" s="3">
        <f>5586/(60*60*24)</f>
        <v>6.4652777777777781E-2</v>
      </c>
      <c r="F991" s="5">
        <f>17572/(60*60*24)</f>
        <v>0.20337962962962963</v>
      </c>
      <c r="G991" s="7" t="s">
        <v>9</v>
      </c>
    </row>
    <row r="992" spans="1:7" x14ac:dyDescent="0.45">
      <c r="A992" t="s">
        <v>1087</v>
      </c>
      <c r="B992" s="2" t="s">
        <v>54</v>
      </c>
      <c r="C992" s="3">
        <f>4854/(60*60*24)</f>
        <v>5.6180555555555553E-2</v>
      </c>
      <c r="D992" s="4">
        <f>1046/(60*60*24)</f>
        <v>1.2106481481481482E-2</v>
      </c>
      <c r="E992" s="5">
        <f>5375/(60*60*24)</f>
        <v>6.2210648148148147E-2</v>
      </c>
      <c r="F992" s="6">
        <f>16947/(60*60*24)</f>
        <v>0.19614583333333332</v>
      </c>
      <c r="G992" s="7" t="s">
        <v>9</v>
      </c>
    </row>
    <row r="993" spans="1:7" x14ac:dyDescent="0.45">
      <c r="A993" t="s">
        <v>1088</v>
      </c>
      <c r="B993" s="2" t="s">
        <v>56</v>
      </c>
      <c r="C993" s="5">
        <f>4864/(60*60*24)</f>
        <v>5.6296296296296296E-2</v>
      </c>
      <c r="D993" s="4">
        <f>1113/(60*60*24)</f>
        <v>1.2881944444444444E-2</v>
      </c>
      <c r="E993" s="3">
        <f>4752/(60*60*24)</f>
        <v>5.5E-2</v>
      </c>
      <c r="F993" s="6">
        <f>16632/(60*60*24)</f>
        <v>0.1925</v>
      </c>
      <c r="G993" s="7" t="s">
        <v>9</v>
      </c>
    </row>
    <row r="994" spans="1:7" x14ac:dyDescent="0.45">
      <c r="A994" t="s">
        <v>1089</v>
      </c>
      <c r="B994" s="2" t="s">
        <v>58</v>
      </c>
      <c r="C994" s="3">
        <f>4533/(60*60*24)</f>
        <v>5.2465277777777777E-2</v>
      </c>
      <c r="D994" s="4">
        <f>1268/(60*60*24)</f>
        <v>1.4675925925925926E-2</v>
      </c>
      <c r="E994" s="5">
        <f>4612/(60*60*24)</f>
        <v>5.3379629629629631E-2</v>
      </c>
      <c r="F994" s="6">
        <f>16010/(60*60*24)</f>
        <v>0.18530092592592592</v>
      </c>
      <c r="G994" s="7" t="s">
        <v>9</v>
      </c>
    </row>
    <row r="995" spans="1:7" x14ac:dyDescent="0.45">
      <c r="A995" t="s">
        <v>1090</v>
      </c>
      <c r="B995" s="2" t="s">
        <v>60</v>
      </c>
      <c r="C995" s="5">
        <f>4647/(60*60*24)</f>
        <v>5.378472222222222E-2</v>
      </c>
      <c r="D995" s="4">
        <f>1512/(60*60*24)</f>
        <v>1.7500000000000002E-2</v>
      </c>
      <c r="E995" s="3">
        <f>4633/(60*60*24)</f>
        <v>5.3622685185185183E-2</v>
      </c>
      <c r="F995" s="6">
        <f>15608/(60*60*24)</f>
        <v>0.18064814814814814</v>
      </c>
      <c r="G995" s="7" t="s">
        <v>9</v>
      </c>
    </row>
    <row r="996" spans="1:7" x14ac:dyDescent="0.45">
      <c r="A996" t="s">
        <v>1091</v>
      </c>
      <c r="B996" s="2" t="s">
        <v>62</v>
      </c>
      <c r="C996" s="5">
        <f>4539/(60*60*24)</f>
        <v>5.2534722222222219E-2</v>
      </c>
      <c r="D996" s="4">
        <f>1560/(60*60*24)</f>
        <v>1.8055555555555554E-2</v>
      </c>
      <c r="E996" s="3">
        <f>4363/(60*60*24)</f>
        <v>5.0497685185185187E-2</v>
      </c>
      <c r="F996" s="6">
        <f>14980/(60*60*24)</f>
        <v>0.17337962962962963</v>
      </c>
      <c r="G996" s="7" t="s">
        <v>9</v>
      </c>
    </row>
    <row r="997" spans="1:7" x14ac:dyDescent="0.45">
      <c r="A997" t="s">
        <v>1092</v>
      </c>
      <c r="B997" s="2" t="s">
        <v>64</v>
      </c>
      <c r="C997" s="5">
        <f>4525/(60*60*24)</f>
        <v>5.2372685185185182E-2</v>
      </c>
      <c r="D997" s="4">
        <f>1482/(60*60*24)</f>
        <v>1.7152777777777777E-2</v>
      </c>
      <c r="E997" s="3">
        <f>4148/(60*60*24)</f>
        <v>4.8009259259259258E-2</v>
      </c>
      <c r="F997" s="6">
        <f>14257/(60*60*24)</f>
        <v>0.16501157407407407</v>
      </c>
      <c r="G997" s="7" t="s">
        <v>9</v>
      </c>
    </row>
    <row r="998" spans="1:7" x14ac:dyDescent="0.45">
      <c r="A998" t="s">
        <v>1093</v>
      </c>
      <c r="B998" s="2" t="s">
        <v>66</v>
      </c>
      <c r="C998" s="5">
        <f>4424/(60*60*24)</f>
        <v>5.1203703703703703E-2</v>
      </c>
      <c r="D998" s="4">
        <f>1389/(60*60*24)</f>
        <v>1.607638888888889E-2</v>
      </c>
      <c r="E998" s="3">
        <f>3978/(60*60*24)</f>
        <v>4.6041666666666668E-2</v>
      </c>
      <c r="F998" s="6">
        <f>13817/(60*60*24)</f>
        <v>0.15991898148148148</v>
      </c>
      <c r="G998" s="7" t="s">
        <v>9</v>
      </c>
    </row>
    <row r="999" spans="1:7" x14ac:dyDescent="0.45">
      <c r="A999" t="s">
        <v>1094</v>
      </c>
      <c r="B999" s="2" t="s">
        <v>68</v>
      </c>
      <c r="C999" s="5">
        <f>3916/(60*60*24)</f>
        <v>4.5324074074074072E-2</v>
      </c>
      <c r="D999" s="4">
        <f>1324/(60*60*24)</f>
        <v>1.5324074074074073E-2</v>
      </c>
      <c r="E999" s="3">
        <f>3813/(60*60*24)</f>
        <v>4.4131944444444446E-2</v>
      </c>
      <c r="F999" s="6">
        <f>13165/(60*60*24)</f>
        <v>0.15237268518518518</v>
      </c>
      <c r="G999" s="7" t="s">
        <v>9</v>
      </c>
    </row>
    <row r="1000" spans="1:7" x14ac:dyDescent="0.45">
      <c r="A1000" t="s">
        <v>1095</v>
      </c>
      <c r="B1000" s="2" t="s">
        <v>70</v>
      </c>
      <c r="C1000" s="5">
        <f>4464/(60*60*24)</f>
        <v>5.1666666666666666E-2</v>
      </c>
      <c r="D1000" s="4">
        <f>1126/(60*60*24)</f>
        <v>1.3032407407407407E-2</v>
      </c>
      <c r="E1000" s="3">
        <f>3632/(60*60*24)</f>
        <v>4.2037037037037039E-2</v>
      </c>
      <c r="F1000" s="6">
        <f>12527/(60*60*24)</f>
        <v>0.14498842592592592</v>
      </c>
      <c r="G1000" s="7" t="s">
        <v>9</v>
      </c>
    </row>
    <row r="1001" spans="1:7" x14ac:dyDescent="0.45">
      <c r="A1001" t="s">
        <v>1096</v>
      </c>
      <c r="B1001" s="2" t="s">
        <v>72</v>
      </c>
      <c r="C1001" s="5">
        <f>4309/(60*60*24)</f>
        <v>4.9872685185185187E-2</v>
      </c>
      <c r="D1001" s="4">
        <f>967/(60*60*24)</f>
        <v>1.119212962962963E-2</v>
      </c>
      <c r="E1001" s="3">
        <f>3471/(60*60*24)</f>
        <v>4.0173611111111111E-2</v>
      </c>
      <c r="F1001" s="6">
        <f>12096/(60*60*24)</f>
        <v>0.14000000000000001</v>
      </c>
      <c r="G1001" s="7" t="s">
        <v>9</v>
      </c>
    </row>
    <row r="1002" spans="1:7" x14ac:dyDescent="0.45">
      <c r="A1002" t="s">
        <v>1097</v>
      </c>
      <c r="B1002" s="2" t="s">
        <v>74</v>
      </c>
      <c r="C1002" s="5">
        <f>4133/(60*60*24)</f>
        <v>4.7835648148148148E-2</v>
      </c>
      <c r="D1002" s="4">
        <f>834/(60*60*24)</f>
        <v>9.6527777777777775E-3</v>
      </c>
      <c r="E1002" s="3">
        <f>3234/(60*60*24)</f>
        <v>3.7430555555555557E-2</v>
      </c>
      <c r="F1002" s="6">
        <f>11305/(60*60*24)</f>
        <v>0.1308449074074074</v>
      </c>
      <c r="G1002" s="7" t="s">
        <v>9</v>
      </c>
    </row>
    <row r="1003" spans="1:7" x14ac:dyDescent="0.45">
      <c r="A1003" t="s">
        <v>1098</v>
      </c>
      <c r="B1003" s="2" t="s">
        <v>76</v>
      </c>
      <c r="C1003" s="5">
        <f>3873/(60*60*24)</f>
        <v>4.4826388888888888E-2</v>
      </c>
      <c r="D1003" s="4">
        <f>879/(60*60*24)</f>
        <v>1.0173611111111111E-2</v>
      </c>
      <c r="E1003" s="3">
        <f>3222/(60*60*24)</f>
        <v>3.7291666666666667E-2</v>
      </c>
      <c r="F1003" s="6">
        <f>11087/(60*60*24)</f>
        <v>0.12832175925925926</v>
      </c>
      <c r="G1003" s="7" t="s">
        <v>9</v>
      </c>
    </row>
    <row r="1004" spans="1:7" x14ac:dyDescent="0.45">
      <c r="A1004" t="s">
        <v>1099</v>
      </c>
      <c r="B1004" s="2" t="s">
        <v>78</v>
      </c>
      <c r="C1004" s="5">
        <f>3969/(60*60*24)</f>
        <v>4.5937499999999999E-2</v>
      </c>
      <c r="D1004" s="4">
        <f>902/(60*60*24)</f>
        <v>1.0439814814814815E-2</v>
      </c>
      <c r="E1004" s="3">
        <f>2983/(60*60*24)</f>
        <v>3.4525462962962966E-2</v>
      </c>
      <c r="F1004" s="6">
        <f>9733/(60*60*24)</f>
        <v>0.11265046296296297</v>
      </c>
      <c r="G1004" s="7" t="s">
        <v>9</v>
      </c>
    </row>
    <row r="1005" spans="1:7" x14ac:dyDescent="0.45">
      <c r="A1005" t="s">
        <v>1100</v>
      </c>
      <c r="B1005" s="2" t="s">
        <v>80</v>
      </c>
      <c r="C1005" s="8" t="s">
        <v>12</v>
      </c>
      <c r="D1005" s="4">
        <f>1860/(60*60*24)</f>
        <v>2.1527777777777778E-2</v>
      </c>
      <c r="E1005" s="3">
        <f>2607/(60*60*24)</f>
        <v>3.0173611111111109E-2</v>
      </c>
      <c r="F1005" s="5">
        <f>8600/(60*60*24)</f>
        <v>9.9537037037037035E-2</v>
      </c>
      <c r="G1005" s="7" t="s">
        <v>9</v>
      </c>
    </row>
    <row r="1006" spans="1:7" x14ac:dyDescent="0.45">
      <c r="A1006" t="s">
        <v>1101</v>
      </c>
      <c r="B1006" s="2" t="s">
        <v>84</v>
      </c>
      <c r="C1006" s="5">
        <f>3090/(60*60*24)</f>
        <v>3.5763888888888887E-2</v>
      </c>
      <c r="D1006" s="4">
        <f>1397/(60*60*24)</f>
        <v>1.6168981481481482E-2</v>
      </c>
      <c r="E1006" s="3">
        <f>2307/(60*60*24)</f>
        <v>2.6701388888888889E-2</v>
      </c>
      <c r="F1006" s="6">
        <f>8034/(60*60*24)</f>
        <v>9.2986111111111117E-2</v>
      </c>
      <c r="G1006" s="7" t="s">
        <v>9</v>
      </c>
    </row>
    <row r="1007" spans="1:7" x14ac:dyDescent="0.45">
      <c r="A1007" t="s">
        <v>1102</v>
      </c>
      <c r="B1007" s="2" t="s">
        <v>82</v>
      </c>
      <c r="C1007" s="5">
        <f>3434/(60*60*24)</f>
        <v>3.9745370370370368E-2</v>
      </c>
      <c r="D1007" s="4">
        <f>1311/(60*60*24)</f>
        <v>1.5173611111111112E-2</v>
      </c>
      <c r="E1007" s="3">
        <f>2221/(60*60*24)</f>
        <v>2.5706018518518517E-2</v>
      </c>
      <c r="F1007" s="6">
        <f>7161/(60*60*24)</f>
        <v>8.2881944444444439E-2</v>
      </c>
      <c r="G1007" s="7" t="s">
        <v>9</v>
      </c>
    </row>
    <row r="1008" spans="1:7" x14ac:dyDescent="0.45">
      <c r="A1008" t="s">
        <v>1103</v>
      </c>
      <c r="B1008" s="2" t="s">
        <v>88</v>
      </c>
      <c r="C1008" s="8" t="s">
        <v>12</v>
      </c>
      <c r="D1008" s="4">
        <f>928/(60*60*24)</f>
        <v>1.074074074074074E-2</v>
      </c>
      <c r="E1008" s="3">
        <f>2201/(60*60*24)</f>
        <v>2.5474537037037039E-2</v>
      </c>
      <c r="F1008" s="5">
        <f>6892/(60*60*24)</f>
        <v>7.9768518518518516E-2</v>
      </c>
      <c r="G1008" s="7" t="s">
        <v>9</v>
      </c>
    </row>
    <row r="1009" spans="1:7" x14ac:dyDescent="0.45">
      <c r="A1009" t="s">
        <v>1104</v>
      </c>
      <c r="B1009" s="2" t="s">
        <v>86</v>
      </c>
      <c r="C1009" s="8" t="s">
        <v>12</v>
      </c>
      <c r="D1009" s="4">
        <f>794/(60*60*24)</f>
        <v>9.1898148148148156E-3</v>
      </c>
      <c r="E1009" s="3">
        <f>1899/(60*60*24)</f>
        <v>2.1979166666666668E-2</v>
      </c>
      <c r="F1009" s="5">
        <f>6221/(60*60*24)</f>
        <v>7.2002314814814811E-2</v>
      </c>
      <c r="G1009" s="7" t="s">
        <v>9</v>
      </c>
    </row>
    <row r="1010" spans="1:7" x14ac:dyDescent="0.45">
      <c r="A1010" t="s">
        <v>1105</v>
      </c>
      <c r="B1010" s="2" t="s">
        <v>90</v>
      </c>
      <c r="C1010" s="8" t="s">
        <v>12</v>
      </c>
      <c r="D1010" s="4">
        <f>668/(60*60*24)</f>
        <v>7.7314814814814815E-3</v>
      </c>
      <c r="E1010" s="3">
        <f>1663/(60*60*24)</f>
        <v>1.9247685185185184E-2</v>
      </c>
      <c r="F1010" s="5">
        <f>5560/(60*60*24)</f>
        <v>6.4351851851851855E-2</v>
      </c>
      <c r="G1010" s="7" t="s">
        <v>9</v>
      </c>
    </row>
    <row r="1011" spans="1:7" x14ac:dyDescent="0.45">
      <c r="A1011" t="s">
        <v>1106</v>
      </c>
      <c r="B1011" s="2" t="s">
        <v>92</v>
      </c>
      <c r="C1011" s="8" t="s">
        <v>12</v>
      </c>
      <c r="D1011" s="4">
        <f>896/(60*60*24)</f>
        <v>1.037037037037037E-2</v>
      </c>
      <c r="E1011" s="3">
        <f>1633/(60*60*24)</f>
        <v>1.8900462962962963E-2</v>
      </c>
      <c r="F1011" s="5">
        <f>4907/(60*60*24)</f>
        <v>5.679398148148148E-2</v>
      </c>
      <c r="G1011" s="7" t="s">
        <v>9</v>
      </c>
    </row>
    <row r="1012" spans="1:7" x14ac:dyDescent="0.45">
      <c r="A1012" t="s">
        <v>1107</v>
      </c>
      <c r="B1012" s="2" t="s">
        <v>94</v>
      </c>
      <c r="C1012" s="8" t="s">
        <v>12</v>
      </c>
      <c r="D1012" s="4">
        <f>890/(60*60*24)</f>
        <v>1.0300925925925925E-2</v>
      </c>
      <c r="E1012" s="3">
        <f>1544/(60*60*24)</f>
        <v>1.787037037037037E-2</v>
      </c>
      <c r="F1012" s="5">
        <f>4679/(60*60*24)</f>
        <v>5.4155092592592595E-2</v>
      </c>
      <c r="G1012" s="7" t="s">
        <v>9</v>
      </c>
    </row>
    <row r="1013" spans="1:7" x14ac:dyDescent="0.45">
      <c r="A1013" t="s">
        <v>1108</v>
      </c>
      <c r="B1013" s="2" t="s">
        <v>96</v>
      </c>
      <c r="C1013" s="8" t="s">
        <v>12</v>
      </c>
      <c r="D1013" s="4">
        <f>735/(60*60*24)</f>
        <v>8.5069444444444437E-3</v>
      </c>
      <c r="E1013" s="3">
        <f>1073/(60*60*24)</f>
        <v>1.2418981481481482E-2</v>
      </c>
      <c r="F1013" s="5">
        <f>3435/(60*60*24)</f>
        <v>3.9756944444444442E-2</v>
      </c>
      <c r="G1013" s="7" t="s">
        <v>9</v>
      </c>
    </row>
    <row r="1014" spans="1:7" x14ac:dyDescent="0.45">
      <c r="A1014" t="s">
        <v>1109</v>
      </c>
      <c r="B1014" s="2" t="s">
        <v>98</v>
      </c>
      <c r="C1014" s="8" t="s">
        <v>12</v>
      </c>
      <c r="D1014" s="4">
        <f>550/(60*60*24)</f>
        <v>6.3657407407407404E-3</v>
      </c>
      <c r="E1014" s="3">
        <f>898/(60*60*24)</f>
        <v>1.0393518518518519E-2</v>
      </c>
      <c r="F1014" s="5">
        <f>3296/(60*60*24)</f>
        <v>3.8148148148148146E-2</v>
      </c>
      <c r="G1014" s="7" t="s">
        <v>9</v>
      </c>
    </row>
    <row r="1015" spans="1:7" x14ac:dyDescent="0.45">
      <c r="A1015" t="s">
        <v>1110</v>
      </c>
      <c r="B1015" s="2" t="s">
        <v>100</v>
      </c>
      <c r="C1015" s="8" t="s">
        <v>12</v>
      </c>
      <c r="D1015" s="4">
        <f>659/(60*60*24)</f>
        <v>7.6273148148148151E-3</v>
      </c>
      <c r="E1015" s="3">
        <f>968/(60*60*24)</f>
        <v>1.1203703703703704E-2</v>
      </c>
      <c r="F1015" s="5">
        <f>3142/(60*60*24)</f>
        <v>3.636574074074074E-2</v>
      </c>
      <c r="G1015" s="7" t="s">
        <v>9</v>
      </c>
    </row>
    <row r="1016" spans="1:7" x14ac:dyDescent="0.45">
      <c r="A1016" t="s">
        <v>1111</v>
      </c>
      <c r="B1016" s="2" t="s">
        <v>104</v>
      </c>
      <c r="C1016" s="5">
        <f>1156/(60*60*24)</f>
        <v>1.337962962962963E-2</v>
      </c>
      <c r="D1016" s="4">
        <f>626/(60*60*24)</f>
        <v>7.2453703703703708E-3</v>
      </c>
      <c r="E1016" s="3">
        <f>1032/(60*60*24)</f>
        <v>1.1944444444444445E-2</v>
      </c>
      <c r="F1016" s="6">
        <f>3420/(60*60*24)</f>
        <v>3.9583333333333331E-2</v>
      </c>
      <c r="G1016" s="7" t="s">
        <v>9</v>
      </c>
    </row>
    <row r="1017" spans="1:7" x14ac:dyDescent="0.45">
      <c r="A1017" t="s">
        <v>1112</v>
      </c>
      <c r="B1017" s="2" t="s">
        <v>102</v>
      </c>
      <c r="C1017" s="8" t="s">
        <v>12</v>
      </c>
      <c r="D1017" s="4">
        <f>657/(60*60*24)</f>
        <v>7.6041666666666671E-3</v>
      </c>
      <c r="E1017" s="3">
        <f>1221/(60*60*24)</f>
        <v>1.4131944444444445E-2</v>
      </c>
      <c r="F1017" s="5">
        <f>3685/(60*60*24)</f>
        <v>4.2650462962962966E-2</v>
      </c>
      <c r="G1017" s="7" t="s">
        <v>9</v>
      </c>
    </row>
    <row r="1018" spans="1:7" x14ac:dyDescent="0.45">
      <c r="A1018" t="s">
        <v>1113</v>
      </c>
      <c r="B1018" s="2" t="s">
        <v>106</v>
      </c>
      <c r="C1018" s="3">
        <f>1138/(60*60*24)</f>
        <v>1.3171296296296296E-2</v>
      </c>
      <c r="D1018" s="4">
        <f>678/(60*60*24)</f>
        <v>7.8472222222222224E-3</v>
      </c>
      <c r="E1018" s="5">
        <f>1239/(60*60*24)</f>
        <v>1.4340277777777778E-2</v>
      </c>
      <c r="F1018" s="6">
        <f>4178/(60*60*24)</f>
        <v>4.8356481481481479E-2</v>
      </c>
      <c r="G1018" s="7" t="s">
        <v>9</v>
      </c>
    </row>
    <row r="1019" spans="1:7" x14ac:dyDescent="0.45">
      <c r="A1019" t="s">
        <v>1114</v>
      </c>
      <c r="B1019" s="2" t="s">
        <v>108</v>
      </c>
      <c r="C1019" s="5">
        <f>1839/(60*60*24)</f>
        <v>2.1284722222222222E-2</v>
      </c>
      <c r="D1019" s="4">
        <f>684/(60*60*24)</f>
        <v>7.9166666666666673E-3</v>
      </c>
      <c r="E1019" s="3">
        <f>1254/(60*60*24)</f>
        <v>1.4513888888888889E-2</v>
      </c>
      <c r="F1019" s="6">
        <f>4248/(60*60*24)</f>
        <v>4.9166666666666664E-2</v>
      </c>
      <c r="G1019" s="7" t="s">
        <v>9</v>
      </c>
    </row>
    <row r="1020" spans="1:7" x14ac:dyDescent="0.45">
      <c r="A1020" t="s">
        <v>1115</v>
      </c>
      <c r="B1020" s="2" t="s">
        <v>110</v>
      </c>
      <c r="C1020" s="5">
        <f>1662/(60*60*24)</f>
        <v>1.923611111111111E-2</v>
      </c>
      <c r="D1020" s="4">
        <f>803/(60*60*24)</f>
        <v>9.2939814814814812E-3</v>
      </c>
      <c r="E1020" s="3">
        <f>1499/(60*60*24)</f>
        <v>1.7349537037037038E-2</v>
      </c>
      <c r="F1020" s="6">
        <f>4887/(60*60*24)</f>
        <v>5.6562500000000002E-2</v>
      </c>
      <c r="G1020" s="7" t="s">
        <v>9</v>
      </c>
    </row>
    <row r="1021" spans="1:7" x14ac:dyDescent="0.45">
      <c r="A1021" t="s">
        <v>1116</v>
      </c>
      <c r="B1021" s="2" t="s">
        <v>112</v>
      </c>
      <c r="C1021" s="5">
        <f>2320/(60*60*24)</f>
        <v>2.6851851851851852E-2</v>
      </c>
      <c r="D1021" s="4">
        <f>832/(60*60*24)</f>
        <v>9.6296296296296303E-3</v>
      </c>
      <c r="E1021" s="3">
        <f>1662/(60*60*24)</f>
        <v>1.923611111111111E-2</v>
      </c>
      <c r="F1021" s="6">
        <f>5538/(60*60*24)</f>
        <v>6.4097222222222222E-2</v>
      </c>
      <c r="G1021" s="7" t="s">
        <v>9</v>
      </c>
    </row>
    <row r="1022" spans="1:7" x14ac:dyDescent="0.45">
      <c r="A1022" t="s">
        <v>1117</v>
      </c>
      <c r="B1022" s="2" t="s">
        <v>114</v>
      </c>
      <c r="C1022" s="3">
        <f>1572/(60*60*24)</f>
        <v>1.8194444444444444E-2</v>
      </c>
      <c r="D1022" s="4">
        <f>1194/(60*60*24)</f>
        <v>1.3819444444444445E-2</v>
      </c>
      <c r="E1022" s="5">
        <f>2014/(60*60*24)</f>
        <v>2.3310185185185184E-2</v>
      </c>
      <c r="F1022" s="6">
        <f>6552/(60*60*24)</f>
        <v>7.5833333333333336E-2</v>
      </c>
      <c r="G1022" s="7" t="s">
        <v>9</v>
      </c>
    </row>
    <row r="1023" spans="1:7" x14ac:dyDescent="0.45">
      <c r="A1023" t="s">
        <v>1118</v>
      </c>
      <c r="B1023" s="2" t="s">
        <v>116</v>
      </c>
      <c r="C1023" s="5">
        <f>3008/(60*60*24)</f>
        <v>3.4814814814814812E-2</v>
      </c>
      <c r="D1023" s="4">
        <f>1169/(60*60*24)</f>
        <v>1.3530092592592592E-2</v>
      </c>
      <c r="E1023" s="3">
        <f>2196/(60*60*24)</f>
        <v>2.5416666666666667E-2</v>
      </c>
      <c r="F1023" s="6">
        <f>7008/(60*60*24)</f>
        <v>8.1111111111111106E-2</v>
      </c>
      <c r="G1023" s="7" t="s">
        <v>9</v>
      </c>
    </row>
    <row r="1024" spans="1:7" x14ac:dyDescent="0.45">
      <c r="A1024" t="s">
        <v>1119</v>
      </c>
      <c r="B1024" s="2" t="s">
        <v>118</v>
      </c>
      <c r="C1024" s="3">
        <f>1748/(60*60*24)</f>
        <v>2.0231481481481482E-2</v>
      </c>
      <c r="D1024" s="4">
        <f>1216/(60*60*24)</f>
        <v>1.4074074074074074E-2</v>
      </c>
      <c r="E1024" s="5">
        <f>2184/(60*60*24)</f>
        <v>2.5277777777777777E-2</v>
      </c>
      <c r="F1024" s="6">
        <f>7521/(60*60*24)</f>
        <v>8.7048611111111104E-2</v>
      </c>
      <c r="G1024" s="7" t="s">
        <v>9</v>
      </c>
    </row>
    <row r="1025" spans="1:7" x14ac:dyDescent="0.45">
      <c r="A1025" t="s">
        <v>1120</v>
      </c>
      <c r="B1025" s="2" t="s">
        <v>120</v>
      </c>
      <c r="C1025" s="5">
        <f>3107/(60*60*24)</f>
        <v>3.5960648148148151E-2</v>
      </c>
      <c r="D1025" s="4">
        <f>1371/(60*60*24)</f>
        <v>1.5868055555555555E-2</v>
      </c>
      <c r="E1025" s="3">
        <f>2412/(60*60*24)</f>
        <v>2.7916666666666666E-2</v>
      </c>
      <c r="F1025" s="6">
        <f>8165/(60*60*24)</f>
        <v>9.4502314814814817E-2</v>
      </c>
      <c r="G1025" s="7" t="s">
        <v>9</v>
      </c>
    </row>
    <row r="1026" spans="1:7" x14ac:dyDescent="0.45">
      <c r="A1026" t="s">
        <v>1121</v>
      </c>
      <c r="B1026" s="2" t="s">
        <v>124</v>
      </c>
      <c r="C1026" s="5">
        <f>2875/(60*60*24)</f>
        <v>3.3275462962962965E-2</v>
      </c>
      <c r="D1026" s="4">
        <f>1372/(60*60*24)</f>
        <v>1.5879629629629629E-2</v>
      </c>
      <c r="E1026" s="3">
        <f>2450/(60*60*24)</f>
        <v>2.8356481481481483E-2</v>
      </c>
      <c r="F1026" s="6">
        <f>8399/(60*60*24)</f>
        <v>9.7210648148148143E-2</v>
      </c>
      <c r="G1026" s="7" t="s">
        <v>9</v>
      </c>
    </row>
    <row r="1027" spans="1:7" x14ac:dyDescent="0.45">
      <c r="A1027" t="s">
        <v>1122</v>
      </c>
      <c r="B1027" s="2" t="s">
        <v>122</v>
      </c>
      <c r="C1027" s="5">
        <f>3086/(60*60*24)</f>
        <v>3.5717592592592592E-2</v>
      </c>
      <c r="D1027" s="4">
        <f>1427/(60*60*24)</f>
        <v>1.6516203703703703E-2</v>
      </c>
      <c r="E1027" s="3">
        <f>2646/(60*60*24)</f>
        <v>3.0624999999999999E-2</v>
      </c>
      <c r="F1027" s="6">
        <f>9188/(60*60*24)</f>
        <v>0.10634259259259259</v>
      </c>
      <c r="G1027" s="7" t="s">
        <v>9</v>
      </c>
    </row>
    <row r="1028" spans="1:7" x14ac:dyDescent="0.45">
      <c r="A1028" t="s">
        <v>1123</v>
      </c>
      <c r="B1028" s="2" t="s">
        <v>126</v>
      </c>
      <c r="C1028" s="5">
        <f>3096/(60*60*24)</f>
        <v>3.5833333333333335E-2</v>
      </c>
      <c r="D1028" s="4">
        <f>1499/(60*60*24)</f>
        <v>1.7349537037037038E-2</v>
      </c>
      <c r="E1028" s="3">
        <f>2974/(60*60*24)</f>
        <v>3.4421296296296297E-2</v>
      </c>
      <c r="F1028" s="6">
        <f>9975/(60*60*24)</f>
        <v>0.1154513888888889</v>
      </c>
      <c r="G1028" s="7" t="s">
        <v>9</v>
      </c>
    </row>
    <row r="1029" spans="1:7" x14ac:dyDescent="0.45">
      <c r="A1029" t="s">
        <v>1124</v>
      </c>
      <c r="B1029" s="2" t="s">
        <v>128</v>
      </c>
      <c r="C1029" s="3">
        <f>3107/(60*60*24)</f>
        <v>3.5960648148148151E-2</v>
      </c>
      <c r="D1029" s="4">
        <f>1516/(60*60*24)</f>
        <v>1.7546296296296296E-2</v>
      </c>
      <c r="E1029" s="5">
        <f>3165/(60*60*24)</f>
        <v>3.6631944444444446E-2</v>
      </c>
      <c r="F1029" s="6">
        <f>11135/(60*60*24)</f>
        <v>0.12887731481481482</v>
      </c>
      <c r="G1029" s="7" t="s">
        <v>9</v>
      </c>
    </row>
    <row r="1030" spans="1:7" x14ac:dyDescent="0.45">
      <c r="A1030" t="s">
        <v>1125</v>
      </c>
      <c r="B1030" s="2" t="s">
        <v>130</v>
      </c>
      <c r="C1030" s="3">
        <f>2916/(60*60*24)</f>
        <v>3.3750000000000002E-2</v>
      </c>
      <c r="D1030" s="4">
        <f>1025/(60*60*24)</f>
        <v>1.1863425925925927E-2</v>
      </c>
      <c r="E1030" s="5">
        <f>3164/(60*60*24)</f>
        <v>3.6620370370370373E-2</v>
      </c>
      <c r="F1030" s="6">
        <f>11531/(60*60*24)</f>
        <v>0.13346064814814815</v>
      </c>
      <c r="G1030" s="7" t="s">
        <v>9</v>
      </c>
    </row>
    <row r="1031" spans="1:7" x14ac:dyDescent="0.45">
      <c r="A1031" t="s">
        <v>1126</v>
      </c>
      <c r="B1031" s="2" t="s">
        <v>132</v>
      </c>
      <c r="C1031" s="3">
        <f>2933/(60*60*24)</f>
        <v>3.394675925925926E-2</v>
      </c>
      <c r="D1031" s="4">
        <f>1377/(60*60*24)</f>
        <v>1.59375E-2</v>
      </c>
      <c r="E1031" s="5">
        <f>3662/(60*60*24)</f>
        <v>4.238425925925926E-2</v>
      </c>
      <c r="F1031" s="6">
        <f>12141/(60*60*24)</f>
        <v>0.14052083333333334</v>
      </c>
      <c r="G1031" s="7" t="s">
        <v>9</v>
      </c>
    </row>
    <row r="1032" spans="1:7" x14ac:dyDescent="0.45">
      <c r="A1032" t="s">
        <v>1127</v>
      </c>
      <c r="B1032" s="2" t="s">
        <v>136</v>
      </c>
      <c r="C1032" s="3">
        <f>2927/(60*60*24)</f>
        <v>3.3877314814814811E-2</v>
      </c>
      <c r="D1032" s="4">
        <f>1369/(60*60*24)</f>
        <v>1.5844907407407408E-2</v>
      </c>
      <c r="E1032" s="5">
        <f>3883/(60*60*24)</f>
        <v>4.494212962962963E-2</v>
      </c>
      <c r="F1032" s="6">
        <f>12865/(60*60*24)</f>
        <v>0.14890046296296297</v>
      </c>
      <c r="G1032" s="7" t="s">
        <v>9</v>
      </c>
    </row>
    <row r="1033" spans="1:7" x14ac:dyDescent="0.45">
      <c r="A1033" t="s">
        <v>1128</v>
      </c>
      <c r="B1033" s="2" t="s">
        <v>134</v>
      </c>
      <c r="C1033" s="3">
        <f>3196/(60*60*24)</f>
        <v>3.6990740740740741E-2</v>
      </c>
      <c r="D1033" s="4">
        <f>1352/(60*60*24)</f>
        <v>1.5648148148148147E-2</v>
      </c>
      <c r="E1033" s="5">
        <f>4302/(60*60*24)</f>
        <v>4.9791666666666665E-2</v>
      </c>
      <c r="F1033" s="6">
        <f>13640/(60*60*24)</f>
        <v>0.15787037037037038</v>
      </c>
      <c r="G1033" s="7" t="s">
        <v>9</v>
      </c>
    </row>
    <row r="1034" spans="1:7" x14ac:dyDescent="0.45">
      <c r="A1034" t="s">
        <v>1129</v>
      </c>
      <c r="B1034" s="2" t="s">
        <v>138</v>
      </c>
      <c r="C1034" s="3">
        <f>3697/(60*60*24)</f>
        <v>4.2789351851851849E-2</v>
      </c>
      <c r="D1034" s="4">
        <f>1383/(60*60*24)</f>
        <v>1.6006944444444445E-2</v>
      </c>
      <c r="E1034" s="5">
        <f>4464/(60*60*24)</f>
        <v>5.1666666666666666E-2</v>
      </c>
      <c r="F1034" s="6">
        <f>14071/(60*60*24)</f>
        <v>0.16285879629629629</v>
      </c>
      <c r="G1034" s="7" t="s">
        <v>9</v>
      </c>
    </row>
    <row r="1035" spans="1:7" x14ac:dyDescent="0.45">
      <c r="A1035" t="s">
        <v>1130</v>
      </c>
      <c r="B1035" s="2" t="s">
        <v>140</v>
      </c>
      <c r="C1035" s="8" t="s">
        <v>12</v>
      </c>
      <c r="D1035" s="4">
        <f>1463/(60*60*24)</f>
        <v>1.6932870370370369E-2</v>
      </c>
      <c r="E1035" s="3">
        <f>4335/(60*60*24)</f>
        <v>5.0173611111111113E-2</v>
      </c>
      <c r="F1035" s="5">
        <f>14780/(60*60*24)</f>
        <v>0.17106481481481481</v>
      </c>
      <c r="G1035" s="7" t="s">
        <v>9</v>
      </c>
    </row>
    <row r="1036" spans="1:7" x14ac:dyDescent="0.45">
      <c r="A1036" t="s">
        <v>1131</v>
      </c>
      <c r="B1036" s="2" t="s">
        <v>142</v>
      </c>
      <c r="C1036" s="8" t="s">
        <v>12</v>
      </c>
      <c r="D1036" s="4">
        <f>1546/(60*60*24)</f>
        <v>1.7893518518518517E-2</v>
      </c>
      <c r="E1036" s="3">
        <f>4750/(60*60*24)</f>
        <v>5.4976851851851853E-2</v>
      </c>
      <c r="F1036" s="5">
        <f>15713/(60*60*24)</f>
        <v>0.18186342592592591</v>
      </c>
      <c r="G1036" s="7" t="s">
        <v>9</v>
      </c>
    </row>
    <row r="1037" spans="1:7" x14ac:dyDescent="0.45">
      <c r="A1037" t="s">
        <v>1132</v>
      </c>
      <c r="B1037" s="2" t="s">
        <v>144</v>
      </c>
      <c r="C1037" s="8" t="s">
        <v>12</v>
      </c>
      <c r="D1037" s="4">
        <f>1595/(60*60*24)</f>
        <v>1.846064814814815E-2</v>
      </c>
      <c r="E1037" s="3">
        <f>4733/(60*60*24)</f>
        <v>5.4780092592592596E-2</v>
      </c>
      <c r="F1037" s="5">
        <f>16356/(60*60*24)</f>
        <v>0.18930555555555556</v>
      </c>
      <c r="G1037" s="7" t="s">
        <v>9</v>
      </c>
    </row>
    <row r="1038" spans="1:7" x14ac:dyDescent="0.45">
      <c r="A1038" t="s">
        <v>1133</v>
      </c>
      <c r="B1038" s="2" t="s">
        <v>146</v>
      </c>
      <c r="C1038" s="8" t="s">
        <v>12</v>
      </c>
      <c r="D1038" s="4">
        <f>1774/(60*60*24)</f>
        <v>2.0532407407407409E-2</v>
      </c>
      <c r="E1038" s="3">
        <f>4952/(60*60*24)</f>
        <v>5.7314814814814811E-2</v>
      </c>
      <c r="F1038" s="5">
        <f>17074/(60*60*24)</f>
        <v>0.19761574074074073</v>
      </c>
      <c r="G1038" s="7" t="s">
        <v>9</v>
      </c>
    </row>
    <row r="1039" spans="1:7" x14ac:dyDescent="0.45">
      <c r="A1039" t="s">
        <v>1134</v>
      </c>
      <c r="B1039" s="2" t="s">
        <v>148</v>
      </c>
      <c r="C1039" s="8" t="s">
        <v>12</v>
      </c>
      <c r="D1039" s="4">
        <f>1918/(60*60*24)</f>
        <v>2.2199074074074072E-2</v>
      </c>
      <c r="E1039" s="3">
        <f>5445/(60*60*24)</f>
        <v>6.3020833333333331E-2</v>
      </c>
      <c r="F1039" s="5">
        <f>19020/(60*60*24)</f>
        <v>0.22013888888888888</v>
      </c>
      <c r="G1039" s="7" t="s">
        <v>9</v>
      </c>
    </row>
    <row r="1040" spans="1:7" x14ac:dyDescent="0.45">
      <c r="A1040" t="s">
        <v>1135</v>
      </c>
      <c r="B1040" s="2" t="s">
        <v>150</v>
      </c>
      <c r="C1040" s="3">
        <f>4633/(60*60*24)</f>
        <v>5.3622685185185183E-2</v>
      </c>
      <c r="D1040" s="4">
        <f>1774/(60*60*24)</f>
        <v>2.0532407407407409E-2</v>
      </c>
      <c r="E1040" s="5">
        <f>5225/(60*60*24)</f>
        <v>6.0474537037037035E-2</v>
      </c>
      <c r="F1040" s="6">
        <f>18581/(60*60*24)</f>
        <v>0.21505787037037036</v>
      </c>
      <c r="G1040" s="7" t="s">
        <v>9</v>
      </c>
    </row>
    <row r="1041" spans="1:7" x14ac:dyDescent="0.45">
      <c r="A1041" t="s">
        <v>1136</v>
      </c>
      <c r="B1041" s="2" t="s">
        <v>152</v>
      </c>
      <c r="C1041" s="3">
        <f>4315/(60*60*24)</f>
        <v>4.9942129629629628E-2</v>
      </c>
      <c r="D1041" s="4">
        <f>1732/(60*60*24)</f>
        <v>2.0046296296296295E-2</v>
      </c>
      <c r="E1041" s="5">
        <f>5518/(60*60*24)</f>
        <v>6.3865740740740737E-2</v>
      </c>
      <c r="F1041" s="6">
        <f>19637/(60*60*24)</f>
        <v>0.2272800925925926</v>
      </c>
      <c r="G1041" s="7" t="s">
        <v>9</v>
      </c>
    </row>
    <row r="1042" spans="1:7" x14ac:dyDescent="0.45">
      <c r="A1042" t="s">
        <v>1137</v>
      </c>
      <c r="B1042" s="2" t="s">
        <v>154</v>
      </c>
      <c r="C1042" s="8" t="s">
        <v>12</v>
      </c>
      <c r="D1042" s="4">
        <f>1723/(60*60*24)</f>
        <v>1.9942129629629629E-2</v>
      </c>
      <c r="E1042" s="3">
        <f>5796/(60*60*24)</f>
        <v>6.7083333333333328E-2</v>
      </c>
      <c r="F1042" s="5">
        <f>20701/(60*60*24)</f>
        <v>0.23959490740740741</v>
      </c>
      <c r="G1042" s="7" t="s">
        <v>9</v>
      </c>
    </row>
    <row r="1043" spans="1:7" x14ac:dyDescent="0.45">
      <c r="A1043" t="s">
        <v>1138</v>
      </c>
      <c r="B1043" s="2" t="s">
        <v>156</v>
      </c>
      <c r="C1043" s="8" t="s">
        <v>12</v>
      </c>
      <c r="D1043" s="4">
        <f>1923/(60*60*24)</f>
        <v>2.2256944444444444E-2</v>
      </c>
      <c r="E1043" s="3">
        <f>6122/(60*60*24)</f>
        <v>7.0856481481481479E-2</v>
      </c>
      <c r="F1043" s="5">
        <f>21418/(60*60*24)</f>
        <v>0.24789351851851851</v>
      </c>
      <c r="G1043" s="7" t="s">
        <v>9</v>
      </c>
    </row>
    <row r="1044" spans="1:7" x14ac:dyDescent="0.45">
      <c r="A1044" t="s">
        <v>1139</v>
      </c>
      <c r="B1044" s="2" t="s">
        <v>160</v>
      </c>
      <c r="C1044" s="8" t="s">
        <v>12</v>
      </c>
      <c r="D1044" s="4">
        <f>1915/(60*60*24)</f>
        <v>2.2164351851851852E-2</v>
      </c>
      <c r="E1044" s="3">
        <f>6543/(60*60*24)</f>
        <v>7.5729166666666667E-2</v>
      </c>
      <c r="F1044" s="5">
        <f>22556/(60*60*24)</f>
        <v>0.26106481481481481</v>
      </c>
      <c r="G1044" s="7" t="s">
        <v>9</v>
      </c>
    </row>
    <row r="1045" spans="1:7" x14ac:dyDescent="0.45">
      <c r="A1045" t="s">
        <v>1140</v>
      </c>
      <c r="B1045" s="2" t="s">
        <v>158</v>
      </c>
      <c r="C1045" s="8" t="s">
        <v>12</v>
      </c>
      <c r="D1045" s="4">
        <f>1939/(60*60*24)</f>
        <v>2.2442129629629631E-2</v>
      </c>
      <c r="E1045" s="3">
        <f>6690/(60*60*24)</f>
        <v>7.7430555555555558E-2</v>
      </c>
      <c r="F1045" s="5">
        <f>22756/(60*60*24)</f>
        <v>0.26337962962962963</v>
      </c>
      <c r="G1045" s="7" t="s">
        <v>9</v>
      </c>
    </row>
    <row r="1046" spans="1:7" x14ac:dyDescent="0.45">
      <c r="A1046" t="s">
        <v>1141</v>
      </c>
      <c r="B1046" s="2" t="s">
        <v>162</v>
      </c>
      <c r="C1046" s="8" t="s">
        <v>12</v>
      </c>
      <c r="D1046" s="4">
        <f>2138/(60*60*24)</f>
        <v>2.4745370370370369E-2</v>
      </c>
      <c r="E1046" s="3">
        <f>6818/(60*60*24)</f>
        <v>7.8912037037037031E-2</v>
      </c>
      <c r="F1046" s="5">
        <f>24173/(60*60*24)</f>
        <v>0.27978009259259257</v>
      </c>
      <c r="G1046" s="7" t="s">
        <v>9</v>
      </c>
    </row>
    <row r="1047" spans="1:7" x14ac:dyDescent="0.45">
      <c r="A1047" t="s">
        <v>1142</v>
      </c>
      <c r="B1047" s="2" t="s">
        <v>164</v>
      </c>
      <c r="C1047" s="8" t="s">
        <v>12</v>
      </c>
      <c r="D1047" s="4">
        <f>2010/(60*60*24)</f>
        <v>2.326388888888889E-2</v>
      </c>
      <c r="E1047" s="3">
        <f>7035/(60*60*24)</f>
        <v>8.1423611111111113E-2</v>
      </c>
      <c r="F1047" s="5">
        <f>24884/(60*60*24)</f>
        <v>0.28800925925925924</v>
      </c>
      <c r="G1047" s="7" t="s">
        <v>9</v>
      </c>
    </row>
    <row r="1048" spans="1:7" x14ac:dyDescent="0.45">
      <c r="A1048" t="s">
        <v>1143</v>
      </c>
      <c r="B1048" s="2" t="s">
        <v>168</v>
      </c>
      <c r="C1048" s="5">
        <f>10538/(60*60*24)</f>
        <v>0.12196759259259259</v>
      </c>
      <c r="D1048" s="4">
        <f>2019/(60*60*24)</f>
        <v>2.3368055555555555E-2</v>
      </c>
      <c r="E1048" s="3">
        <f>7556/(60*60*24)</f>
        <v>8.74537037037037E-2</v>
      </c>
      <c r="F1048" s="6">
        <f>25860/(60*60*24)</f>
        <v>0.29930555555555555</v>
      </c>
      <c r="G1048" s="7" t="s">
        <v>9</v>
      </c>
    </row>
    <row r="1049" spans="1:7" x14ac:dyDescent="0.45">
      <c r="A1049" t="s">
        <v>1144</v>
      </c>
      <c r="B1049" s="2" t="s">
        <v>166</v>
      </c>
      <c r="C1049" s="8" t="s">
        <v>12</v>
      </c>
      <c r="D1049" s="4">
        <f>2110/(60*60*24)</f>
        <v>2.4421296296296295E-2</v>
      </c>
      <c r="E1049" s="3">
        <f>8044/(60*60*24)</f>
        <v>9.3101851851851852E-2</v>
      </c>
      <c r="F1049" s="5">
        <f>26904/(60*60*24)</f>
        <v>0.31138888888888888</v>
      </c>
      <c r="G1049" s="7" t="s">
        <v>9</v>
      </c>
    </row>
    <row r="1050" spans="1:7" x14ac:dyDescent="0.45">
      <c r="A1050" t="s">
        <v>1145</v>
      </c>
      <c r="B1050" s="2" t="s">
        <v>170</v>
      </c>
      <c r="C1050" s="8" t="s">
        <v>12</v>
      </c>
      <c r="D1050" s="4">
        <f>2289/(60*60*24)</f>
        <v>2.6493055555555554E-2</v>
      </c>
      <c r="E1050" s="3">
        <f>8546/(60*60*24)</f>
        <v>9.8912037037037034E-2</v>
      </c>
      <c r="F1050" s="5">
        <f>28208/(60*60*24)</f>
        <v>0.32648148148148148</v>
      </c>
      <c r="G1050" s="7" t="s">
        <v>9</v>
      </c>
    </row>
    <row r="1051" spans="1:7" x14ac:dyDescent="0.45">
      <c r="A1051" t="s">
        <v>1146</v>
      </c>
      <c r="B1051" s="2" t="s">
        <v>172</v>
      </c>
      <c r="C1051" s="8" t="s">
        <v>12</v>
      </c>
      <c r="D1051" s="4">
        <f>2234/(60*60*24)</f>
        <v>2.585648148148148E-2</v>
      </c>
      <c r="E1051" s="3">
        <f>8472/(60*60*24)</f>
        <v>9.8055555555555562E-2</v>
      </c>
      <c r="F1051" s="5">
        <f>28234/(60*60*24)</f>
        <v>0.32678240740740738</v>
      </c>
      <c r="G1051" s="7" t="s">
        <v>9</v>
      </c>
    </row>
    <row r="1052" spans="1:7" x14ac:dyDescent="0.45">
      <c r="A1052" t="s">
        <v>1147</v>
      </c>
      <c r="B1052" s="2" t="s">
        <v>174</v>
      </c>
      <c r="C1052" s="3">
        <f>6202/(60*60*24)</f>
        <v>7.1782407407407406E-2</v>
      </c>
      <c r="D1052" s="4">
        <f>2343/(60*60*24)</f>
        <v>2.7118055555555555E-2</v>
      </c>
      <c r="E1052" s="5">
        <f>8709/(60*60*24)</f>
        <v>0.10079861111111112</v>
      </c>
      <c r="F1052" s="6">
        <f>30853/(60*60*24)</f>
        <v>0.3570949074074074</v>
      </c>
      <c r="G1052" s="7" t="s">
        <v>9</v>
      </c>
    </row>
    <row r="1053" spans="1:7" x14ac:dyDescent="0.45">
      <c r="A1053" t="s">
        <v>1148</v>
      </c>
      <c r="B1053" s="2" t="s">
        <v>176</v>
      </c>
      <c r="C1053" s="8" t="s">
        <v>12</v>
      </c>
      <c r="D1053" s="4">
        <f>2210/(60*60*24)</f>
        <v>2.5578703703703704E-2</v>
      </c>
      <c r="E1053" s="3">
        <f>8653/(60*60*24)</f>
        <v>0.10015046296296297</v>
      </c>
      <c r="F1053" s="5">
        <f>28814/(60*60*24)</f>
        <v>0.33349537037037036</v>
      </c>
      <c r="G1053" s="7" t="s">
        <v>9</v>
      </c>
    </row>
    <row r="1054" spans="1:7" x14ac:dyDescent="0.45">
      <c r="A1054" t="s">
        <v>1149</v>
      </c>
      <c r="B1054" s="2" t="s">
        <v>180</v>
      </c>
      <c r="C1054" s="5">
        <f>10050/(60*60*24)</f>
        <v>0.11631944444444445</v>
      </c>
      <c r="D1054" s="4">
        <f>2239/(60*60*24)</f>
        <v>2.5914351851851852E-2</v>
      </c>
      <c r="E1054" s="3">
        <f>8590/(60*60*24)</f>
        <v>9.9421296296296299E-2</v>
      </c>
      <c r="F1054" s="6">
        <f>31205/(60*60*24)</f>
        <v>0.36116898148148147</v>
      </c>
      <c r="G1054" s="7" t="s">
        <v>9</v>
      </c>
    </row>
    <row r="1055" spans="1:7" x14ac:dyDescent="0.45">
      <c r="A1055" t="s">
        <v>1150</v>
      </c>
      <c r="B1055" s="2" t="s">
        <v>178</v>
      </c>
      <c r="C1055" s="8" t="s">
        <v>12</v>
      </c>
      <c r="D1055" s="4">
        <f>2434/(60*60*24)</f>
        <v>2.8171296296296295E-2</v>
      </c>
      <c r="E1055" s="3">
        <f>8677/(60*60*24)</f>
        <v>0.10042824074074073</v>
      </c>
      <c r="F1055" s="5">
        <f>30899/(60*60*24)</f>
        <v>0.3576273148148148</v>
      </c>
      <c r="G1055" s="7" t="s">
        <v>9</v>
      </c>
    </row>
    <row r="1056" spans="1:7" x14ac:dyDescent="0.45">
      <c r="A1056" t="s">
        <v>1151</v>
      </c>
      <c r="B1056" s="2" t="s">
        <v>182</v>
      </c>
      <c r="C1056" s="8" t="s">
        <v>12</v>
      </c>
      <c r="D1056" s="4">
        <f>2633/(60*60*24)</f>
        <v>3.0474537037037036E-2</v>
      </c>
      <c r="E1056" s="3">
        <f>8873/(60*60*24)</f>
        <v>0.10269675925925927</v>
      </c>
      <c r="F1056" s="5">
        <f>31100/(60*60*24)</f>
        <v>0.35995370370370372</v>
      </c>
      <c r="G1056" s="7" t="s">
        <v>9</v>
      </c>
    </row>
    <row r="1057" spans="1:7" x14ac:dyDescent="0.45">
      <c r="A1057" t="s">
        <v>1152</v>
      </c>
      <c r="B1057" s="2" t="s">
        <v>184</v>
      </c>
      <c r="C1057" s="8" t="s">
        <v>12</v>
      </c>
      <c r="D1057" s="4">
        <f>2516/(60*60*24)</f>
        <v>2.9120370370370369E-2</v>
      </c>
      <c r="E1057" s="3">
        <f>9016/(60*60*24)</f>
        <v>0.10435185185185185</v>
      </c>
      <c r="F1057" s="5">
        <f>31656/(60*60*24)</f>
        <v>0.36638888888888888</v>
      </c>
      <c r="G1057" s="7" t="s">
        <v>9</v>
      </c>
    </row>
    <row r="1058" spans="1:7" x14ac:dyDescent="0.45">
      <c r="A1058" t="s">
        <v>1153</v>
      </c>
      <c r="B1058" s="2" t="s">
        <v>11</v>
      </c>
      <c r="C1058" s="3">
        <f>5660/(60*60*24)</f>
        <v>6.5509259259259253E-2</v>
      </c>
      <c r="D1058" s="4">
        <f>1852/(60*60*24)</f>
        <v>2.1435185185185186E-2</v>
      </c>
      <c r="E1058" s="5">
        <f>9305/(60*60*24)</f>
        <v>0.10769675925925926</v>
      </c>
      <c r="F1058" s="6">
        <f>31443/(60*60*24)</f>
        <v>0.3639236111111111</v>
      </c>
      <c r="G1058" s="7" t="s">
        <v>9</v>
      </c>
    </row>
    <row r="1059" spans="1:7" x14ac:dyDescent="0.45">
      <c r="A1059" t="s">
        <v>1154</v>
      </c>
      <c r="B1059" s="2" t="s">
        <v>8</v>
      </c>
      <c r="C1059" s="8" t="s">
        <v>12</v>
      </c>
      <c r="D1059" s="4">
        <f>1944/(60*60*24)</f>
        <v>2.2499999999999999E-2</v>
      </c>
      <c r="E1059" s="3">
        <f>9482/(60*60*24)</f>
        <v>0.10974537037037037</v>
      </c>
      <c r="F1059" s="5">
        <f>31947/(60*60*24)</f>
        <v>0.36975694444444446</v>
      </c>
      <c r="G1059" s="7" t="s">
        <v>9</v>
      </c>
    </row>
    <row r="1060" spans="1:7" x14ac:dyDescent="0.45">
      <c r="A1060" t="s">
        <v>1155</v>
      </c>
      <c r="B1060" s="2" t="s">
        <v>14</v>
      </c>
      <c r="C1060" s="3">
        <f>5504/(60*60*24)</f>
        <v>6.3703703703703707E-2</v>
      </c>
      <c r="D1060" s="4">
        <f>1807/(60*60*24)</f>
        <v>2.0914351851851851E-2</v>
      </c>
      <c r="E1060" s="5">
        <f>9047/(60*60*24)</f>
        <v>0.10471064814814815</v>
      </c>
      <c r="F1060" s="6">
        <f>30795/(60*60*24)</f>
        <v>0.35642361111111109</v>
      </c>
      <c r="G1060" s="7" t="s">
        <v>9</v>
      </c>
    </row>
    <row r="1061" spans="1:7" x14ac:dyDescent="0.45">
      <c r="A1061" t="s">
        <v>1156</v>
      </c>
      <c r="B1061" s="2" t="s">
        <v>16</v>
      </c>
      <c r="C1061" s="3">
        <f>6048/(60*60*24)</f>
        <v>7.0000000000000007E-2</v>
      </c>
      <c r="D1061" s="4">
        <f>1785/(60*60*24)</f>
        <v>2.0659722222222222E-2</v>
      </c>
      <c r="E1061" s="5">
        <f>8929/(60*60*24)</f>
        <v>0.10334490740740741</v>
      </c>
      <c r="F1061" s="6">
        <f>30290/(60*60*24)</f>
        <v>0.3505787037037037</v>
      </c>
      <c r="G1061" s="7" t="s">
        <v>9</v>
      </c>
    </row>
    <row r="1062" spans="1:7" x14ac:dyDescent="0.45">
      <c r="A1062" t="s">
        <v>1157</v>
      </c>
      <c r="B1062" s="2" t="s">
        <v>18</v>
      </c>
      <c r="C1062" s="3">
        <f>5889/(60*60*24)</f>
        <v>6.8159722222222219E-2</v>
      </c>
      <c r="D1062" s="4">
        <f>1624/(60*60*24)</f>
        <v>1.8796296296296297E-2</v>
      </c>
      <c r="E1062" s="5">
        <f>8807/(60*60*24)</f>
        <v>0.10193287037037037</v>
      </c>
      <c r="F1062" s="6">
        <f>29899/(60*60*24)</f>
        <v>0.34605324074074073</v>
      </c>
      <c r="G1062" s="7" t="s">
        <v>9</v>
      </c>
    </row>
    <row r="1063" spans="1:7" x14ac:dyDescent="0.45">
      <c r="A1063" t="s">
        <v>1158</v>
      </c>
      <c r="B1063" s="2" t="s">
        <v>20</v>
      </c>
      <c r="C1063" s="3">
        <f>6002/(60*60*24)</f>
        <v>6.9467592592592595E-2</v>
      </c>
      <c r="D1063" s="4">
        <f>1645/(60*60*24)</f>
        <v>1.9039351851851852E-2</v>
      </c>
      <c r="E1063" s="5">
        <f>8668/(60*60*24)</f>
        <v>0.10032407407407408</v>
      </c>
      <c r="F1063" s="6">
        <f>29175/(60*60*24)</f>
        <v>0.3376736111111111</v>
      </c>
      <c r="G1063" s="7" t="s">
        <v>9</v>
      </c>
    </row>
    <row r="1064" spans="1:7" x14ac:dyDescent="0.45">
      <c r="A1064" t="s">
        <v>1159</v>
      </c>
      <c r="B1064" s="2" t="s">
        <v>22</v>
      </c>
      <c r="C1064" s="3">
        <f>5088/(60*60*24)</f>
        <v>5.8888888888888886E-2</v>
      </c>
      <c r="D1064" s="4">
        <f>1641/(60*60*24)</f>
        <v>1.8993055555555555E-2</v>
      </c>
      <c r="E1064" s="5">
        <f>8521/(60*60*24)</f>
        <v>9.8622685185185188E-2</v>
      </c>
      <c r="F1064" s="6">
        <f>28351/(60*60*24)</f>
        <v>0.32813657407407409</v>
      </c>
      <c r="G1064" s="7" t="s">
        <v>9</v>
      </c>
    </row>
    <row r="1065" spans="1:7" x14ac:dyDescent="0.45">
      <c r="A1065" t="s">
        <v>1160</v>
      </c>
      <c r="B1065" s="2" t="s">
        <v>24</v>
      </c>
      <c r="C1065" s="3">
        <f>5204/(60*60*24)</f>
        <v>6.0231481481481483E-2</v>
      </c>
      <c r="D1065" s="4">
        <f>2083/(60*60*24)</f>
        <v>2.4108796296296295E-2</v>
      </c>
      <c r="E1065" s="5">
        <f>8339/(60*60*24)</f>
        <v>9.6516203703703701E-2</v>
      </c>
      <c r="F1065" s="6">
        <f>27377/(60*60*24)</f>
        <v>0.31686342592592592</v>
      </c>
      <c r="G1065" s="7" t="s">
        <v>9</v>
      </c>
    </row>
    <row r="1066" spans="1:7" x14ac:dyDescent="0.45">
      <c r="A1066" t="s">
        <v>1161</v>
      </c>
      <c r="B1066" s="2" t="s">
        <v>26</v>
      </c>
      <c r="C1066" s="3">
        <f>4738/(60*60*24)</f>
        <v>5.4837962962962963E-2</v>
      </c>
      <c r="D1066" s="4">
        <f>1893/(60*60*24)</f>
        <v>2.1909722222222223E-2</v>
      </c>
      <c r="E1066" s="5">
        <f>7930/(60*60*24)</f>
        <v>9.178240740740741E-2</v>
      </c>
      <c r="F1066" s="6">
        <f>26935/(60*60*24)</f>
        <v>0.3117476851851852</v>
      </c>
      <c r="G1066" s="7" t="s">
        <v>9</v>
      </c>
    </row>
    <row r="1067" spans="1:7" x14ac:dyDescent="0.45">
      <c r="A1067" t="s">
        <v>1162</v>
      </c>
      <c r="B1067" s="2" t="s">
        <v>28</v>
      </c>
      <c r="C1067" s="3">
        <f>5226/(60*60*24)</f>
        <v>6.0486111111111109E-2</v>
      </c>
      <c r="D1067" s="4">
        <f>2082/(60*60*24)</f>
        <v>2.4097222222222221E-2</v>
      </c>
      <c r="E1067" s="5">
        <f>7927/(60*60*24)</f>
        <v>9.1747685185185182E-2</v>
      </c>
      <c r="F1067" s="6">
        <f>26414/(60*60*24)</f>
        <v>0.30571759259259257</v>
      </c>
      <c r="G1067" s="7" t="s">
        <v>9</v>
      </c>
    </row>
    <row r="1068" spans="1:7" x14ac:dyDescent="0.45">
      <c r="A1068" t="s">
        <v>1163</v>
      </c>
      <c r="B1068" s="2" t="s">
        <v>32</v>
      </c>
      <c r="C1068" s="3">
        <f>4429/(60*60*24)</f>
        <v>5.1261574074074077E-2</v>
      </c>
      <c r="D1068" s="4">
        <f>1790/(60*60*24)</f>
        <v>2.0717592592592593E-2</v>
      </c>
      <c r="E1068" s="5">
        <f>7423/(60*60*24)</f>
        <v>8.5914351851851853E-2</v>
      </c>
      <c r="F1068" s="6">
        <f>24798/(60*60*24)</f>
        <v>0.2870138888888889</v>
      </c>
      <c r="G1068" s="7" t="s">
        <v>9</v>
      </c>
    </row>
    <row r="1069" spans="1:7" x14ac:dyDescent="0.45">
      <c r="A1069" t="s">
        <v>1164</v>
      </c>
      <c r="B1069" s="2" t="s">
        <v>30</v>
      </c>
      <c r="C1069" s="8" t="s">
        <v>12</v>
      </c>
      <c r="D1069" s="4">
        <f>1834/(60*60*24)</f>
        <v>2.1226851851851851E-2</v>
      </c>
      <c r="E1069" s="3">
        <f>7695/(60*60*24)</f>
        <v>8.9062500000000003E-2</v>
      </c>
      <c r="F1069" s="5">
        <f>25803/(60*60*24)</f>
        <v>0.29864583333333333</v>
      </c>
      <c r="G1069" s="7" t="s">
        <v>9</v>
      </c>
    </row>
    <row r="1070" spans="1:7" x14ac:dyDescent="0.45">
      <c r="A1070" t="s">
        <v>1165</v>
      </c>
      <c r="B1070" s="2" t="s">
        <v>36</v>
      </c>
      <c r="C1070" s="3">
        <f>3798/(60*60*24)</f>
        <v>4.3958333333333335E-2</v>
      </c>
      <c r="D1070" s="4">
        <f>1685/(60*60*24)</f>
        <v>1.9502314814814816E-2</v>
      </c>
      <c r="E1070" s="5">
        <f>7251/(60*60*24)</f>
        <v>8.3923611111111115E-2</v>
      </c>
      <c r="F1070" s="6">
        <f>24056/(60*60*24)</f>
        <v>0.27842592592592591</v>
      </c>
      <c r="G1070" s="7" t="s">
        <v>9</v>
      </c>
    </row>
    <row r="1071" spans="1:7" x14ac:dyDescent="0.45">
      <c r="A1071" t="s">
        <v>1166</v>
      </c>
      <c r="B1071" s="2" t="s">
        <v>34</v>
      </c>
      <c r="C1071" s="3">
        <f>4789/(60*60*24)</f>
        <v>5.5428240740740743E-2</v>
      </c>
      <c r="D1071" s="4">
        <f>1736/(60*60*24)</f>
        <v>2.0092592592592592E-2</v>
      </c>
      <c r="E1071" s="5">
        <f>7024/(60*60*24)</f>
        <v>8.1296296296296297E-2</v>
      </c>
      <c r="F1071" s="6">
        <f>23695/(60*60*24)</f>
        <v>0.27424768518518516</v>
      </c>
      <c r="G1071" s="7" t="s">
        <v>9</v>
      </c>
    </row>
    <row r="1072" spans="1:7" x14ac:dyDescent="0.45">
      <c r="A1072" t="s">
        <v>1167</v>
      </c>
      <c r="B1072" s="2" t="s">
        <v>38</v>
      </c>
      <c r="C1072" s="8" t="s">
        <v>12</v>
      </c>
      <c r="D1072" s="4">
        <f>1795/(60*60*24)</f>
        <v>2.0775462962962964E-2</v>
      </c>
      <c r="E1072" s="3">
        <f>6898/(60*60*24)</f>
        <v>7.9837962962962958E-2</v>
      </c>
      <c r="F1072" s="5">
        <f>23354/(60*60*24)</f>
        <v>0.27030092592592592</v>
      </c>
      <c r="G1072" s="7" t="s">
        <v>9</v>
      </c>
    </row>
    <row r="1073" spans="1:7" x14ac:dyDescent="0.45">
      <c r="A1073" t="s">
        <v>1168</v>
      </c>
      <c r="B1073" s="2" t="s">
        <v>40</v>
      </c>
      <c r="C1073" s="8" t="s">
        <v>12</v>
      </c>
      <c r="D1073" s="4">
        <f>1576/(60*60*24)</f>
        <v>1.8240740740740741E-2</v>
      </c>
      <c r="E1073" s="3">
        <f>6793/(60*60*24)</f>
        <v>7.8622685185185184E-2</v>
      </c>
      <c r="F1073" s="5">
        <f>22748/(60*60*24)</f>
        <v>0.26328703703703704</v>
      </c>
      <c r="G1073" s="7" t="s">
        <v>9</v>
      </c>
    </row>
    <row r="1074" spans="1:7" x14ac:dyDescent="0.45">
      <c r="A1074" t="s">
        <v>1169</v>
      </c>
      <c r="B1074" s="2" t="s">
        <v>44</v>
      </c>
      <c r="C1074" s="8" t="s">
        <v>12</v>
      </c>
      <c r="D1074" s="4">
        <f>1622/(60*60*24)</f>
        <v>1.8773148148148146E-2</v>
      </c>
      <c r="E1074" s="3">
        <f>6355/(60*60*24)</f>
        <v>7.3553240740740738E-2</v>
      </c>
      <c r="F1074" s="5">
        <f>21241/(60*60*24)</f>
        <v>0.24584490740740741</v>
      </c>
      <c r="G1074" s="7" t="s">
        <v>9</v>
      </c>
    </row>
    <row r="1075" spans="1:7" x14ac:dyDescent="0.45">
      <c r="A1075" t="s">
        <v>1170</v>
      </c>
      <c r="B1075" s="2" t="s">
        <v>42</v>
      </c>
      <c r="C1075" s="8" t="s">
        <v>12</v>
      </c>
      <c r="D1075" s="4">
        <f>1722/(60*60*24)</f>
        <v>1.9930555555555556E-2</v>
      </c>
      <c r="E1075" s="3">
        <f>6345/(60*60*24)</f>
        <v>7.3437500000000003E-2</v>
      </c>
      <c r="F1075" s="5">
        <f>20627/(60*60*24)</f>
        <v>0.23873842592592592</v>
      </c>
      <c r="G1075" s="7" t="s">
        <v>9</v>
      </c>
    </row>
    <row r="1076" spans="1:7" x14ac:dyDescent="0.45">
      <c r="A1076" t="s">
        <v>1171</v>
      </c>
      <c r="B1076" s="2" t="s">
        <v>46</v>
      </c>
      <c r="C1076" s="3">
        <f>4912/(60*60*24)</f>
        <v>5.6851851851851855E-2</v>
      </c>
      <c r="D1076" s="4">
        <f>1516/(60*60*24)</f>
        <v>1.7546296296296296E-2</v>
      </c>
      <c r="E1076" s="5">
        <f>6114/(60*60*24)</f>
        <v>7.076388888888889E-2</v>
      </c>
      <c r="F1076" s="6">
        <f>19554/(60*60*24)</f>
        <v>0.22631944444444443</v>
      </c>
      <c r="G1076" s="7" t="s">
        <v>9</v>
      </c>
    </row>
    <row r="1077" spans="1:7" x14ac:dyDescent="0.45">
      <c r="A1077" t="s">
        <v>1172</v>
      </c>
      <c r="B1077" s="2" t="s">
        <v>48</v>
      </c>
      <c r="C1077" s="3">
        <f>4280/(60*60*24)</f>
        <v>4.9537037037037039E-2</v>
      </c>
      <c r="D1077" s="4">
        <f>1378/(60*60*24)</f>
        <v>1.5949074074074074E-2</v>
      </c>
      <c r="E1077" s="5">
        <f>5892/(60*60*24)</f>
        <v>6.8194444444444446E-2</v>
      </c>
      <c r="F1077" s="6">
        <f>18829/(60*60*24)</f>
        <v>0.21792824074074074</v>
      </c>
      <c r="G1077" s="7" t="s">
        <v>9</v>
      </c>
    </row>
    <row r="1078" spans="1:7" x14ac:dyDescent="0.45">
      <c r="A1078" t="s">
        <v>1173</v>
      </c>
      <c r="B1078" s="2" t="s">
        <v>50</v>
      </c>
      <c r="C1078" s="3">
        <f>3811/(60*60*24)</f>
        <v>4.4108796296296299E-2</v>
      </c>
      <c r="D1078" s="4">
        <f>1390/(60*60*24)</f>
        <v>1.6087962962962964E-2</v>
      </c>
      <c r="E1078" s="5">
        <f>5676/(60*60*24)</f>
        <v>6.5694444444444444E-2</v>
      </c>
      <c r="F1078" s="6">
        <f>18782/(60*60*24)</f>
        <v>0.21738425925925925</v>
      </c>
      <c r="G1078" s="7" t="s">
        <v>9</v>
      </c>
    </row>
    <row r="1079" spans="1:7" x14ac:dyDescent="0.45">
      <c r="A1079" t="s">
        <v>1174</v>
      </c>
      <c r="B1079" s="2" t="s">
        <v>52</v>
      </c>
      <c r="C1079" s="3">
        <f>4501/(60*60*24)</f>
        <v>5.2094907407407409E-2</v>
      </c>
      <c r="D1079" s="4">
        <f>1901/(60*60*24)</f>
        <v>2.2002314814814815E-2</v>
      </c>
      <c r="E1079" s="5">
        <f>5608/(60*60*24)</f>
        <v>6.4907407407407414E-2</v>
      </c>
      <c r="F1079" s="6">
        <f>17649/(60*60*24)</f>
        <v>0.20427083333333335</v>
      </c>
      <c r="G1079" s="7" t="s">
        <v>9</v>
      </c>
    </row>
    <row r="1080" spans="1:7" x14ac:dyDescent="0.45">
      <c r="A1080" t="s">
        <v>1175</v>
      </c>
      <c r="B1080" s="2" t="s">
        <v>54</v>
      </c>
      <c r="C1080" s="3">
        <f>4444/(60*60*24)</f>
        <v>5.1435185185185188E-2</v>
      </c>
      <c r="D1080" s="4">
        <f>1228/(60*60*24)</f>
        <v>1.4212962962962964E-2</v>
      </c>
      <c r="E1080" s="5">
        <f>5290/(60*60*24)</f>
        <v>6.1226851851851852E-2</v>
      </c>
      <c r="F1080" s="6">
        <f>16660/(60*60*24)</f>
        <v>0.19282407407407406</v>
      </c>
      <c r="G1080" s="7" t="s">
        <v>9</v>
      </c>
    </row>
    <row r="1081" spans="1:7" x14ac:dyDescent="0.45">
      <c r="A1081" t="s">
        <v>1176</v>
      </c>
      <c r="B1081" s="2" t="s">
        <v>56</v>
      </c>
      <c r="C1081" s="3">
        <f>4391/(60*60*24)</f>
        <v>5.0821759259259261E-2</v>
      </c>
      <c r="D1081" s="4">
        <f>1184/(60*60*24)</f>
        <v>1.3703703703703704E-2</v>
      </c>
      <c r="E1081" s="5">
        <f>5077/(60*60*24)</f>
        <v>5.8761574074074077E-2</v>
      </c>
      <c r="F1081" s="6">
        <f>16073/(60*60*24)</f>
        <v>0.18603009259259259</v>
      </c>
      <c r="G1081" s="7" t="s">
        <v>9</v>
      </c>
    </row>
    <row r="1082" spans="1:7" x14ac:dyDescent="0.45">
      <c r="A1082" t="s">
        <v>1177</v>
      </c>
      <c r="B1082" s="2" t="s">
        <v>58</v>
      </c>
      <c r="C1082" s="5">
        <f>5091/(60*60*24)</f>
        <v>5.8923611111111114E-2</v>
      </c>
      <c r="D1082" s="4">
        <f>1353/(60*60*24)</f>
        <v>1.5659722222222221E-2</v>
      </c>
      <c r="E1082" s="3">
        <f>4544/(60*60*24)</f>
        <v>5.2592592592592594E-2</v>
      </c>
      <c r="F1082" s="6">
        <f>15510/(60*60*24)</f>
        <v>0.17951388888888889</v>
      </c>
      <c r="G1082" s="7" t="s">
        <v>9</v>
      </c>
    </row>
    <row r="1083" spans="1:7" x14ac:dyDescent="0.45">
      <c r="A1083" t="s">
        <v>1178</v>
      </c>
      <c r="B1083" s="2" t="s">
        <v>60</v>
      </c>
      <c r="C1083" s="5">
        <f>4545/(60*60*24)</f>
        <v>5.2604166666666667E-2</v>
      </c>
      <c r="D1083" s="4">
        <f>1351/(60*60*24)</f>
        <v>1.5636574074074074E-2</v>
      </c>
      <c r="E1083" s="3">
        <f>4416/(60*60*24)</f>
        <v>5.1111111111111114E-2</v>
      </c>
      <c r="F1083" s="6">
        <f>15039/(60*60*24)</f>
        <v>0.17406250000000001</v>
      </c>
      <c r="G1083" s="7" t="s">
        <v>9</v>
      </c>
    </row>
    <row r="1084" spans="1:7" x14ac:dyDescent="0.45">
      <c r="A1084" t="s">
        <v>1179</v>
      </c>
      <c r="B1084" s="2" t="s">
        <v>62</v>
      </c>
      <c r="C1084" s="3">
        <f>4128/(60*60*24)</f>
        <v>4.777777777777778E-2</v>
      </c>
      <c r="D1084" s="4">
        <f>1470/(60*60*24)</f>
        <v>1.7013888888888887E-2</v>
      </c>
      <c r="E1084" s="5">
        <f>4154/(60*60*24)</f>
        <v>4.8078703703703707E-2</v>
      </c>
      <c r="F1084" s="6">
        <f>14549/(60*60*24)</f>
        <v>0.1683912037037037</v>
      </c>
      <c r="G1084" s="7" t="s">
        <v>9</v>
      </c>
    </row>
    <row r="1085" spans="1:7" x14ac:dyDescent="0.45">
      <c r="A1085" t="s">
        <v>1180</v>
      </c>
      <c r="B1085" s="2" t="s">
        <v>64</v>
      </c>
      <c r="C1085" s="5">
        <f>4433/(60*60*24)</f>
        <v>5.1307870370370372E-2</v>
      </c>
      <c r="D1085" s="4">
        <f>1362/(60*60*24)</f>
        <v>1.576388888888889E-2</v>
      </c>
      <c r="E1085" s="3">
        <f>3979/(60*60*24)</f>
        <v>4.6053240740740742E-2</v>
      </c>
      <c r="F1085" s="6">
        <f>13850/(60*60*24)</f>
        <v>0.16030092592592593</v>
      </c>
      <c r="G1085" s="7" t="s">
        <v>9</v>
      </c>
    </row>
    <row r="1086" spans="1:7" x14ac:dyDescent="0.45">
      <c r="A1086" t="s">
        <v>1181</v>
      </c>
      <c r="B1086" s="2" t="s">
        <v>66</v>
      </c>
      <c r="C1086" s="5">
        <f>4731/(60*60*24)</f>
        <v>5.4756944444444441E-2</v>
      </c>
      <c r="D1086" s="4">
        <f>1289/(60*60*24)</f>
        <v>1.4918981481481481E-2</v>
      </c>
      <c r="E1086" s="3">
        <f>3789/(60*60*24)</f>
        <v>4.3854166666666666E-2</v>
      </c>
      <c r="F1086" s="6">
        <f>13194/(60*60*24)</f>
        <v>0.15270833333333333</v>
      </c>
      <c r="G1086" s="7" t="s">
        <v>9</v>
      </c>
    </row>
    <row r="1087" spans="1:7" x14ac:dyDescent="0.45">
      <c r="A1087" t="s">
        <v>1182</v>
      </c>
      <c r="B1087" s="2" t="s">
        <v>68</v>
      </c>
      <c r="C1087" s="5">
        <f>3852/(60*60*24)</f>
        <v>4.4583333333333336E-2</v>
      </c>
      <c r="D1087" s="4">
        <f>1214/(60*60*24)</f>
        <v>1.4050925925925927E-2</v>
      </c>
      <c r="E1087" s="3">
        <f>3642/(60*60*24)</f>
        <v>4.2152777777777775E-2</v>
      </c>
      <c r="F1087" s="6">
        <f>12661/(60*60*24)</f>
        <v>0.14653935185185185</v>
      </c>
      <c r="G1087" s="7" t="s">
        <v>9</v>
      </c>
    </row>
    <row r="1088" spans="1:7" x14ac:dyDescent="0.45">
      <c r="A1088" t="s">
        <v>1183</v>
      </c>
      <c r="B1088" s="2" t="s">
        <v>70</v>
      </c>
      <c r="C1088" s="5">
        <f>4159/(60*60*24)</f>
        <v>4.8136574074074075E-2</v>
      </c>
      <c r="D1088" s="4">
        <f>1107/(60*60*24)</f>
        <v>1.2812499999999999E-2</v>
      </c>
      <c r="E1088" s="3">
        <f>3531/(60*60*24)</f>
        <v>4.0868055555555553E-2</v>
      </c>
      <c r="F1088" s="6">
        <f>11987/(60*60*24)</f>
        <v>0.13873842592592592</v>
      </c>
      <c r="G1088" s="7" t="s">
        <v>9</v>
      </c>
    </row>
    <row r="1089" spans="1:7" x14ac:dyDescent="0.45">
      <c r="A1089" t="s">
        <v>1184</v>
      </c>
      <c r="B1089" s="2" t="s">
        <v>72</v>
      </c>
      <c r="C1089" s="5">
        <f>4496/(60*60*24)</f>
        <v>5.2037037037037034E-2</v>
      </c>
      <c r="D1089" s="4">
        <f>1059/(60*60*24)</f>
        <v>1.2256944444444445E-2</v>
      </c>
      <c r="E1089" s="3">
        <f>3454/(60*60*24)</f>
        <v>3.9976851851851854E-2</v>
      </c>
      <c r="F1089" s="6">
        <f>11913/(60*60*24)</f>
        <v>0.13788194444444443</v>
      </c>
      <c r="G1089" s="7" t="s">
        <v>9</v>
      </c>
    </row>
    <row r="1090" spans="1:7" x14ac:dyDescent="0.45">
      <c r="A1090" t="s">
        <v>1185</v>
      </c>
      <c r="B1090" s="2" t="s">
        <v>74</v>
      </c>
      <c r="C1090" s="5">
        <f>3833/(60*60*24)</f>
        <v>4.4363425925925924E-2</v>
      </c>
      <c r="D1090" s="4">
        <f>960/(60*60*24)</f>
        <v>1.1111111111111112E-2</v>
      </c>
      <c r="E1090" s="3">
        <f>3038/(60*60*24)</f>
        <v>3.516203703703704E-2</v>
      </c>
      <c r="F1090" s="6">
        <f>10717/(60*60*24)</f>
        <v>0.12403935185185185</v>
      </c>
      <c r="G1090" s="7" t="s">
        <v>9</v>
      </c>
    </row>
    <row r="1091" spans="1:7" x14ac:dyDescent="0.45">
      <c r="A1091" t="s">
        <v>1186</v>
      </c>
      <c r="B1091" s="2" t="s">
        <v>76</v>
      </c>
      <c r="C1091" s="5">
        <f>3423/(60*60*24)</f>
        <v>3.9618055555555552E-2</v>
      </c>
      <c r="D1091" s="4">
        <f>974/(60*60*24)</f>
        <v>1.1273148148148148E-2</v>
      </c>
      <c r="E1091" s="3">
        <f>2941/(60*60*24)</f>
        <v>3.4039351851851848E-2</v>
      </c>
      <c r="F1091" s="6">
        <f>10212/(60*60*24)</f>
        <v>0.11819444444444445</v>
      </c>
      <c r="G1091" s="7" t="s">
        <v>9</v>
      </c>
    </row>
    <row r="1092" spans="1:7" x14ac:dyDescent="0.45">
      <c r="A1092" t="s">
        <v>1187</v>
      </c>
      <c r="B1092" s="2" t="s">
        <v>78</v>
      </c>
      <c r="C1092" s="5">
        <f>4196/(60*60*24)</f>
        <v>4.8564814814814818E-2</v>
      </c>
      <c r="D1092" s="4">
        <f>1034/(60*60*24)</f>
        <v>1.1967592592592592E-2</v>
      </c>
      <c r="E1092" s="3">
        <f>2872/(60*60*24)</f>
        <v>3.3240740740740737E-2</v>
      </c>
      <c r="F1092" s="6">
        <f>10006/(60*60*24)</f>
        <v>0.11581018518518518</v>
      </c>
      <c r="G1092" s="7" t="s">
        <v>9</v>
      </c>
    </row>
    <row r="1093" spans="1:7" x14ac:dyDescent="0.45">
      <c r="A1093" t="s">
        <v>1188</v>
      </c>
      <c r="B1093" s="2" t="s">
        <v>80</v>
      </c>
      <c r="C1093" s="5">
        <f>2997/(60*60*24)</f>
        <v>3.4687500000000003E-2</v>
      </c>
      <c r="D1093" s="4">
        <f>1326/(60*60*24)</f>
        <v>1.5347222222222222E-2</v>
      </c>
      <c r="E1093" s="3">
        <f>2279/(60*60*24)</f>
        <v>2.6377314814814815E-2</v>
      </c>
      <c r="F1093" s="6">
        <f>8527/(60*60*24)</f>
        <v>9.869212962962963E-2</v>
      </c>
      <c r="G1093" s="7" t="s">
        <v>9</v>
      </c>
    </row>
    <row r="1094" spans="1:7" x14ac:dyDescent="0.45">
      <c r="A1094" t="s">
        <v>1189</v>
      </c>
      <c r="B1094" s="2" t="s">
        <v>84</v>
      </c>
      <c r="C1094" s="5">
        <f>2845/(60*60*24)</f>
        <v>3.2928240740740744E-2</v>
      </c>
      <c r="D1094" s="4">
        <f>1096/(60*60*24)</f>
        <v>1.2685185185185185E-2</v>
      </c>
      <c r="E1094" s="3">
        <f>2133/(60*60*24)</f>
        <v>2.4687500000000001E-2</v>
      </c>
      <c r="F1094" s="6">
        <f>8016/(60*60*24)</f>
        <v>9.2777777777777778E-2</v>
      </c>
      <c r="G1094" s="7" t="s">
        <v>9</v>
      </c>
    </row>
    <row r="1095" spans="1:7" x14ac:dyDescent="0.45">
      <c r="A1095" t="s">
        <v>1190</v>
      </c>
      <c r="B1095" s="2" t="s">
        <v>82</v>
      </c>
      <c r="C1095" s="5">
        <f>3243/(60*60*24)</f>
        <v>3.7534722222222219E-2</v>
      </c>
      <c r="D1095" s="4">
        <f>1033/(60*60*24)</f>
        <v>1.1956018518518519E-2</v>
      </c>
      <c r="E1095" s="3">
        <f>2017/(60*60*24)</f>
        <v>2.3344907407407408E-2</v>
      </c>
      <c r="F1095" s="6">
        <f>7757/(60*60*24)</f>
        <v>8.9780092592592592E-2</v>
      </c>
      <c r="G1095" s="7" t="s">
        <v>9</v>
      </c>
    </row>
    <row r="1096" spans="1:7" x14ac:dyDescent="0.45">
      <c r="A1096" t="s">
        <v>1191</v>
      </c>
      <c r="B1096" s="2" t="s">
        <v>88</v>
      </c>
      <c r="C1096" s="8" t="s">
        <v>12</v>
      </c>
      <c r="D1096" s="4">
        <f>900/(60*60*24)</f>
        <v>1.0416666666666666E-2</v>
      </c>
      <c r="E1096" s="3">
        <f>1860/(60*60*24)</f>
        <v>2.1527777777777778E-2</v>
      </c>
      <c r="F1096" s="5">
        <f>7049/(60*60*24)</f>
        <v>8.1585648148148143E-2</v>
      </c>
      <c r="G1096" s="7" t="s">
        <v>9</v>
      </c>
    </row>
    <row r="1097" spans="1:7" x14ac:dyDescent="0.45">
      <c r="A1097" t="s">
        <v>1192</v>
      </c>
      <c r="B1097" s="2" t="s">
        <v>86</v>
      </c>
      <c r="C1097" s="8" t="s">
        <v>12</v>
      </c>
      <c r="D1097" s="4">
        <f>1202/(60*60*24)</f>
        <v>1.3912037037037037E-2</v>
      </c>
      <c r="E1097" s="3">
        <f>1692/(60*60*24)</f>
        <v>1.9583333333333335E-2</v>
      </c>
      <c r="F1097" s="5">
        <f>5687/(60*60*24)</f>
        <v>6.582175925925926E-2</v>
      </c>
      <c r="G1097" s="7" t="s">
        <v>9</v>
      </c>
    </row>
    <row r="1098" spans="1:7" x14ac:dyDescent="0.45">
      <c r="A1098" t="s">
        <v>1193</v>
      </c>
      <c r="B1098" s="2" t="s">
        <v>90</v>
      </c>
      <c r="C1098" s="8" t="s">
        <v>12</v>
      </c>
      <c r="D1098" s="4">
        <f>908/(60*60*24)</f>
        <v>1.050925925925926E-2</v>
      </c>
      <c r="E1098" s="3">
        <f>1406/(60*60*24)</f>
        <v>1.6273148148148148E-2</v>
      </c>
      <c r="F1098" s="5">
        <f>4924/(60*60*24)</f>
        <v>5.6990740740740738E-2</v>
      </c>
      <c r="G1098" s="7" t="s">
        <v>9</v>
      </c>
    </row>
    <row r="1099" spans="1:7" x14ac:dyDescent="0.45">
      <c r="A1099" t="s">
        <v>1194</v>
      </c>
      <c r="B1099" s="2" t="s">
        <v>92</v>
      </c>
      <c r="C1099" s="8" t="s">
        <v>12</v>
      </c>
      <c r="D1099" s="4">
        <f>821/(60*60*24)</f>
        <v>9.5023148148148141E-3</v>
      </c>
      <c r="E1099" s="3">
        <f>1337/(60*60*24)</f>
        <v>1.5474537037037037E-2</v>
      </c>
      <c r="F1099" s="5">
        <f>4164/(60*60*24)</f>
        <v>4.8194444444444443E-2</v>
      </c>
      <c r="G1099" s="7" t="s">
        <v>9</v>
      </c>
    </row>
    <row r="1100" spans="1:7" x14ac:dyDescent="0.45">
      <c r="A1100" t="s">
        <v>1195</v>
      </c>
      <c r="B1100" s="2" t="s">
        <v>94</v>
      </c>
      <c r="C1100" s="8" t="s">
        <v>12</v>
      </c>
      <c r="D1100" s="4">
        <f>1118/(60*60*24)</f>
        <v>1.2939814814814815E-2</v>
      </c>
      <c r="E1100" s="3">
        <f>1161/(60*60*24)</f>
        <v>1.34375E-2</v>
      </c>
      <c r="F1100" s="5">
        <f>3581/(60*60*24)</f>
        <v>4.144675925925926E-2</v>
      </c>
      <c r="G1100" s="7" t="s">
        <v>9</v>
      </c>
    </row>
    <row r="1101" spans="1:7" x14ac:dyDescent="0.45">
      <c r="A1101" t="s">
        <v>1196</v>
      </c>
      <c r="B1101" s="2" t="s">
        <v>96</v>
      </c>
      <c r="C1101" s="8" t="s">
        <v>12</v>
      </c>
      <c r="D1101" s="4">
        <f>643/(60*60*24)</f>
        <v>7.4421296296296293E-3</v>
      </c>
      <c r="E1101" s="3">
        <f>866/(60*60*24)</f>
        <v>1.0023148148148147E-2</v>
      </c>
      <c r="F1101" s="5">
        <f>2837/(60*60*24)</f>
        <v>3.2835648148148149E-2</v>
      </c>
      <c r="G1101" s="7" t="s">
        <v>9</v>
      </c>
    </row>
    <row r="1102" spans="1:7" x14ac:dyDescent="0.45">
      <c r="A1102" t="s">
        <v>1197</v>
      </c>
      <c r="B1102" s="2" t="s">
        <v>98</v>
      </c>
      <c r="C1102" s="8" t="s">
        <v>12</v>
      </c>
      <c r="D1102" s="4">
        <f>481/(60*60*24)</f>
        <v>5.5671296296296293E-3</v>
      </c>
      <c r="E1102" s="3">
        <f>832/(60*60*24)</f>
        <v>9.6296296296296303E-3</v>
      </c>
      <c r="F1102" s="5">
        <f>2989/(60*60*24)</f>
        <v>3.4594907407407408E-2</v>
      </c>
      <c r="G1102" s="7" t="s">
        <v>9</v>
      </c>
    </row>
    <row r="1103" spans="1:7" x14ac:dyDescent="0.45">
      <c r="A1103" t="s">
        <v>1198</v>
      </c>
      <c r="B1103" s="2" t="s">
        <v>100</v>
      </c>
      <c r="C1103" s="8" t="s">
        <v>12</v>
      </c>
      <c r="D1103" s="4">
        <f>440/(60*60*24)</f>
        <v>5.092592592592593E-3</v>
      </c>
      <c r="E1103" s="3">
        <f>683/(60*60*24)</f>
        <v>7.905092592592592E-3</v>
      </c>
      <c r="F1103" s="5">
        <f>2421/(60*60*24)</f>
        <v>2.8020833333333332E-2</v>
      </c>
      <c r="G1103" s="7" t="s">
        <v>9</v>
      </c>
    </row>
    <row r="1104" spans="1:7" x14ac:dyDescent="0.45">
      <c r="A1104" t="s">
        <v>1199</v>
      </c>
      <c r="B1104" s="2" t="s">
        <v>104</v>
      </c>
      <c r="C1104" s="5">
        <f>1524/(60*60*24)</f>
        <v>1.7638888888888888E-2</v>
      </c>
      <c r="D1104" s="4">
        <f>661/(60*60*24)</f>
        <v>7.6504629629629631E-3</v>
      </c>
      <c r="E1104" s="3">
        <f>1154/(60*60*24)</f>
        <v>1.3356481481481481E-2</v>
      </c>
      <c r="F1104" s="6">
        <f>3425/(60*60*24)</f>
        <v>3.9641203703703706E-2</v>
      </c>
      <c r="G1104" s="7" t="s">
        <v>9</v>
      </c>
    </row>
    <row r="1105" spans="1:7" x14ac:dyDescent="0.45">
      <c r="A1105" t="s">
        <v>1200</v>
      </c>
      <c r="B1105" s="2" t="s">
        <v>102</v>
      </c>
      <c r="C1105" s="3">
        <f>969/(60*60*24)</f>
        <v>1.1215277777777777E-2</v>
      </c>
      <c r="D1105" s="4">
        <f>572/(60*60*24)</f>
        <v>6.6203703703703702E-3</v>
      </c>
      <c r="E1105" s="5">
        <f>1012/(60*60*24)</f>
        <v>1.1712962962962963E-2</v>
      </c>
      <c r="F1105" s="6">
        <f>3275/(60*60*24)</f>
        <v>3.7905092592592594E-2</v>
      </c>
      <c r="G1105" s="7" t="s">
        <v>9</v>
      </c>
    </row>
    <row r="1106" spans="1:7" x14ac:dyDescent="0.45">
      <c r="A1106" t="s">
        <v>1201</v>
      </c>
      <c r="B1106" s="2" t="s">
        <v>106</v>
      </c>
      <c r="C1106" s="5">
        <f>2187/(60*60*24)</f>
        <v>2.5312500000000002E-2</v>
      </c>
      <c r="D1106" s="4">
        <f>597/(60*60*24)</f>
        <v>6.9097222222222225E-3</v>
      </c>
      <c r="E1106" s="3">
        <f>1063/(60*60*24)</f>
        <v>1.2303240740740741E-2</v>
      </c>
      <c r="F1106" s="6">
        <f>3264/(60*60*24)</f>
        <v>3.7777777777777778E-2</v>
      </c>
      <c r="G1106" s="7" t="s">
        <v>9</v>
      </c>
    </row>
    <row r="1107" spans="1:7" x14ac:dyDescent="0.45">
      <c r="A1107" t="s">
        <v>1202</v>
      </c>
      <c r="B1107" s="2" t="s">
        <v>108</v>
      </c>
      <c r="C1107" s="5">
        <f>1865/(60*60*24)</f>
        <v>2.1585648148148149E-2</v>
      </c>
      <c r="D1107" s="4">
        <f>742/(60*60*24)</f>
        <v>8.5879629629629622E-3</v>
      </c>
      <c r="E1107" s="3">
        <f>1289/(60*60*24)</f>
        <v>1.4918981481481481E-2</v>
      </c>
      <c r="F1107" s="6">
        <f>3984/(60*60*24)</f>
        <v>4.611111111111111E-2</v>
      </c>
      <c r="G1107" s="7" t="s">
        <v>9</v>
      </c>
    </row>
    <row r="1108" spans="1:7" x14ac:dyDescent="0.45">
      <c r="A1108" t="s">
        <v>1203</v>
      </c>
      <c r="B1108" s="2" t="s">
        <v>110</v>
      </c>
      <c r="C1108" s="5">
        <f>1698/(60*60*24)</f>
        <v>1.9652777777777779E-2</v>
      </c>
      <c r="D1108" s="4">
        <f>799/(60*60*24)</f>
        <v>9.2476851851851852E-3</v>
      </c>
      <c r="E1108" s="3">
        <f>1466/(60*60*24)</f>
        <v>1.6967592592592593E-2</v>
      </c>
      <c r="F1108" s="6">
        <f>4540/(60*60*24)</f>
        <v>5.2546296296296299E-2</v>
      </c>
      <c r="G1108" s="7" t="s">
        <v>9</v>
      </c>
    </row>
    <row r="1109" spans="1:7" x14ac:dyDescent="0.45">
      <c r="A1109" t="s">
        <v>1204</v>
      </c>
      <c r="B1109" s="2" t="s">
        <v>112</v>
      </c>
      <c r="C1109" s="8" t="s">
        <v>12</v>
      </c>
      <c r="D1109" s="4">
        <f>920/(60*60*24)</f>
        <v>1.0648148148148148E-2</v>
      </c>
      <c r="E1109" s="3">
        <f>1737/(60*60*24)</f>
        <v>2.0104166666666666E-2</v>
      </c>
      <c r="F1109" s="5">
        <f>5021/(60*60*24)</f>
        <v>5.8113425925925923E-2</v>
      </c>
      <c r="G1109" s="7" t="s">
        <v>9</v>
      </c>
    </row>
    <row r="1110" spans="1:7" x14ac:dyDescent="0.45">
      <c r="A1110" t="s">
        <v>1205</v>
      </c>
      <c r="B1110" s="2" t="s">
        <v>114</v>
      </c>
      <c r="C1110" s="3">
        <f>1802/(60*60*24)</f>
        <v>2.0856481481481483E-2</v>
      </c>
      <c r="D1110" s="4">
        <f>955/(60*60*24)</f>
        <v>1.105324074074074E-2</v>
      </c>
      <c r="E1110" s="5">
        <f>1981/(60*60*24)</f>
        <v>2.2928240740740742E-2</v>
      </c>
      <c r="F1110" s="6">
        <f>6513/(60*60*24)</f>
        <v>7.5381944444444446E-2</v>
      </c>
      <c r="G1110" s="7" t="s">
        <v>9</v>
      </c>
    </row>
    <row r="1111" spans="1:7" x14ac:dyDescent="0.45">
      <c r="A1111" t="s">
        <v>1206</v>
      </c>
      <c r="B1111" s="2" t="s">
        <v>116</v>
      </c>
      <c r="C1111" s="3">
        <f>1224/(60*60*24)</f>
        <v>1.4166666666666666E-2</v>
      </c>
      <c r="D1111" s="4">
        <f>1004/(60*60*24)</f>
        <v>1.1620370370370371E-2</v>
      </c>
      <c r="E1111" s="5">
        <f>1837/(60*60*24)</f>
        <v>2.1261574074074075E-2</v>
      </c>
      <c r="F1111" s="6">
        <f>6091/(60*60*24)</f>
        <v>7.0497685185185191E-2</v>
      </c>
      <c r="G1111" s="7" t="s">
        <v>9</v>
      </c>
    </row>
    <row r="1112" spans="1:7" x14ac:dyDescent="0.45">
      <c r="A1112" t="s">
        <v>1207</v>
      </c>
      <c r="B1112" s="2" t="s">
        <v>118</v>
      </c>
      <c r="C1112" s="3">
        <f>1308/(60*60*24)</f>
        <v>1.5138888888888889E-2</v>
      </c>
      <c r="D1112" s="4">
        <f>1163/(60*60*24)</f>
        <v>1.3460648148148149E-2</v>
      </c>
      <c r="E1112" s="5">
        <f>2030/(60*60*24)</f>
        <v>2.3495370370370371E-2</v>
      </c>
      <c r="F1112" s="6">
        <f>6914/(60*60*24)</f>
        <v>8.0023148148148149E-2</v>
      </c>
      <c r="G1112" s="7" t="s">
        <v>9</v>
      </c>
    </row>
    <row r="1113" spans="1:7" x14ac:dyDescent="0.45">
      <c r="A1113" t="s">
        <v>1208</v>
      </c>
      <c r="B1113" s="2" t="s">
        <v>120</v>
      </c>
      <c r="C1113" s="3">
        <f>1590/(60*60*24)</f>
        <v>1.8402777777777778E-2</v>
      </c>
      <c r="D1113" s="4">
        <f>1228/(60*60*24)</f>
        <v>1.4212962962962964E-2</v>
      </c>
      <c r="E1113" s="5">
        <f>2151/(60*60*24)</f>
        <v>2.4895833333333332E-2</v>
      </c>
      <c r="F1113" s="6">
        <f>7476/(60*60*24)</f>
        <v>8.6527777777777773E-2</v>
      </c>
      <c r="G1113" s="7" t="s">
        <v>9</v>
      </c>
    </row>
    <row r="1114" spans="1:7" x14ac:dyDescent="0.45">
      <c r="A1114" t="s">
        <v>1209</v>
      </c>
      <c r="B1114" s="2" t="s">
        <v>124</v>
      </c>
      <c r="C1114" s="8" t="s">
        <v>12</v>
      </c>
      <c r="D1114" s="4">
        <f>1365/(60*60*24)</f>
        <v>1.579861111111111E-2</v>
      </c>
      <c r="E1114" s="3">
        <f>2322/(60*60*24)</f>
        <v>2.6875E-2</v>
      </c>
      <c r="F1114" s="5">
        <f>8064/(60*60*24)</f>
        <v>9.3333333333333338E-2</v>
      </c>
      <c r="G1114" s="7" t="s">
        <v>9</v>
      </c>
    </row>
    <row r="1115" spans="1:7" x14ac:dyDescent="0.45">
      <c r="A1115" t="s">
        <v>1210</v>
      </c>
      <c r="B1115" s="2" t="s">
        <v>122</v>
      </c>
      <c r="C1115" s="8" t="s">
        <v>12</v>
      </c>
      <c r="D1115" s="4">
        <f>1451/(60*60*24)</f>
        <v>1.6793981481481483E-2</v>
      </c>
      <c r="E1115" s="3">
        <f>2744/(60*60*24)</f>
        <v>3.1759259259259258E-2</v>
      </c>
      <c r="F1115" s="5">
        <f>9011/(60*60*24)</f>
        <v>0.10429398148148149</v>
      </c>
      <c r="G1115" s="7" t="s">
        <v>9</v>
      </c>
    </row>
    <row r="1116" spans="1:7" x14ac:dyDescent="0.45">
      <c r="A1116" t="s">
        <v>1211</v>
      </c>
      <c r="B1116" s="2" t="s">
        <v>126</v>
      </c>
      <c r="C1116" s="8" t="s">
        <v>12</v>
      </c>
      <c r="D1116" s="4">
        <f>1554/(60*60*24)</f>
        <v>1.7986111111111112E-2</v>
      </c>
      <c r="E1116" s="3">
        <f>2986/(60*60*24)</f>
        <v>3.4560185185185187E-2</v>
      </c>
      <c r="F1116" s="5">
        <f>10038/(60*60*24)</f>
        <v>0.11618055555555555</v>
      </c>
      <c r="G1116" s="7" t="s">
        <v>9</v>
      </c>
    </row>
    <row r="1117" spans="1:7" x14ac:dyDescent="0.45">
      <c r="A1117" t="s">
        <v>1212</v>
      </c>
      <c r="B1117" s="2" t="s">
        <v>128</v>
      </c>
      <c r="C1117" s="8" t="s">
        <v>12</v>
      </c>
      <c r="D1117" s="4">
        <f>1548/(60*60*24)</f>
        <v>1.7916666666666668E-2</v>
      </c>
      <c r="E1117" s="3">
        <f>3131/(60*60*24)</f>
        <v>3.6238425925925924E-2</v>
      </c>
      <c r="F1117" s="5">
        <f>11752/(60*60*24)</f>
        <v>0.13601851851851851</v>
      </c>
      <c r="G1117" s="7" t="s">
        <v>9</v>
      </c>
    </row>
    <row r="1118" spans="1:7" x14ac:dyDescent="0.45">
      <c r="A1118" t="s">
        <v>1213</v>
      </c>
      <c r="B1118" s="2" t="s">
        <v>130</v>
      </c>
      <c r="C1118" s="5">
        <f>3441/(60*60*24)</f>
        <v>3.982638888888889E-2</v>
      </c>
      <c r="D1118" s="4">
        <f>1276/(60*60*24)</f>
        <v>1.4768518518518519E-2</v>
      </c>
      <c r="E1118" s="3">
        <f>3340/(60*60*24)</f>
        <v>3.8657407407407404E-2</v>
      </c>
      <c r="F1118" s="6">
        <f>12858/(60*60*24)</f>
        <v>0.14881944444444445</v>
      </c>
      <c r="G1118" s="7" t="s">
        <v>9</v>
      </c>
    </row>
    <row r="1119" spans="1:7" x14ac:dyDescent="0.45">
      <c r="A1119" t="s">
        <v>1214</v>
      </c>
      <c r="B1119" s="2" t="s">
        <v>132</v>
      </c>
      <c r="C1119" s="3">
        <f>3410/(60*60*24)</f>
        <v>3.9467592592592596E-2</v>
      </c>
      <c r="D1119" s="4">
        <f>1512/(60*60*24)</f>
        <v>1.7500000000000002E-2</v>
      </c>
      <c r="E1119" s="5">
        <f>4004/(60*60*24)</f>
        <v>4.6342592592592595E-2</v>
      </c>
      <c r="F1119" s="6">
        <f>12631/(60*60*24)</f>
        <v>0.14619212962962963</v>
      </c>
      <c r="G1119" s="7" t="s">
        <v>9</v>
      </c>
    </row>
    <row r="1120" spans="1:7" x14ac:dyDescent="0.45">
      <c r="A1120" t="s">
        <v>1215</v>
      </c>
      <c r="B1120" s="2" t="s">
        <v>134</v>
      </c>
      <c r="C1120" s="3">
        <f>3838/(60*60*24)</f>
        <v>4.4421296296296299E-2</v>
      </c>
      <c r="D1120" s="4">
        <f>1394/(60*60*24)</f>
        <v>1.6134259259259258E-2</v>
      </c>
      <c r="E1120" s="5">
        <f>3950/(60*60*24)</f>
        <v>4.5717592592592594E-2</v>
      </c>
      <c r="F1120" s="6">
        <f>13826/(60*60*24)</f>
        <v>0.16002314814814814</v>
      </c>
      <c r="G1120" s="7" t="s">
        <v>9</v>
      </c>
    </row>
    <row r="1121" spans="1:7" x14ac:dyDescent="0.45">
      <c r="A1121" t="s">
        <v>1216</v>
      </c>
      <c r="B1121" s="2" t="s">
        <v>136</v>
      </c>
      <c r="C1121" s="8" t="s">
        <v>12</v>
      </c>
      <c r="D1121" s="4">
        <f>1491/(60*60*24)</f>
        <v>1.7256944444444443E-2</v>
      </c>
      <c r="E1121" s="3">
        <f>4164/(60*60*24)</f>
        <v>4.8194444444444443E-2</v>
      </c>
      <c r="F1121" s="5">
        <f>13235/(60*60*24)</f>
        <v>0.15318287037037037</v>
      </c>
      <c r="G1121" s="7" t="s">
        <v>9</v>
      </c>
    </row>
    <row r="1122" spans="1:7" x14ac:dyDescent="0.45">
      <c r="A1122" t="s">
        <v>1217</v>
      </c>
      <c r="B1122" s="2" t="s">
        <v>138</v>
      </c>
      <c r="C1122" s="8" t="s">
        <v>12</v>
      </c>
      <c r="D1122" s="4">
        <f>1435/(60*60*24)</f>
        <v>1.6608796296296295E-2</v>
      </c>
      <c r="E1122" s="3">
        <f>4089/(60*60*24)</f>
        <v>4.732638888888889E-2</v>
      </c>
      <c r="F1122" s="5">
        <f>14557/(60*60*24)</f>
        <v>0.16848379629629628</v>
      </c>
      <c r="G1122" s="7" t="s">
        <v>9</v>
      </c>
    </row>
    <row r="1123" spans="1:7" x14ac:dyDescent="0.45">
      <c r="A1123" t="s">
        <v>1218</v>
      </c>
      <c r="B1123" s="2" t="s">
        <v>140</v>
      </c>
      <c r="C1123" s="8" t="s">
        <v>12</v>
      </c>
      <c r="D1123" s="4">
        <f>1561/(60*60*24)</f>
        <v>1.8067129629629631E-2</v>
      </c>
      <c r="E1123" s="3">
        <f>4124/(60*60*24)</f>
        <v>4.7731481481481479E-2</v>
      </c>
      <c r="F1123" s="5">
        <f>15333/(60*60*24)</f>
        <v>0.17746527777777779</v>
      </c>
      <c r="G1123" s="7" t="s">
        <v>9</v>
      </c>
    </row>
    <row r="1124" spans="1:7" x14ac:dyDescent="0.45">
      <c r="A1124" t="s">
        <v>1219</v>
      </c>
      <c r="B1124" s="2" t="s">
        <v>142</v>
      </c>
      <c r="C1124" s="8" t="s">
        <v>12</v>
      </c>
      <c r="D1124" s="4">
        <f>1615/(60*60*24)</f>
        <v>1.8692129629629628E-2</v>
      </c>
      <c r="E1124" s="3">
        <f>4339/(60*60*24)</f>
        <v>5.0219907407407408E-2</v>
      </c>
      <c r="F1124" s="5">
        <f>15807/(60*60*24)</f>
        <v>0.1829513888888889</v>
      </c>
      <c r="G1124" s="7" t="s">
        <v>9</v>
      </c>
    </row>
    <row r="1125" spans="1:7" x14ac:dyDescent="0.45">
      <c r="A1125" t="s">
        <v>1220</v>
      </c>
      <c r="B1125" s="2" t="s">
        <v>144</v>
      </c>
      <c r="C1125" s="8" t="s">
        <v>12</v>
      </c>
      <c r="D1125" s="4">
        <f>1627/(60*60*24)</f>
        <v>1.8831018518518518E-2</v>
      </c>
      <c r="E1125" s="3">
        <f>4567/(60*60*24)</f>
        <v>5.28587962962963E-2</v>
      </c>
      <c r="F1125" s="5">
        <f>16800/(60*60*24)</f>
        <v>0.19444444444444445</v>
      </c>
      <c r="G1125" s="7" t="s">
        <v>9</v>
      </c>
    </row>
    <row r="1126" spans="1:7" x14ac:dyDescent="0.45">
      <c r="A1126" t="s">
        <v>1221</v>
      </c>
      <c r="B1126" s="2" t="s">
        <v>146</v>
      </c>
      <c r="C1126" s="8" t="s">
        <v>12</v>
      </c>
      <c r="D1126" s="4">
        <f>1684/(60*60*24)</f>
        <v>1.9490740740740739E-2</v>
      </c>
      <c r="E1126" s="3">
        <f>5122/(60*60*24)</f>
        <v>5.9282407407407409E-2</v>
      </c>
      <c r="F1126" s="5">
        <f>18269/(60*60*24)</f>
        <v>0.21144675925925926</v>
      </c>
      <c r="G1126" s="7" t="s">
        <v>9</v>
      </c>
    </row>
    <row r="1127" spans="1:7" x14ac:dyDescent="0.45">
      <c r="A1127" t="s">
        <v>1222</v>
      </c>
      <c r="B1127" s="2" t="s">
        <v>148</v>
      </c>
      <c r="C1127" s="8" t="s">
        <v>12</v>
      </c>
      <c r="D1127" s="4">
        <f>1799/(60*60*24)</f>
        <v>2.0821759259259259E-2</v>
      </c>
      <c r="E1127" s="3">
        <f>4999/(60*60*24)</f>
        <v>5.7858796296296297E-2</v>
      </c>
      <c r="F1127" s="5">
        <f>18486/(60*60*24)</f>
        <v>0.21395833333333333</v>
      </c>
      <c r="G1127" s="7" t="s">
        <v>9</v>
      </c>
    </row>
    <row r="1128" spans="1:7" x14ac:dyDescent="0.45">
      <c r="A1128" t="s">
        <v>1223</v>
      </c>
      <c r="B1128" s="2" t="s">
        <v>150</v>
      </c>
      <c r="C1128" s="3">
        <f>4530/(60*60*24)</f>
        <v>5.2430555555555557E-2</v>
      </c>
      <c r="D1128" s="4">
        <f>1959/(60*60*24)</f>
        <v>2.267361111111111E-2</v>
      </c>
      <c r="E1128" s="5">
        <f>5279/(60*60*24)</f>
        <v>6.1099537037037036E-2</v>
      </c>
      <c r="F1128" s="6">
        <f>19192/(60*60*24)</f>
        <v>0.22212962962962962</v>
      </c>
      <c r="G1128" s="7" t="s">
        <v>9</v>
      </c>
    </row>
    <row r="1129" spans="1:7" x14ac:dyDescent="0.45">
      <c r="A1129" t="s">
        <v>1224</v>
      </c>
      <c r="B1129" s="2" t="s">
        <v>152</v>
      </c>
      <c r="C1129" s="5">
        <f>6376/(60*60*24)</f>
        <v>7.379629629629629E-2</v>
      </c>
      <c r="D1129" s="4">
        <f>1760/(60*60*24)</f>
        <v>2.0370370370370372E-2</v>
      </c>
      <c r="E1129" s="3">
        <f>5693/(60*60*24)</f>
        <v>6.5891203703703702E-2</v>
      </c>
      <c r="F1129" s="6">
        <f>21221/(60*60*24)</f>
        <v>0.24561342592592592</v>
      </c>
      <c r="G1129" s="7" t="s">
        <v>9</v>
      </c>
    </row>
    <row r="1130" spans="1:7" x14ac:dyDescent="0.45">
      <c r="A1130" t="s">
        <v>1225</v>
      </c>
      <c r="B1130" s="2" t="s">
        <v>154</v>
      </c>
      <c r="C1130" s="8" t="s">
        <v>12</v>
      </c>
      <c r="D1130" s="4">
        <f>1844/(60*60*24)</f>
        <v>2.1342592592592594E-2</v>
      </c>
      <c r="E1130" s="3">
        <f>5932/(60*60*24)</f>
        <v>6.8657407407407403E-2</v>
      </c>
      <c r="F1130" s="5">
        <f>21645/(60*60*24)</f>
        <v>0.25052083333333336</v>
      </c>
      <c r="G1130" s="7" t="s">
        <v>9</v>
      </c>
    </row>
    <row r="1131" spans="1:7" x14ac:dyDescent="0.45">
      <c r="A1131" t="s">
        <v>1226</v>
      </c>
      <c r="B1131" s="2" t="s">
        <v>156</v>
      </c>
      <c r="C1131" s="8" t="s">
        <v>12</v>
      </c>
      <c r="D1131" s="4">
        <f>1825/(60*60*24)</f>
        <v>2.1122685185185185E-2</v>
      </c>
      <c r="E1131" s="3">
        <f>6163/(60*60*24)</f>
        <v>7.1331018518518516E-2</v>
      </c>
      <c r="F1131" s="5">
        <f>22918/(60*60*24)</f>
        <v>0.26525462962962965</v>
      </c>
      <c r="G1131" s="7" t="s">
        <v>9</v>
      </c>
    </row>
    <row r="1132" spans="1:7" x14ac:dyDescent="0.45">
      <c r="A1132" t="s">
        <v>1227</v>
      </c>
      <c r="B1132" s="2" t="s">
        <v>160</v>
      </c>
      <c r="C1132" s="8" t="s">
        <v>12</v>
      </c>
      <c r="D1132" s="4">
        <f>1891/(60*60*24)</f>
        <v>2.1886574074074076E-2</v>
      </c>
      <c r="E1132" s="3">
        <f>6340/(60*60*24)</f>
        <v>7.3379629629629628E-2</v>
      </c>
      <c r="F1132" s="5">
        <f>23231/(60*60*24)</f>
        <v>0.26887731481481481</v>
      </c>
      <c r="G1132" s="7" t="s">
        <v>9</v>
      </c>
    </row>
    <row r="1133" spans="1:7" x14ac:dyDescent="0.45">
      <c r="A1133" t="s">
        <v>1228</v>
      </c>
      <c r="B1133" s="2" t="s">
        <v>158</v>
      </c>
      <c r="C1133" s="8" t="s">
        <v>12</v>
      </c>
      <c r="D1133" s="4">
        <f>1877/(60*60*24)</f>
        <v>2.1724537037037039E-2</v>
      </c>
      <c r="E1133" s="3">
        <f>6464/(60*60*24)</f>
        <v>7.481481481481482E-2</v>
      </c>
      <c r="F1133" s="5">
        <f>23846/(60*60*24)</f>
        <v>0.27599537037037036</v>
      </c>
      <c r="G1133" s="7" t="s">
        <v>9</v>
      </c>
    </row>
    <row r="1134" spans="1:7" x14ac:dyDescent="0.45">
      <c r="A1134" t="s">
        <v>1229</v>
      </c>
      <c r="B1134" s="2" t="s">
        <v>164</v>
      </c>
      <c r="C1134" s="5">
        <f>9441/(60*60*24)</f>
        <v>0.10927083333333333</v>
      </c>
      <c r="D1134" s="4">
        <f>1973/(60*60*24)</f>
        <v>2.2835648148148147E-2</v>
      </c>
      <c r="E1134" s="3">
        <f>6805/(60*60*24)</f>
        <v>7.8761574074074067E-2</v>
      </c>
      <c r="F1134" s="6">
        <f>24888/(60*60*24)</f>
        <v>0.28805555555555556</v>
      </c>
      <c r="G1134" s="7" t="s">
        <v>9</v>
      </c>
    </row>
    <row r="1135" spans="1:7" x14ac:dyDescent="0.45">
      <c r="A1135" t="s">
        <v>1230</v>
      </c>
      <c r="B1135" s="2" t="s">
        <v>162</v>
      </c>
      <c r="C1135" s="8" t="s">
        <v>12</v>
      </c>
      <c r="D1135" s="4">
        <f>1946/(60*60*24)</f>
        <v>2.252314814814815E-2</v>
      </c>
      <c r="E1135" s="3">
        <f>6653/(60*60*24)</f>
        <v>7.7002314814814815E-2</v>
      </c>
      <c r="F1135" s="5">
        <f>25146/(60*60*24)</f>
        <v>0.29104166666666664</v>
      </c>
      <c r="G1135" s="7" t="s">
        <v>9</v>
      </c>
    </row>
    <row r="1136" spans="1:7" x14ac:dyDescent="0.45">
      <c r="A1136" t="s">
        <v>1231</v>
      </c>
      <c r="B1136" s="2" t="s">
        <v>168</v>
      </c>
      <c r="C1136" s="5">
        <f>9664/(60*60*24)</f>
        <v>0.11185185185185186</v>
      </c>
      <c r="D1136" s="4">
        <f>2083/(60*60*24)</f>
        <v>2.4108796296296295E-2</v>
      </c>
      <c r="E1136" s="3">
        <f>7562/(60*60*24)</f>
        <v>8.7523148148148142E-2</v>
      </c>
      <c r="F1136" s="6">
        <f>25975/(60*60*24)</f>
        <v>0.30063657407407407</v>
      </c>
      <c r="G1136" s="7" t="s">
        <v>9</v>
      </c>
    </row>
    <row r="1137" spans="1:7" x14ac:dyDescent="0.45">
      <c r="A1137" t="s">
        <v>1232</v>
      </c>
      <c r="B1137" s="2" t="s">
        <v>166</v>
      </c>
      <c r="C1137" s="5">
        <f>9617/(60*60*24)</f>
        <v>0.11130787037037038</v>
      </c>
      <c r="D1137" s="4">
        <f>2076/(60*60*24)</f>
        <v>2.4027777777777776E-2</v>
      </c>
      <c r="E1137" s="3">
        <f>7876/(60*60*24)</f>
        <v>9.1157407407407409E-2</v>
      </c>
      <c r="F1137" s="6">
        <f>26922/(60*60*24)</f>
        <v>0.31159722222222225</v>
      </c>
      <c r="G1137" s="7" t="s">
        <v>9</v>
      </c>
    </row>
    <row r="1138" spans="1:7" x14ac:dyDescent="0.45">
      <c r="A1138" t="s">
        <v>1233</v>
      </c>
      <c r="B1138" s="2" t="s">
        <v>170</v>
      </c>
      <c r="C1138" s="8" t="s">
        <v>12</v>
      </c>
      <c r="D1138" s="4">
        <f>2384/(60*60*24)</f>
        <v>2.7592592592592592E-2</v>
      </c>
      <c r="E1138" s="3">
        <f>8136/(60*60*24)</f>
        <v>9.4166666666666662E-2</v>
      </c>
      <c r="F1138" s="5">
        <f>27577/(60*60*24)</f>
        <v>0.31917824074074075</v>
      </c>
      <c r="G1138" s="7" t="s">
        <v>9</v>
      </c>
    </row>
    <row r="1139" spans="1:7" x14ac:dyDescent="0.45">
      <c r="A1139" t="s">
        <v>1234</v>
      </c>
      <c r="B1139" s="2" t="s">
        <v>172</v>
      </c>
      <c r="C1139" s="8" t="s">
        <v>12</v>
      </c>
      <c r="D1139" s="4">
        <f>2284/(60*60*24)</f>
        <v>2.6435185185185187E-2</v>
      </c>
      <c r="E1139" s="3">
        <f>8180/(60*60*24)</f>
        <v>9.4675925925925927E-2</v>
      </c>
      <c r="F1139" s="5">
        <f>28849/(60*60*24)</f>
        <v>0.33390046296296294</v>
      </c>
      <c r="G1139" s="7" t="s">
        <v>9</v>
      </c>
    </row>
    <row r="1140" spans="1:7" x14ac:dyDescent="0.45">
      <c r="A1140" t="s">
        <v>1235</v>
      </c>
      <c r="B1140" s="2" t="s">
        <v>174</v>
      </c>
      <c r="C1140" s="3">
        <f>6335/(60*60*24)</f>
        <v>7.3321759259259253E-2</v>
      </c>
      <c r="D1140" s="4">
        <f>2391/(60*60*24)</f>
        <v>2.7673611111111111E-2</v>
      </c>
      <c r="E1140" s="5">
        <f>8501/(60*60*24)</f>
        <v>9.8391203703703703E-2</v>
      </c>
      <c r="F1140" s="6">
        <f>29741/(60*60*24)</f>
        <v>0.34422453703703704</v>
      </c>
      <c r="G1140" s="7" t="s">
        <v>9</v>
      </c>
    </row>
    <row r="1141" spans="1:7" x14ac:dyDescent="0.45">
      <c r="A1141" t="s">
        <v>1236</v>
      </c>
      <c r="B1141" s="2" t="s">
        <v>176</v>
      </c>
      <c r="C1141" s="8" t="s">
        <v>12</v>
      </c>
      <c r="D1141" s="4">
        <f>2417/(60*60*24)</f>
        <v>2.7974537037037037E-2</v>
      </c>
      <c r="E1141" s="3">
        <f>8408/(60*60*24)</f>
        <v>9.7314814814814812E-2</v>
      </c>
      <c r="F1141" s="5">
        <f>29371/(60*60*24)</f>
        <v>0.33994212962962961</v>
      </c>
      <c r="G1141" s="7" t="s">
        <v>9</v>
      </c>
    </row>
    <row r="1142" spans="1:7" x14ac:dyDescent="0.45">
      <c r="A1142" t="s">
        <v>1237</v>
      </c>
      <c r="B1142" s="2" t="s">
        <v>178</v>
      </c>
      <c r="C1142" s="5">
        <f>8574/(60*60*24)</f>
        <v>9.9236111111111108E-2</v>
      </c>
      <c r="D1142" s="4">
        <f>2563/(60*60*24)</f>
        <v>2.9664351851851851E-2</v>
      </c>
      <c r="E1142" s="3">
        <f>8549/(60*60*24)</f>
        <v>9.8946759259259262E-2</v>
      </c>
      <c r="F1142" s="6">
        <f>30375/(60*60*24)</f>
        <v>0.3515625</v>
      </c>
      <c r="G1142" s="7" t="s">
        <v>9</v>
      </c>
    </row>
    <row r="1143" spans="1:7" x14ac:dyDescent="0.45">
      <c r="A1143" t="s">
        <v>1238</v>
      </c>
      <c r="B1143" s="2" t="s">
        <v>180</v>
      </c>
      <c r="C1143" s="8" t="s">
        <v>12</v>
      </c>
      <c r="D1143" s="4">
        <f>2479/(60*60*24)</f>
        <v>2.869212962962963E-2</v>
      </c>
      <c r="E1143" s="3">
        <f>8502/(60*60*24)</f>
        <v>9.8402777777777783E-2</v>
      </c>
      <c r="F1143" s="5">
        <f>29702/(60*60*24)</f>
        <v>0.34377314814814813</v>
      </c>
      <c r="G1143" s="7" t="s">
        <v>9</v>
      </c>
    </row>
    <row r="1144" spans="1:7" x14ac:dyDescent="0.45">
      <c r="A1144" t="s">
        <v>1239</v>
      </c>
      <c r="B1144" s="2" t="s">
        <v>182</v>
      </c>
      <c r="C1144" s="3">
        <f>8239/(60*60*24)</f>
        <v>9.5358796296296303E-2</v>
      </c>
      <c r="D1144" s="4">
        <f>2514/(60*60*24)</f>
        <v>2.9097222222222222E-2</v>
      </c>
      <c r="E1144" s="5">
        <f>8653/(60*60*24)</f>
        <v>0.10015046296296297</v>
      </c>
      <c r="F1144" s="6">
        <f>30702/(60*60*24)</f>
        <v>0.3553472222222222</v>
      </c>
      <c r="G1144" s="7" t="s">
        <v>9</v>
      </c>
    </row>
    <row r="1145" spans="1:7" x14ac:dyDescent="0.45">
      <c r="A1145" t="s">
        <v>1240</v>
      </c>
      <c r="B1145" s="2" t="s">
        <v>184</v>
      </c>
      <c r="C1145" s="3">
        <f>8359/(60*60*24)</f>
        <v>9.6747685185185187E-2</v>
      </c>
      <c r="D1145" s="4">
        <f>2400/(60*60*24)</f>
        <v>2.7777777777777776E-2</v>
      </c>
      <c r="E1145" s="5">
        <f>8791/(60*60*24)</f>
        <v>0.10174768518518519</v>
      </c>
      <c r="F1145" s="6">
        <f>31304/(60*60*24)</f>
        <v>0.36231481481481481</v>
      </c>
      <c r="G1145" s="7" t="s">
        <v>9</v>
      </c>
    </row>
    <row r="1146" spans="1:7" x14ac:dyDescent="0.45">
      <c r="A1146" t="s">
        <v>1241</v>
      </c>
      <c r="B1146" s="2" t="s">
        <v>8</v>
      </c>
      <c r="C1146" s="3">
        <f>5708/(60*60*24)</f>
        <v>6.6064814814814812E-2</v>
      </c>
      <c r="D1146" s="4">
        <f>1789/(60*60*24)</f>
        <v>2.0706018518518519E-2</v>
      </c>
      <c r="E1146" s="5">
        <f>9339/(60*60*24)</f>
        <v>0.10809027777777777</v>
      </c>
      <c r="F1146" s="6">
        <f>31527/(60*60*24)</f>
        <v>0.36489583333333331</v>
      </c>
      <c r="G1146" s="7" t="s">
        <v>9</v>
      </c>
    </row>
    <row r="1147" spans="1:7" x14ac:dyDescent="0.45">
      <c r="A1147" t="s">
        <v>1242</v>
      </c>
      <c r="B1147" s="2" t="s">
        <v>11</v>
      </c>
      <c r="C1147" s="3">
        <f>5984/(60*60*24)</f>
        <v>6.9259259259259257E-2</v>
      </c>
      <c r="D1147" s="4">
        <f>1733/(60*60*24)</f>
        <v>2.0057870370370372E-2</v>
      </c>
      <c r="E1147" s="5">
        <f>9211/(60*60*24)</f>
        <v>0.1066087962962963</v>
      </c>
      <c r="F1147" s="6">
        <f>30871/(60*60*24)</f>
        <v>0.35730324074074077</v>
      </c>
      <c r="G1147" s="7" t="s">
        <v>9</v>
      </c>
    </row>
    <row r="1148" spans="1:7" x14ac:dyDescent="0.45">
      <c r="A1148" t="s">
        <v>1243</v>
      </c>
      <c r="B1148" s="2" t="s">
        <v>14</v>
      </c>
      <c r="C1148" s="3">
        <f>5876/(60*60*24)</f>
        <v>6.8009259259259255E-2</v>
      </c>
      <c r="D1148" s="4">
        <f>1828/(60*60*24)</f>
        <v>2.1157407407407406E-2</v>
      </c>
      <c r="E1148" s="5">
        <f>8896/(60*60*24)</f>
        <v>0.10296296296296296</v>
      </c>
      <c r="F1148" s="6">
        <f>30296/(60*60*24)</f>
        <v>0.35064814814814815</v>
      </c>
      <c r="G1148" s="7" t="s">
        <v>9</v>
      </c>
    </row>
    <row r="1149" spans="1:7" x14ac:dyDescent="0.45">
      <c r="A1149" t="s">
        <v>1244</v>
      </c>
      <c r="B1149" s="2" t="s">
        <v>16</v>
      </c>
      <c r="C1149" s="3">
        <f>5753/(60*60*24)</f>
        <v>6.6585648148148144E-2</v>
      </c>
      <c r="D1149" s="4">
        <f>1900/(60*60*24)</f>
        <v>2.1990740740740741E-2</v>
      </c>
      <c r="E1149" s="5">
        <f>8702/(60*60*24)</f>
        <v>0.10071759259259259</v>
      </c>
      <c r="F1149" s="6">
        <f>29611/(60*60*24)</f>
        <v>0.34271990740740743</v>
      </c>
      <c r="G1149" s="7" t="s">
        <v>9</v>
      </c>
    </row>
    <row r="1150" spans="1:7" x14ac:dyDescent="0.45">
      <c r="A1150" t="s">
        <v>1245</v>
      </c>
      <c r="B1150" s="2" t="s">
        <v>18</v>
      </c>
      <c r="C1150" s="3">
        <f>5666/(60*60*24)</f>
        <v>6.5578703703703708E-2</v>
      </c>
      <c r="D1150" s="4">
        <f>1803/(60*60*24)</f>
        <v>2.0868055555555556E-2</v>
      </c>
      <c r="E1150" s="5">
        <f>8644/(60*60*24)</f>
        <v>0.1000462962962963</v>
      </c>
      <c r="F1150" s="6">
        <f>29301/(60*60*24)</f>
        <v>0.33913194444444444</v>
      </c>
      <c r="G1150" s="7" t="s">
        <v>9</v>
      </c>
    </row>
    <row r="1151" spans="1:7" x14ac:dyDescent="0.45">
      <c r="A1151" t="s">
        <v>1246</v>
      </c>
      <c r="B1151" s="2" t="s">
        <v>20</v>
      </c>
      <c r="C1151" s="8" t="s">
        <v>12</v>
      </c>
      <c r="D1151" s="4">
        <f>2388/(60*60*24)</f>
        <v>2.763888888888889E-2</v>
      </c>
      <c r="E1151" s="3">
        <f>8915/(60*60*24)</f>
        <v>0.10318287037037037</v>
      </c>
      <c r="F1151" s="5">
        <f>29649/(60*60*24)</f>
        <v>0.34315972222222224</v>
      </c>
      <c r="G1151" s="7" t="s">
        <v>9</v>
      </c>
    </row>
    <row r="1152" spans="1:7" x14ac:dyDescent="0.45">
      <c r="A1152" t="s">
        <v>1247</v>
      </c>
      <c r="B1152" s="2" t="s">
        <v>22</v>
      </c>
      <c r="C1152" s="3">
        <f>5799/(60*60*24)</f>
        <v>6.7118055555555556E-2</v>
      </c>
      <c r="D1152" s="4">
        <f>2340/(60*60*24)</f>
        <v>2.7083333333333334E-2</v>
      </c>
      <c r="E1152" s="5">
        <f>8259/(60*60*24)</f>
        <v>9.5590277777777774E-2</v>
      </c>
      <c r="F1152" s="6">
        <f>27870/(60*60*24)</f>
        <v>0.32256944444444446</v>
      </c>
      <c r="G1152" s="7" t="s">
        <v>9</v>
      </c>
    </row>
    <row r="1153" spans="1:7" x14ac:dyDescent="0.45">
      <c r="A1153" t="s">
        <v>1248</v>
      </c>
      <c r="B1153" s="2" t="s">
        <v>24</v>
      </c>
      <c r="C1153" s="8" t="s">
        <v>12</v>
      </c>
      <c r="D1153" s="4">
        <f>2061/(60*60*24)</f>
        <v>2.3854166666666666E-2</v>
      </c>
      <c r="E1153" s="3">
        <f>8110/(60*60*24)</f>
        <v>9.3865740740740736E-2</v>
      </c>
      <c r="F1153" s="5">
        <f>26879/(60*60*24)</f>
        <v>0.31109953703703702</v>
      </c>
      <c r="G1153" s="7" t="s">
        <v>9</v>
      </c>
    </row>
    <row r="1154" spans="1:7" x14ac:dyDescent="0.45">
      <c r="A1154" t="s">
        <v>1249</v>
      </c>
      <c r="B1154" s="2" t="s">
        <v>26</v>
      </c>
      <c r="C1154" s="3">
        <f>5424/(60*60*24)</f>
        <v>6.277777777777778E-2</v>
      </c>
      <c r="D1154" s="4">
        <f>2043/(60*60*24)</f>
        <v>2.3645833333333335E-2</v>
      </c>
      <c r="E1154" s="5">
        <f>7769/(60*60*24)</f>
        <v>8.9918981481481475E-2</v>
      </c>
      <c r="F1154" s="6">
        <f>26347/(60*60*24)</f>
        <v>0.30494212962962963</v>
      </c>
      <c r="G1154" s="7" t="s">
        <v>9</v>
      </c>
    </row>
    <row r="1155" spans="1:7" x14ac:dyDescent="0.45">
      <c r="A1155" t="s">
        <v>1250</v>
      </c>
      <c r="B1155" s="2" t="s">
        <v>28</v>
      </c>
      <c r="C1155" s="8" t="s">
        <v>12</v>
      </c>
      <c r="D1155" s="4">
        <f>2059/(60*60*24)</f>
        <v>2.3831018518518519E-2</v>
      </c>
      <c r="E1155" s="3">
        <f>7767/(60*60*24)</f>
        <v>8.9895833333333328E-2</v>
      </c>
      <c r="F1155" s="5">
        <f>25992/(60*60*24)</f>
        <v>0.30083333333333334</v>
      </c>
      <c r="G1155" s="7" t="s">
        <v>9</v>
      </c>
    </row>
    <row r="1156" spans="1:7" x14ac:dyDescent="0.45">
      <c r="A1156" t="s">
        <v>1251</v>
      </c>
      <c r="B1156" s="2" t="s">
        <v>30</v>
      </c>
      <c r="C1156" s="3">
        <f>6204/(60*60*24)</f>
        <v>7.1805555555555553E-2</v>
      </c>
      <c r="D1156" s="4">
        <f>1981/(60*60*24)</f>
        <v>2.2928240740740742E-2</v>
      </c>
      <c r="E1156" s="5">
        <f>7549/(60*60*24)</f>
        <v>8.7372685185185192E-2</v>
      </c>
      <c r="F1156" s="6">
        <f>25382/(60*60*24)</f>
        <v>0.29377314814814814</v>
      </c>
      <c r="G1156" s="7" t="s">
        <v>9</v>
      </c>
    </row>
    <row r="1157" spans="1:7" x14ac:dyDescent="0.45">
      <c r="A1157" t="s">
        <v>1252</v>
      </c>
      <c r="B1157" s="2" t="s">
        <v>32</v>
      </c>
      <c r="C1157" s="3">
        <f>4901/(60*60*24)</f>
        <v>5.6724537037037039E-2</v>
      </c>
      <c r="D1157" s="4">
        <f>1896/(60*60*24)</f>
        <v>2.1944444444444444E-2</v>
      </c>
      <c r="E1157" s="5">
        <f>7292/(60*60*24)</f>
        <v>8.4398148148148153E-2</v>
      </c>
      <c r="F1157" s="6">
        <f>24613/(60*60*24)</f>
        <v>0.28487268518518516</v>
      </c>
      <c r="G1157" s="7" t="s">
        <v>9</v>
      </c>
    </row>
    <row r="1158" spans="1:7" x14ac:dyDescent="0.45">
      <c r="A1158" t="s">
        <v>1253</v>
      </c>
      <c r="B1158" s="2" t="s">
        <v>36</v>
      </c>
      <c r="C1158" s="3">
        <f>4379/(60*60*24)</f>
        <v>5.0682870370370371E-2</v>
      </c>
      <c r="D1158" s="4">
        <f>1781/(60*60*24)</f>
        <v>2.0613425925925927E-2</v>
      </c>
      <c r="E1158" s="5">
        <f>7118/(60*60*24)</f>
        <v>8.2384259259259254E-2</v>
      </c>
      <c r="F1158" s="6">
        <f>23978/(60*60*24)</f>
        <v>0.27752314814814816</v>
      </c>
      <c r="G1158" s="7" t="s">
        <v>9</v>
      </c>
    </row>
    <row r="1159" spans="1:7" x14ac:dyDescent="0.45">
      <c r="A1159" t="s">
        <v>1254</v>
      </c>
      <c r="B1159" s="2" t="s">
        <v>34</v>
      </c>
      <c r="C1159" s="3">
        <f>4133/(60*60*24)</f>
        <v>4.7835648148148148E-2</v>
      </c>
      <c r="D1159" s="4">
        <f>1575/(60*60*24)</f>
        <v>1.8229166666666668E-2</v>
      </c>
      <c r="E1159" s="5">
        <f>6865/(60*60*24)</f>
        <v>7.9456018518518523E-2</v>
      </c>
      <c r="F1159" s="6">
        <f>23140/(60*60*24)</f>
        <v>0.26782407407407405</v>
      </c>
      <c r="G1159" s="7" t="s">
        <v>9</v>
      </c>
    </row>
    <row r="1160" spans="1:7" x14ac:dyDescent="0.45">
      <c r="A1160" t="s">
        <v>1255</v>
      </c>
      <c r="B1160" s="2" t="s">
        <v>38</v>
      </c>
      <c r="C1160" s="3">
        <f>4596/(60*60*24)</f>
        <v>5.3194444444444447E-2</v>
      </c>
      <c r="D1160" s="4">
        <f>1637/(60*60*24)</f>
        <v>1.894675925925926E-2</v>
      </c>
      <c r="E1160" s="5">
        <f>6724/(60*60*24)</f>
        <v>7.7824074074074073E-2</v>
      </c>
      <c r="F1160" s="6">
        <f>22629/(60*60*24)</f>
        <v>0.2619097222222222</v>
      </c>
      <c r="G1160" s="7" t="s">
        <v>9</v>
      </c>
    </row>
    <row r="1161" spans="1:7" x14ac:dyDescent="0.45">
      <c r="A1161" t="s">
        <v>1256</v>
      </c>
      <c r="B1161" s="2" t="s">
        <v>40</v>
      </c>
      <c r="C1161" s="3">
        <f>4309/(60*60*24)</f>
        <v>4.9872685185185187E-2</v>
      </c>
      <c r="D1161" s="4">
        <f>1505/(60*60*24)</f>
        <v>1.7418981481481483E-2</v>
      </c>
      <c r="E1161" s="5">
        <f>6553/(60*60*24)</f>
        <v>7.5844907407407403E-2</v>
      </c>
      <c r="F1161" s="6">
        <f>22356/(60*60*24)</f>
        <v>0.25874999999999998</v>
      </c>
      <c r="G1161" s="7" t="s">
        <v>9</v>
      </c>
    </row>
    <row r="1162" spans="1:7" x14ac:dyDescent="0.45">
      <c r="A1162" t="s">
        <v>1257</v>
      </c>
      <c r="B1162" s="2" t="s">
        <v>44</v>
      </c>
      <c r="C1162" s="3">
        <f>5081/(60*60*24)</f>
        <v>5.8807870370370371E-2</v>
      </c>
      <c r="D1162" s="4">
        <f>1605/(60*60*24)</f>
        <v>1.8576388888888889E-2</v>
      </c>
      <c r="E1162" s="5">
        <f>6460/(60*60*24)</f>
        <v>7.4768518518518512E-2</v>
      </c>
      <c r="F1162" s="6">
        <f>21953/(60*60*24)</f>
        <v>0.25408564814814816</v>
      </c>
      <c r="G1162" s="7" t="s">
        <v>9</v>
      </c>
    </row>
    <row r="1163" spans="1:7" x14ac:dyDescent="0.45">
      <c r="A1163" t="s">
        <v>1258</v>
      </c>
      <c r="B1163" s="2" t="s">
        <v>42</v>
      </c>
      <c r="C1163" s="3">
        <f>4913/(60*60*24)</f>
        <v>5.6863425925925928E-2</v>
      </c>
      <c r="D1163" s="4">
        <f>1550/(60*60*24)</f>
        <v>1.7939814814814815E-2</v>
      </c>
      <c r="E1163" s="5">
        <f>6089/(60*60*24)</f>
        <v>7.0474537037037044E-2</v>
      </c>
      <c r="F1163" s="6">
        <f>20664/(60*60*24)</f>
        <v>0.23916666666666667</v>
      </c>
      <c r="G1163" s="7" t="s">
        <v>9</v>
      </c>
    </row>
    <row r="1164" spans="1:7" x14ac:dyDescent="0.45">
      <c r="A1164" t="s">
        <v>1259</v>
      </c>
      <c r="B1164" s="2" t="s">
        <v>46</v>
      </c>
      <c r="C1164" s="3">
        <f>4448/(60*60*24)</f>
        <v>5.1481481481481482E-2</v>
      </c>
      <c r="D1164" s="4">
        <f>1631/(60*60*24)</f>
        <v>1.8877314814814816E-2</v>
      </c>
      <c r="E1164" s="5">
        <f>5936/(60*60*24)</f>
        <v>6.8703703703703697E-2</v>
      </c>
      <c r="F1164" s="6">
        <f>19799/(60*60*24)</f>
        <v>0.22915509259259259</v>
      </c>
      <c r="G1164" s="7" t="s">
        <v>9</v>
      </c>
    </row>
    <row r="1165" spans="1:7" x14ac:dyDescent="0.45">
      <c r="A1165" t="s">
        <v>1260</v>
      </c>
      <c r="B1165" s="2" t="s">
        <v>48</v>
      </c>
      <c r="C1165" s="3">
        <f>4475/(60*60*24)</f>
        <v>5.1793981481481483E-2</v>
      </c>
      <c r="D1165" s="4">
        <f>1542/(60*60*24)</f>
        <v>1.7847222222222223E-2</v>
      </c>
      <c r="E1165" s="5">
        <f>5780/(60*60*24)</f>
        <v>6.6898148148148151E-2</v>
      </c>
      <c r="F1165" s="6">
        <f>19119/(60*60*24)</f>
        <v>0.22128472222222223</v>
      </c>
      <c r="G1165" s="7" t="s">
        <v>9</v>
      </c>
    </row>
    <row r="1166" spans="1:7" x14ac:dyDescent="0.45">
      <c r="A1166" t="s">
        <v>1261</v>
      </c>
      <c r="B1166" s="2" t="s">
        <v>50</v>
      </c>
      <c r="C1166" s="3">
        <f>3834/(60*60*24)</f>
        <v>4.4374999999999998E-2</v>
      </c>
      <c r="D1166" s="4">
        <f>1510/(60*60*24)</f>
        <v>1.7476851851851851E-2</v>
      </c>
      <c r="E1166" s="5">
        <f>5591/(60*60*24)</f>
        <v>6.4710648148148142E-2</v>
      </c>
      <c r="F1166" s="6">
        <f>18385/(60*60*24)</f>
        <v>0.21278935185185185</v>
      </c>
      <c r="G1166" s="7" t="s">
        <v>9</v>
      </c>
    </row>
    <row r="1167" spans="1:7" x14ac:dyDescent="0.45">
      <c r="A1167" t="s">
        <v>1262</v>
      </c>
      <c r="B1167" s="2" t="s">
        <v>52</v>
      </c>
      <c r="C1167" s="3">
        <f>4113/(60*60*24)</f>
        <v>4.760416666666667E-2</v>
      </c>
      <c r="D1167" s="4">
        <f>1674/(60*60*24)</f>
        <v>1.9375E-2</v>
      </c>
      <c r="E1167" s="5">
        <f>5369/(60*60*24)</f>
        <v>6.2141203703703705E-2</v>
      </c>
      <c r="F1167" s="6">
        <f>17658/(60*60*24)</f>
        <v>0.204375</v>
      </c>
      <c r="G1167" s="7" t="s">
        <v>9</v>
      </c>
    </row>
    <row r="1168" spans="1:7" x14ac:dyDescent="0.45">
      <c r="A1168" t="s">
        <v>1263</v>
      </c>
      <c r="B1168" s="2" t="s">
        <v>54</v>
      </c>
      <c r="C1168" s="3">
        <f>4247/(60*60*24)</f>
        <v>4.9155092592592591E-2</v>
      </c>
      <c r="D1168" s="4">
        <f>1535/(60*60*24)</f>
        <v>1.7766203703703704E-2</v>
      </c>
      <c r="E1168" s="5">
        <f>5185/(60*60*24)</f>
        <v>6.0011574074074071E-2</v>
      </c>
      <c r="F1168" s="6">
        <f>16949/(60*60*24)</f>
        <v>0.19616898148148149</v>
      </c>
      <c r="G1168" s="7" t="s">
        <v>9</v>
      </c>
    </row>
    <row r="1169" spans="1:7" x14ac:dyDescent="0.45">
      <c r="A1169" t="s">
        <v>1264</v>
      </c>
      <c r="B1169" s="2" t="s">
        <v>56</v>
      </c>
      <c r="C1169" s="3">
        <f>4184/(60*60*24)</f>
        <v>4.8425925925925928E-2</v>
      </c>
      <c r="D1169" s="4">
        <f>1352/(60*60*24)</f>
        <v>1.5648148148148147E-2</v>
      </c>
      <c r="E1169" s="5">
        <f>4977/(60*60*24)</f>
        <v>5.7604166666666665E-2</v>
      </c>
      <c r="F1169" s="6">
        <f>16335/(60*60*24)</f>
        <v>0.18906249999999999</v>
      </c>
      <c r="G1169" s="7" t="s">
        <v>9</v>
      </c>
    </row>
    <row r="1170" spans="1:7" x14ac:dyDescent="0.45">
      <c r="A1170" t="s">
        <v>1265</v>
      </c>
      <c r="B1170" s="2" t="s">
        <v>58</v>
      </c>
      <c r="C1170" s="3">
        <f>3976/(60*60*24)</f>
        <v>4.6018518518518521E-2</v>
      </c>
      <c r="D1170" s="4">
        <f>1413/(60*60*24)</f>
        <v>1.6354166666666666E-2</v>
      </c>
      <c r="E1170" s="5">
        <f>4513/(60*60*24)</f>
        <v>5.2233796296296299E-2</v>
      </c>
      <c r="F1170" s="6">
        <f>15395/(60*60*24)</f>
        <v>0.17818287037037037</v>
      </c>
      <c r="G1170" s="7" t="s">
        <v>9</v>
      </c>
    </row>
    <row r="1171" spans="1:7" x14ac:dyDescent="0.45">
      <c r="A1171" t="s">
        <v>1266</v>
      </c>
      <c r="B1171" s="2" t="s">
        <v>60</v>
      </c>
      <c r="C1171" s="3">
        <f>3810/(60*60*24)</f>
        <v>4.4097222222222225E-2</v>
      </c>
      <c r="D1171" s="4">
        <f>1393/(60*60*24)</f>
        <v>1.6122685185185184E-2</v>
      </c>
      <c r="E1171" s="5">
        <f>4285/(60*60*24)</f>
        <v>4.9594907407407407E-2</v>
      </c>
      <c r="F1171" s="6">
        <f>14761/(60*60*24)</f>
        <v>0.1708449074074074</v>
      </c>
      <c r="G1171" s="7" t="s">
        <v>9</v>
      </c>
    </row>
    <row r="1172" spans="1:7" x14ac:dyDescent="0.45">
      <c r="A1172" t="s">
        <v>1267</v>
      </c>
      <c r="B1172" s="2" t="s">
        <v>62</v>
      </c>
      <c r="C1172" s="3">
        <f>3687/(60*60*24)</f>
        <v>4.2673611111111114E-2</v>
      </c>
      <c r="D1172" s="4">
        <f>1422/(60*60*24)</f>
        <v>1.6458333333333332E-2</v>
      </c>
      <c r="E1172" s="5">
        <f>4153/(60*60*24)</f>
        <v>4.8067129629629626E-2</v>
      </c>
      <c r="F1172" s="6">
        <f>14122/(60*60*24)</f>
        <v>0.16344907407407408</v>
      </c>
      <c r="G1172" s="7" t="s">
        <v>9</v>
      </c>
    </row>
    <row r="1173" spans="1:7" x14ac:dyDescent="0.45">
      <c r="A1173" t="s">
        <v>1268</v>
      </c>
      <c r="B1173" s="2" t="s">
        <v>64</v>
      </c>
      <c r="C1173" s="3">
        <f>3721/(60*60*24)</f>
        <v>4.3067129629629629E-2</v>
      </c>
      <c r="D1173" s="4">
        <f>1322/(60*60*24)</f>
        <v>1.5300925925925926E-2</v>
      </c>
      <c r="E1173" s="5">
        <f>3856/(60*60*24)</f>
        <v>4.462962962962963E-2</v>
      </c>
      <c r="F1173" s="6">
        <f>13438/(60*60*24)</f>
        <v>0.1555324074074074</v>
      </c>
      <c r="G1173" s="7" t="s">
        <v>9</v>
      </c>
    </row>
    <row r="1174" spans="1:7" x14ac:dyDescent="0.45">
      <c r="A1174" t="s">
        <v>1269</v>
      </c>
      <c r="B1174" s="2" t="s">
        <v>66</v>
      </c>
      <c r="C1174" s="5">
        <f>3891/(60*60*24)</f>
        <v>4.5034722222222219E-2</v>
      </c>
      <c r="D1174" s="4">
        <f>1232/(60*60*24)</f>
        <v>1.425925925925926E-2</v>
      </c>
      <c r="E1174" s="3">
        <f>3736/(60*60*24)</f>
        <v>4.3240740740740739E-2</v>
      </c>
      <c r="F1174" s="6">
        <f>12869/(60*60*24)</f>
        <v>0.14894675925925926</v>
      </c>
      <c r="G1174" s="7" t="s">
        <v>9</v>
      </c>
    </row>
    <row r="1175" spans="1:7" x14ac:dyDescent="0.45">
      <c r="A1175" t="s">
        <v>1270</v>
      </c>
      <c r="B1175" s="2" t="s">
        <v>68</v>
      </c>
      <c r="C1175" s="5">
        <f>3649/(60*60*24)</f>
        <v>4.2233796296296297E-2</v>
      </c>
      <c r="D1175" s="4">
        <f>1176/(60*60*24)</f>
        <v>1.361111111111111E-2</v>
      </c>
      <c r="E1175" s="3">
        <f>3545/(60*60*24)</f>
        <v>4.103009259259259E-2</v>
      </c>
      <c r="F1175" s="6">
        <f>12329/(60*60*24)</f>
        <v>0.14269675925925926</v>
      </c>
      <c r="G1175" s="7" t="s">
        <v>9</v>
      </c>
    </row>
    <row r="1176" spans="1:7" x14ac:dyDescent="0.45">
      <c r="A1176" t="s">
        <v>1271</v>
      </c>
      <c r="B1176" s="2" t="s">
        <v>70</v>
      </c>
      <c r="C1176" s="5">
        <f>3703/(60*60*24)</f>
        <v>4.2858796296296298E-2</v>
      </c>
      <c r="D1176" s="4">
        <f>1126/(60*60*24)</f>
        <v>1.3032407407407407E-2</v>
      </c>
      <c r="E1176" s="3">
        <f>3383/(60*60*24)</f>
        <v>3.9155092592592596E-2</v>
      </c>
      <c r="F1176" s="6">
        <f>11747/(60*60*24)</f>
        <v>0.13596064814814815</v>
      </c>
      <c r="G1176" s="7" t="s">
        <v>9</v>
      </c>
    </row>
    <row r="1177" spans="1:7" x14ac:dyDescent="0.45">
      <c r="A1177" t="s">
        <v>1272</v>
      </c>
      <c r="B1177" s="2" t="s">
        <v>72</v>
      </c>
      <c r="C1177" s="5">
        <f>3783/(60*60*24)</f>
        <v>4.3784722222222225E-2</v>
      </c>
      <c r="D1177" s="4">
        <f>1212/(60*60*24)</f>
        <v>1.4027777777777778E-2</v>
      </c>
      <c r="E1177" s="3">
        <f>3243/(60*60*24)</f>
        <v>3.7534722222222219E-2</v>
      </c>
      <c r="F1177" s="6">
        <f>11070/(60*60*24)</f>
        <v>0.12812499999999999</v>
      </c>
      <c r="G1177" s="7" t="s">
        <v>9</v>
      </c>
    </row>
    <row r="1178" spans="1:7" x14ac:dyDescent="0.45">
      <c r="A1178" t="s">
        <v>1273</v>
      </c>
      <c r="B1178" s="2" t="s">
        <v>74</v>
      </c>
      <c r="C1178" s="5">
        <f>3776/(60*60*24)</f>
        <v>4.3703703703703703E-2</v>
      </c>
      <c r="D1178" s="4">
        <f>917/(60*60*24)</f>
        <v>1.0613425925925925E-2</v>
      </c>
      <c r="E1178" s="3">
        <f>3000/(60*60*24)</f>
        <v>3.4722222222222224E-2</v>
      </c>
      <c r="F1178" s="6">
        <f>10383/(60*60*24)</f>
        <v>0.12017361111111111</v>
      </c>
      <c r="G1178" s="7" t="s">
        <v>9</v>
      </c>
    </row>
    <row r="1179" spans="1:7" x14ac:dyDescent="0.45">
      <c r="A1179" t="s">
        <v>1274</v>
      </c>
      <c r="B1179" s="2" t="s">
        <v>76</v>
      </c>
      <c r="C1179" s="5">
        <f>3785/(60*60*24)</f>
        <v>4.3807870370370372E-2</v>
      </c>
      <c r="D1179" s="4">
        <f>1070/(60*60*24)</f>
        <v>1.238425925925926E-2</v>
      </c>
      <c r="E1179" s="3">
        <f>2854/(60*60*24)</f>
        <v>3.3032407407407406E-2</v>
      </c>
      <c r="F1179" s="6">
        <f>9703/(60*60*24)</f>
        <v>0.11230324074074075</v>
      </c>
      <c r="G1179" s="7" t="s">
        <v>9</v>
      </c>
    </row>
    <row r="1180" spans="1:7" x14ac:dyDescent="0.45">
      <c r="A1180" t="s">
        <v>1275</v>
      </c>
      <c r="B1180" s="2" t="s">
        <v>78</v>
      </c>
      <c r="C1180" s="5">
        <f>3732/(60*60*24)</f>
        <v>4.3194444444444445E-2</v>
      </c>
      <c r="D1180" s="4">
        <f>1059/(60*60*24)</f>
        <v>1.2256944444444445E-2</v>
      </c>
      <c r="E1180" s="3">
        <f>2632/(60*60*24)</f>
        <v>3.0462962962962963E-2</v>
      </c>
      <c r="F1180" s="6">
        <f>9148/(60*60*24)</f>
        <v>0.10587962962962963</v>
      </c>
      <c r="G1180" s="7" t="s">
        <v>9</v>
      </c>
    </row>
    <row r="1181" spans="1:7" x14ac:dyDescent="0.45">
      <c r="A1181" t="s">
        <v>1276</v>
      </c>
      <c r="B1181" s="2" t="s">
        <v>80</v>
      </c>
      <c r="C1181" s="5">
        <f>3298/(60*60*24)</f>
        <v>3.8171296296296293E-2</v>
      </c>
      <c r="D1181" s="4">
        <f>1102/(60*60*24)</f>
        <v>1.275462962962963E-2</v>
      </c>
      <c r="E1181" s="3">
        <f>2350/(60*60*24)</f>
        <v>2.7199074074074073E-2</v>
      </c>
      <c r="F1181" s="6">
        <f>8177/(60*60*24)</f>
        <v>9.46412037037037E-2</v>
      </c>
      <c r="G1181" s="7" t="s">
        <v>9</v>
      </c>
    </row>
    <row r="1182" spans="1:7" x14ac:dyDescent="0.45">
      <c r="A1182" t="s">
        <v>1277</v>
      </c>
      <c r="B1182" s="2" t="s">
        <v>84</v>
      </c>
      <c r="C1182" s="5">
        <f>2794/(60*60*24)</f>
        <v>3.2337962962962964E-2</v>
      </c>
      <c r="D1182" s="4">
        <f>994/(60*60*24)</f>
        <v>1.150462962962963E-2</v>
      </c>
      <c r="E1182" s="3">
        <f>2193/(60*60*24)</f>
        <v>2.5381944444444443E-2</v>
      </c>
      <c r="F1182" s="6">
        <f>7568/(60*60*24)</f>
        <v>8.7592592592592597E-2</v>
      </c>
      <c r="G1182" s="7" t="s">
        <v>9</v>
      </c>
    </row>
    <row r="1183" spans="1:7" x14ac:dyDescent="0.45">
      <c r="A1183" t="s">
        <v>1278</v>
      </c>
      <c r="B1183" s="2" t="s">
        <v>82</v>
      </c>
      <c r="C1183" s="5">
        <f>3095/(60*60*24)</f>
        <v>3.5821759259259262E-2</v>
      </c>
      <c r="D1183" s="4">
        <f>803/(60*60*24)</f>
        <v>9.2939814814814812E-3</v>
      </c>
      <c r="E1183" s="3">
        <f>1995/(60*60*24)</f>
        <v>2.3090277777777779E-2</v>
      </c>
      <c r="F1183" s="6">
        <f>6890/(60*60*24)</f>
        <v>7.9745370370370369E-2</v>
      </c>
      <c r="G1183" s="7" t="s">
        <v>9</v>
      </c>
    </row>
    <row r="1184" spans="1:7" x14ac:dyDescent="0.45">
      <c r="A1184" t="s">
        <v>1279</v>
      </c>
      <c r="B1184" s="2" t="s">
        <v>88</v>
      </c>
      <c r="C1184" s="8" t="s">
        <v>12</v>
      </c>
      <c r="D1184" s="4">
        <f>784/(60*60*24)</f>
        <v>9.0740740740740747E-3</v>
      </c>
      <c r="E1184" s="3">
        <f>1834/(60*60*24)</f>
        <v>2.1226851851851851E-2</v>
      </c>
      <c r="F1184" s="5">
        <f>6281/(60*60*24)</f>
        <v>7.2696759259259253E-2</v>
      </c>
      <c r="G1184" s="7" t="s">
        <v>9</v>
      </c>
    </row>
    <row r="1185" spans="1:7" x14ac:dyDescent="0.45">
      <c r="A1185" t="s">
        <v>1280</v>
      </c>
      <c r="B1185" s="2" t="s">
        <v>86</v>
      </c>
      <c r="C1185" s="8" t="s">
        <v>12</v>
      </c>
      <c r="D1185" s="4">
        <f>625/(60*60*24)</f>
        <v>7.2337962962962963E-3</v>
      </c>
      <c r="E1185" s="3">
        <f>1651/(60*60*24)</f>
        <v>1.9108796296296297E-2</v>
      </c>
      <c r="F1185" s="5">
        <f>5673/(60*60*24)</f>
        <v>6.5659722222222217E-2</v>
      </c>
      <c r="G1185" s="7" t="s">
        <v>9</v>
      </c>
    </row>
    <row r="1186" spans="1:7" x14ac:dyDescent="0.45">
      <c r="A1186" t="s">
        <v>1281</v>
      </c>
      <c r="B1186" s="2" t="s">
        <v>92</v>
      </c>
      <c r="C1186" s="5">
        <f>1823/(60*60*24)</f>
        <v>2.1099537037037038E-2</v>
      </c>
      <c r="D1186" s="4">
        <f>629/(60*60*24)</f>
        <v>7.2800925925925923E-3</v>
      </c>
      <c r="E1186" s="3">
        <f>1133/(60*60*24)</f>
        <v>1.3113425925925926E-2</v>
      </c>
      <c r="F1186" s="6">
        <f>3941/(60*60*24)</f>
        <v>4.5613425925925925E-2</v>
      </c>
      <c r="G1186" s="7" t="s">
        <v>9</v>
      </c>
    </row>
    <row r="1187" spans="1:7" x14ac:dyDescent="0.45">
      <c r="A1187" t="s">
        <v>1282</v>
      </c>
      <c r="B1187" s="2" t="s">
        <v>90</v>
      </c>
      <c r="C1187" s="8" t="s">
        <v>12</v>
      </c>
      <c r="D1187" s="3">
        <f>1590/(60*60*24)</f>
        <v>1.8402777777777778E-2</v>
      </c>
      <c r="E1187" s="4">
        <f>1441/(60*60*24)</f>
        <v>1.667824074074074E-2</v>
      </c>
      <c r="F1187" s="5">
        <f>4725/(60*60*24)</f>
        <v>5.46875E-2</v>
      </c>
      <c r="G1187" s="7" t="s">
        <v>9</v>
      </c>
    </row>
    <row r="1188" spans="1:7" x14ac:dyDescent="0.45">
      <c r="A1188" t="s">
        <v>1283</v>
      </c>
      <c r="B1188" s="2" t="s">
        <v>94</v>
      </c>
      <c r="C1188" s="8" t="s">
        <v>12</v>
      </c>
      <c r="D1188" s="4">
        <f>1040/(60*60*24)</f>
        <v>1.2037037037037037E-2</v>
      </c>
      <c r="E1188" s="3">
        <f>1041/(60*60*24)</f>
        <v>1.2048611111111111E-2</v>
      </c>
      <c r="F1188" s="5">
        <f>3208/(60*60*24)</f>
        <v>3.712962962962963E-2</v>
      </c>
      <c r="G1188" s="7" t="s">
        <v>9</v>
      </c>
    </row>
    <row r="1189" spans="1:7" x14ac:dyDescent="0.45">
      <c r="A1189" t="s">
        <v>1284</v>
      </c>
      <c r="B1189" s="2" t="s">
        <v>96</v>
      </c>
      <c r="C1189" s="8" t="s">
        <v>12</v>
      </c>
      <c r="D1189" s="4">
        <f>546/(60*60*24)</f>
        <v>6.3194444444444444E-3</v>
      </c>
      <c r="E1189" s="3">
        <f>825/(60*60*24)</f>
        <v>9.5486111111111119E-3</v>
      </c>
      <c r="F1189" s="5">
        <f>2565/(60*60*24)</f>
        <v>2.9687499999999999E-2</v>
      </c>
      <c r="G1189" s="7" t="s">
        <v>9</v>
      </c>
    </row>
    <row r="1190" spans="1:7" x14ac:dyDescent="0.45">
      <c r="A1190" t="s">
        <v>1285</v>
      </c>
      <c r="B1190" s="2" t="s">
        <v>100</v>
      </c>
      <c r="C1190" s="5">
        <f>1625/(60*60*24)</f>
        <v>1.8807870370370371E-2</v>
      </c>
      <c r="D1190" s="4">
        <f>360/(60*60*24)</f>
        <v>4.1666666666666666E-3</v>
      </c>
      <c r="E1190" s="3">
        <f>536/(60*60*24)</f>
        <v>6.2037037037037035E-3</v>
      </c>
      <c r="F1190" s="6">
        <f>1847/(60*60*24)</f>
        <v>2.1377314814814814E-2</v>
      </c>
      <c r="G1190" s="7" t="s">
        <v>9</v>
      </c>
    </row>
    <row r="1191" spans="1:7" x14ac:dyDescent="0.45">
      <c r="A1191" t="s">
        <v>1286</v>
      </c>
      <c r="B1191" s="2" t="s">
        <v>98</v>
      </c>
      <c r="C1191" s="8" t="s">
        <v>12</v>
      </c>
      <c r="D1191" s="4">
        <f>560/(60*60*24)</f>
        <v>6.4814814814814813E-3</v>
      </c>
      <c r="E1191" s="3">
        <f>714/(60*60*24)</f>
        <v>8.2638888888888883E-3</v>
      </c>
      <c r="F1191" s="5">
        <f>1978/(60*60*24)</f>
        <v>2.2893518518518518E-2</v>
      </c>
      <c r="G1191" s="7" t="s">
        <v>9</v>
      </c>
    </row>
    <row r="1192" spans="1:7" x14ac:dyDescent="0.45">
      <c r="A1192" t="s">
        <v>1287</v>
      </c>
      <c r="B1192" s="2" t="s">
        <v>104</v>
      </c>
      <c r="C1192" s="5">
        <f>1138/(60*60*24)</f>
        <v>1.3171296296296296E-2</v>
      </c>
      <c r="D1192" s="4">
        <f>395/(60*60*24)</f>
        <v>4.5717592592592589E-3</v>
      </c>
      <c r="E1192" s="3">
        <f>570/(60*60*24)</f>
        <v>6.5972222222222222E-3</v>
      </c>
      <c r="F1192" s="6">
        <f>1956/(60*60*24)</f>
        <v>2.2638888888888889E-2</v>
      </c>
      <c r="G1192" s="7" t="s">
        <v>9</v>
      </c>
    </row>
    <row r="1193" spans="1:7" x14ac:dyDescent="0.45">
      <c r="A1193" t="s">
        <v>1288</v>
      </c>
      <c r="B1193" s="2" t="s">
        <v>102</v>
      </c>
      <c r="C1193" s="3">
        <f>746/(60*60*24)</f>
        <v>8.6342592592592599E-3</v>
      </c>
      <c r="D1193" s="4">
        <f>484/(60*60*24)</f>
        <v>5.6018518518518518E-3</v>
      </c>
      <c r="E1193" s="5">
        <f>760/(60*60*24)</f>
        <v>8.7962962962962968E-3</v>
      </c>
      <c r="F1193" s="6">
        <f>2512/(60*60*24)</f>
        <v>2.9074074074074075E-2</v>
      </c>
      <c r="G1193" s="7" t="s">
        <v>9</v>
      </c>
    </row>
    <row r="1194" spans="1:7" x14ac:dyDescent="0.45">
      <c r="A1194" t="s">
        <v>1289</v>
      </c>
      <c r="B1194" s="2" t="s">
        <v>108</v>
      </c>
      <c r="C1194" s="5">
        <f>1971/(60*60*24)</f>
        <v>2.2812499999999999E-2</v>
      </c>
      <c r="D1194" s="4">
        <f>678/(60*60*24)</f>
        <v>7.8472222222222224E-3</v>
      </c>
      <c r="E1194" s="3">
        <f>1245/(60*60*24)</f>
        <v>1.4409722222222223E-2</v>
      </c>
      <c r="F1194" s="6">
        <f>3478/(60*60*24)</f>
        <v>4.0254629629629626E-2</v>
      </c>
      <c r="G1194" s="7" t="s">
        <v>9</v>
      </c>
    </row>
    <row r="1195" spans="1:7" x14ac:dyDescent="0.45">
      <c r="A1195" t="s">
        <v>1290</v>
      </c>
      <c r="B1195" s="2" t="s">
        <v>106</v>
      </c>
      <c r="C1195" s="8" t="s">
        <v>12</v>
      </c>
      <c r="D1195" s="4">
        <f>573/(60*60*24)</f>
        <v>6.6319444444444446E-3</v>
      </c>
      <c r="E1195" s="3">
        <f>983/(60*60*24)</f>
        <v>1.1377314814814814E-2</v>
      </c>
      <c r="F1195" s="5">
        <f>3026/(60*60*24)</f>
        <v>3.502314814814815E-2</v>
      </c>
      <c r="G1195" s="7" t="s">
        <v>9</v>
      </c>
    </row>
    <row r="1196" spans="1:7" x14ac:dyDescent="0.45">
      <c r="A1196" t="s">
        <v>1291</v>
      </c>
      <c r="B1196" s="2" t="s">
        <v>110</v>
      </c>
      <c r="C1196" s="5">
        <f>1852/(60*60*24)</f>
        <v>2.1435185185185186E-2</v>
      </c>
      <c r="D1196" s="4">
        <f>792/(60*60*24)</f>
        <v>9.1666666666666667E-3</v>
      </c>
      <c r="E1196" s="3">
        <f>1269/(60*60*24)</f>
        <v>1.4687499999999999E-2</v>
      </c>
      <c r="F1196" s="6">
        <f>3808/(60*60*24)</f>
        <v>4.4074074074074071E-2</v>
      </c>
      <c r="G1196" s="7" t="s">
        <v>9</v>
      </c>
    </row>
    <row r="1197" spans="1:7" x14ac:dyDescent="0.45">
      <c r="A1197" t="s">
        <v>1292</v>
      </c>
      <c r="B1197" s="2" t="s">
        <v>112</v>
      </c>
      <c r="C1197" s="8" t="s">
        <v>12</v>
      </c>
      <c r="D1197" s="4">
        <f>860/(60*60*24)</f>
        <v>9.9537037037037042E-3</v>
      </c>
      <c r="E1197" s="3">
        <f>1597/(60*60*24)</f>
        <v>1.8483796296296297E-2</v>
      </c>
      <c r="F1197" s="5">
        <f>4624/(60*60*24)</f>
        <v>5.3518518518518521E-2</v>
      </c>
      <c r="G1197" s="7" t="s">
        <v>9</v>
      </c>
    </row>
    <row r="1198" spans="1:7" x14ac:dyDescent="0.45">
      <c r="A1198" t="s">
        <v>1293</v>
      </c>
      <c r="B1198" s="2" t="s">
        <v>116</v>
      </c>
      <c r="C1198" s="5">
        <f>1827/(60*60*24)</f>
        <v>2.1145833333333332E-2</v>
      </c>
      <c r="D1198" s="4">
        <f>1113/(60*60*24)</f>
        <v>1.2881944444444444E-2</v>
      </c>
      <c r="E1198" s="3">
        <f>1644/(60*60*24)</f>
        <v>1.9027777777777779E-2</v>
      </c>
      <c r="F1198" s="6">
        <f>6072/(60*60*24)</f>
        <v>7.0277777777777772E-2</v>
      </c>
      <c r="G1198" s="7" t="s">
        <v>9</v>
      </c>
    </row>
    <row r="1199" spans="1:7" x14ac:dyDescent="0.45">
      <c r="A1199" t="s">
        <v>1294</v>
      </c>
      <c r="B1199" s="2" t="s">
        <v>114</v>
      </c>
      <c r="C1199" s="8" t="s">
        <v>12</v>
      </c>
      <c r="D1199" s="4">
        <f>960/(60*60*24)</f>
        <v>1.1111111111111112E-2</v>
      </c>
      <c r="E1199" s="3">
        <f>1803/(60*60*24)</f>
        <v>2.0868055555555556E-2</v>
      </c>
      <c r="F1199" s="5">
        <f>5211/(60*60*24)</f>
        <v>6.0312499999999998E-2</v>
      </c>
      <c r="G1199" s="7" t="s">
        <v>9</v>
      </c>
    </row>
    <row r="1200" spans="1:7" x14ac:dyDescent="0.45">
      <c r="A1200" t="s">
        <v>1295</v>
      </c>
      <c r="B1200" s="2" t="s">
        <v>118</v>
      </c>
      <c r="C1200" s="5">
        <f>2793/(60*60*24)</f>
        <v>3.2326388888888891E-2</v>
      </c>
      <c r="D1200" s="4">
        <f>1311/(60*60*24)</f>
        <v>1.5173611111111112E-2</v>
      </c>
      <c r="E1200" s="3">
        <f>1997/(60*60*24)</f>
        <v>2.3113425925925926E-2</v>
      </c>
      <c r="F1200" s="6">
        <f>6899/(60*60*24)</f>
        <v>7.9849537037037038E-2</v>
      </c>
      <c r="G1200" s="7" t="s">
        <v>9</v>
      </c>
    </row>
    <row r="1201" spans="1:7" x14ac:dyDescent="0.45">
      <c r="A1201" t="s">
        <v>1296</v>
      </c>
      <c r="B1201" s="2" t="s">
        <v>120</v>
      </c>
      <c r="C1201" s="3">
        <f>2348/(60*60*24)</f>
        <v>2.7175925925925926E-2</v>
      </c>
      <c r="D1201" s="4">
        <f>1110/(60*60*24)</f>
        <v>1.2847222222222222E-2</v>
      </c>
      <c r="E1201" s="5">
        <f>2403/(60*60*24)</f>
        <v>2.78125E-2</v>
      </c>
      <c r="F1201" s="6">
        <f>7679/(60*60*24)</f>
        <v>8.8877314814814812E-2</v>
      </c>
      <c r="G1201" s="7" t="s">
        <v>9</v>
      </c>
    </row>
    <row r="1202" spans="1:7" x14ac:dyDescent="0.45">
      <c r="A1202" t="s">
        <v>1297</v>
      </c>
      <c r="B1202" s="2" t="s">
        <v>124</v>
      </c>
      <c r="C1202" s="8" t="s">
        <v>12</v>
      </c>
      <c r="D1202" s="4">
        <f>1267/(60*60*24)</f>
        <v>1.4664351851851852E-2</v>
      </c>
      <c r="E1202" s="3">
        <f>2394/(60*60*24)</f>
        <v>2.7708333333333335E-2</v>
      </c>
      <c r="F1202" s="5">
        <f>8232/(60*60*24)</f>
        <v>9.5277777777777781E-2</v>
      </c>
      <c r="G1202" s="7" t="s">
        <v>9</v>
      </c>
    </row>
    <row r="1203" spans="1:7" x14ac:dyDescent="0.45">
      <c r="A1203" t="s">
        <v>1298</v>
      </c>
      <c r="B1203" s="2" t="s">
        <v>122</v>
      </c>
      <c r="C1203" s="8" t="s">
        <v>12</v>
      </c>
      <c r="D1203" s="4">
        <f>1558/(60*60*24)</f>
        <v>1.8032407407407407E-2</v>
      </c>
      <c r="E1203" s="3">
        <f>3025/(60*60*24)</f>
        <v>3.5011574074074077E-2</v>
      </c>
      <c r="F1203" s="5">
        <f>9341/(60*60*24)</f>
        <v>0.10811342592592593</v>
      </c>
      <c r="G1203" s="7" t="s">
        <v>9</v>
      </c>
    </row>
    <row r="1204" spans="1:7" x14ac:dyDescent="0.45">
      <c r="A1204" t="s">
        <v>1299</v>
      </c>
      <c r="B1204" s="2" t="s">
        <v>126</v>
      </c>
      <c r="C1204" s="8" t="s">
        <v>12</v>
      </c>
      <c r="D1204" s="4">
        <f>1337/(60*60*24)</f>
        <v>1.5474537037037037E-2</v>
      </c>
      <c r="E1204" s="3">
        <f>3253/(60*60*24)</f>
        <v>3.7650462962962962E-2</v>
      </c>
      <c r="F1204" s="5">
        <f>10131/(60*60*24)</f>
        <v>0.11725694444444444</v>
      </c>
      <c r="G1204" s="7" t="s">
        <v>9</v>
      </c>
    </row>
    <row r="1205" spans="1:7" x14ac:dyDescent="0.45">
      <c r="A1205" t="s">
        <v>1300</v>
      </c>
      <c r="B1205" s="2" t="s">
        <v>128</v>
      </c>
      <c r="C1205" s="8" t="s">
        <v>12</v>
      </c>
      <c r="D1205" s="4">
        <f>1372/(60*60*24)</f>
        <v>1.5879629629629629E-2</v>
      </c>
      <c r="E1205" s="3">
        <f>3384/(60*60*24)</f>
        <v>3.9166666666666669E-2</v>
      </c>
      <c r="F1205" s="5">
        <f>12218/(60*60*24)</f>
        <v>0.14141203703703703</v>
      </c>
      <c r="G1205" s="7" t="s">
        <v>9</v>
      </c>
    </row>
    <row r="1206" spans="1:7" x14ac:dyDescent="0.45">
      <c r="A1206" t="s">
        <v>1301</v>
      </c>
      <c r="B1206" s="2" t="s">
        <v>130</v>
      </c>
      <c r="C1206" s="8" t="s">
        <v>12</v>
      </c>
      <c r="D1206" s="4">
        <f>1292/(60*60*24)</f>
        <v>1.4953703703703703E-2</v>
      </c>
      <c r="E1206" s="3">
        <f>3471/(60*60*24)</f>
        <v>4.0173611111111111E-2</v>
      </c>
      <c r="F1206" s="5">
        <f>12518/(60*60*24)</f>
        <v>0.14488425925925927</v>
      </c>
      <c r="G1206" s="7" t="s">
        <v>9</v>
      </c>
    </row>
    <row r="1207" spans="1:7" x14ac:dyDescent="0.45">
      <c r="A1207" t="s">
        <v>1302</v>
      </c>
      <c r="B1207" s="2" t="s">
        <v>132</v>
      </c>
      <c r="C1207" s="8" t="s">
        <v>12</v>
      </c>
      <c r="D1207" s="4">
        <f>1580/(60*60*24)</f>
        <v>1.8287037037037036E-2</v>
      </c>
      <c r="E1207" s="3">
        <f>4404/(60*60*24)</f>
        <v>5.0972222222222224E-2</v>
      </c>
      <c r="F1207" s="5">
        <f>13160/(60*60*24)</f>
        <v>0.15231481481481482</v>
      </c>
      <c r="G1207" s="7" t="s">
        <v>9</v>
      </c>
    </row>
    <row r="1208" spans="1:7" x14ac:dyDescent="0.45">
      <c r="A1208" t="s">
        <v>1303</v>
      </c>
      <c r="B1208" s="2" t="s">
        <v>136</v>
      </c>
      <c r="C1208" s="5">
        <f>4014/(60*60*24)</f>
        <v>4.6458333333333331E-2</v>
      </c>
      <c r="D1208" s="4">
        <f>1378/(60*60*24)</f>
        <v>1.5949074074074074E-2</v>
      </c>
      <c r="E1208" s="3">
        <f>3809/(60*60*24)</f>
        <v>4.4085648148148152E-2</v>
      </c>
      <c r="F1208" s="6">
        <f>13321/(60*60*24)</f>
        <v>0.15417824074074074</v>
      </c>
      <c r="G1208" s="7" t="s">
        <v>9</v>
      </c>
    </row>
    <row r="1209" spans="1:7" x14ac:dyDescent="0.45">
      <c r="A1209" t="s">
        <v>1304</v>
      </c>
      <c r="B1209" s="2" t="s">
        <v>134</v>
      </c>
      <c r="C1209" s="5">
        <f>3893/(60*60*24)</f>
        <v>4.5057870370370373E-2</v>
      </c>
      <c r="D1209" s="4">
        <f>1458/(60*60*24)</f>
        <v>1.6875000000000001E-2</v>
      </c>
      <c r="E1209" s="3">
        <f>3769/(60*60*24)</f>
        <v>4.3622685185185188E-2</v>
      </c>
      <c r="F1209" s="6">
        <f>13980/(60*60*24)</f>
        <v>0.16180555555555556</v>
      </c>
      <c r="G1209" s="7" t="s">
        <v>9</v>
      </c>
    </row>
    <row r="1210" spans="1:7" x14ac:dyDescent="0.45">
      <c r="A1210" t="s">
        <v>1305</v>
      </c>
      <c r="B1210" s="2" t="s">
        <v>138</v>
      </c>
      <c r="C1210" s="3">
        <f>3506/(60*60*24)</f>
        <v>4.0578703703703707E-2</v>
      </c>
      <c r="D1210" s="4">
        <f>1406/(60*60*24)</f>
        <v>1.6273148148148148E-2</v>
      </c>
      <c r="E1210" s="5">
        <f>3842/(60*60*24)</f>
        <v>4.4467592592592593E-2</v>
      </c>
      <c r="F1210" s="6">
        <f>14290/(60*60*24)</f>
        <v>0.16539351851851852</v>
      </c>
      <c r="G1210" s="7" t="s">
        <v>9</v>
      </c>
    </row>
    <row r="1211" spans="1:7" x14ac:dyDescent="0.45">
      <c r="A1211" t="s">
        <v>1306</v>
      </c>
      <c r="B1211" s="2" t="s">
        <v>140</v>
      </c>
      <c r="C1211" s="5">
        <f>4110/(60*60*24)</f>
        <v>4.7569444444444442E-2</v>
      </c>
      <c r="D1211" s="4">
        <f>1523/(60*60*24)</f>
        <v>1.7627314814814814E-2</v>
      </c>
      <c r="E1211" s="3">
        <f>4090/(60*60*24)</f>
        <v>4.7337962962962964E-2</v>
      </c>
      <c r="F1211" s="6">
        <f>15034/(60*60*24)</f>
        <v>0.17400462962962962</v>
      </c>
      <c r="G1211" s="7" t="s">
        <v>9</v>
      </c>
    </row>
    <row r="1212" spans="1:7" x14ac:dyDescent="0.45">
      <c r="A1212" t="s">
        <v>1307</v>
      </c>
      <c r="B1212" s="2" t="s">
        <v>142</v>
      </c>
      <c r="C1212" s="8" t="s">
        <v>12</v>
      </c>
      <c r="D1212" s="4">
        <f>1609/(60*60*24)</f>
        <v>1.8622685185185187E-2</v>
      </c>
      <c r="E1212" s="3">
        <f>4274/(60*60*24)</f>
        <v>4.9467592592592591E-2</v>
      </c>
      <c r="F1212" s="5">
        <f>15774/(60*60*24)</f>
        <v>0.18256944444444445</v>
      </c>
      <c r="G1212" s="7" t="s">
        <v>9</v>
      </c>
    </row>
    <row r="1213" spans="1:7" x14ac:dyDescent="0.45">
      <c r="A1213" t="s">
        <v>1308</v>
      </c>
      <c r="B1213" s="2" t="s">
        <v>144</v>
      </c>
      <c r="C1213" s="8" t="s">
        <v>12</v>
      </c>
      <c r="D1213" s="4">
        <f>1615/(60*60*24)</f>
        <v>1.8692129629629628E-2</v>
      </c>
      <c r="E1213" s="3">
        <f>4625/(60*60*24)</f>
        <v>5.3530092592592594E-2</v>
      </c>
      <c r="F1213" s="5">
        <f>16791/(60*60*24)</f>
        <v>0.19434027777777776</v>
      </c>
      <c r="G1213" s="7" t="s">
        <v>9</v>
      </c>
    </row>
    <row r="1214" spans="1:7" x14ac:dyDescent="0.45">
      <c r="A1214" t="s">
        <v>1309</v>
      </c>
      <c r="B1214" s="2" t="s">
        <v>146</v>
      </c>
      <c r="C1214" s="8" t="s">
        <v>12</v>
      </c>
      <c r="D1214" s="4">
        <f>1762/(60*60*24)</f>
        <v>2.0393518518518519E-2</v>
      </c>
      <c r="E1214" s="3">
        <f>4656/(60*60*24)</f>
        <v>5.3888888888888889E-2</v>
      </c>
      <c r="F1214" s="5">
        <f>17457/(60*60*24)</f>
        <v>0.20204861111111111</v>
      </c>
      <c r="G1214" s="7" t="s">
        <v>9</v>
      </c>
    </row>
    <row r="1215" spans="1:7" x14ac:dyDescent="0.45">
      <c r="A1215" t="s">
        <v>1310</v>
      </c>
      <c r="B1215" s="2" t="s">
        <v>148</v>
      </c>
      <c r="C1215" s="8" t="s">
        <v>12</v>
      </c>
      <c r="D1215" s="4">
        <f>1779/(60*60*24)</f>
        <v>2.0590277777777777E-2</v>
      </c>
      <c r="E1215" s="3">
        <f>5323/(60*60*24)</f>
        <v>6.1608796296296293E-2</v>
      </c>
      <c r="F1215" s="5">
        <f>19217/(60*60*24)</f>
        <v>0.22241898148148148</v>
      </c>
      <c r="G1215" s="7" t="s">
        <v>9</v>
      </c>
    </row>
    <row r="1216" spans="1:7" x14ac:dyDescent="0.45">
      <c r="A1216" t="s">
        <v>1311</v>
      </c>
      <c r="B1216" s="2" t="s">
        <v>152</v>
      </c>
      <c r="C1216" s="3">
        <f>4798/(60*60*24)</f>
        <v>5.5532407407407405E-2</v>
      </c>
      <c r="D1216" s="4">
        <f>1860/(60*60*24)</f>
        <v>2.1527777777777778E-2</v>
      </c>
      <c r="E1216" s="5">
        <f>5855/(60*60*24)</f>
        <v>6.7766203703703703E-2</v>
      </c>
      <c r="F1216" s="6">
        <f>20333/(60*60*24)</f>
        <v>0.23533564814814814</v>
      </c>
      <c r="G1216" s="7" t="s">
        <v>9</v>
      </c>
    </row>
    <row r="1217" spans="1:7" x14ac:dyDescent="0.45">
      <c r="A1217" t="s">
        <v>1312</v>
      </c>
      <c r="B1217" s="2" t="s">
        <v>150</v>
      </c>
      <c r="C1217" s="8" t="s">
        <v>12</v>
      </c>
      <c r="D1217" s="4">
        <f>1878/(60*60*24)</f>
        <v>2.1736111111111112E-2</v>
      </c>
      <c r="E1217" s="3">
        <f>5390/(60*60*24)</f>
        <v>6.2384259259259257E-2</v>
      </c>
      <c r="F1217" s="5">
        <f>19349/(60*60*24)</f>
        <v>0.22394675925925925</v>
      </c>
      <c r="G1217" s="7" t="s">
        <v>9</v>
      </c>
    </row>
    <row r="1218" spans="1:7" x14ac:dyDescent="0.45">
      <c r="A1218" t="s">
        <v>1313</v>
      </c>
      <c r="B1218" s="2" t="s">
        <v>154</v>
      </c>
      <c r="C1218" s="8" t="s">
        <v>12</v>
      </c>
      <c r="D1218" s="4">
        <f>1886/(60*60*24)</f>
        <v>2.1828703703703704E-2</v>
      </c>
      <c r="E1218" s="3">
        <f>5593/(60*60*24)</f>
        <v>6.4733796296296303E-2</v>
      </c>
      <c r="F1218" s="5">
        <f>21149/(60*60*24)</f>
        <v>0.24478009259259259</v>
      </c>
      <c r="G1218" s="7" t="s">
        <v>9</v>
      </c>
    </row>
    <row r="1219" spans="1:7" x14ac:dyDescent="0.45">
      <c r="A1219" t="s">
        <v>1314</v>
      </c>
      <c r="B1219" s="2" t="s">
        <v>156</v>
      </c>
      <c r="C1219" s="8" t="s">
        <v>12</v>
      </c>
      <c r="D1219" s="4">
        <f>1883/(60*60*24)</f>
        <v>2.179398148148148E-2</v>
      </c>
      <c r="E1219" s="3">
        <f>5845/(60*60*24)</f>
        <v>6.7650462962962968E-2</v>
      </c>
      <c r="F1219" s="5">
        <f>21918/(60*60*24)</f>
        <v>0.25368055555555558</v>
      </c>
      <c r="G1219" s="7" t="s">
        <v>9</v>
      </c>
    </row>
    <row r="1220" spans="1:7" x14ac:dyDescent="0.45">
      <c r="A1220" t="s">
        <v>1315</v>
      </c>
      <c r="B1220" s="2" t="s">
        <v>160</v>
      </c>
      <c r="C1220" s="8" t="s">
        <v>12</v>
      </c>
      <c r="D1220" s="4">
        <f>1884/(60*60*24)</f>
        <v>2.1805555555555557E-2</v>
      </c>
      <c r="E1220" s="3">
        <f>5890/(60*60*24)</f>
        <v>6.8171296296296299E-2</v>
      </c>
      <c r="F1220" s="5">
        <f>22258/(60*60*24)</f>
        <v>0.25761574074074073</v>
      </c>
      <c r="G1220" s="7" t="s">
        <v>9</v>
      </c>
    </row>
    <row r="1221" spans="1:7" x14ac:dyDescent="0.45">
      <c r="A1221" t="s">
        <v>1316</v>
      </c>
      <c r="B1221" s="2" t="s">
        <v>158</v>
      </c>
      <c r="C1221" s="8" t="s">
        <v>12</v>
      </c>
      <c r="D1221" s="4">
        <f>1988/(60*60*24)</f>
        <v>2.3009259259259261E-2</v>
      </c>
      <c r="E1221" s="3">
        <f>6176/(60*60*24)</f>
        <v>7.1481481481481479E-2</v>
      </c>
      <c r="F1221" s="5">
        <f>23283/(60*60*24)</f>
        <v>0.26947916666666666</v>
      </c>
      <c r="G1221" s="7" t="s">
        <v>9</v>
      </c>
    </row>
    <row r="1222" spans="1:7" x14ac:dyDescent="0.45">
      <c r="A1222" t="s">
        <v>1317</v>
      </c>
      <c r="B1222" s="2" t="s">
        <v>162</v>
      </c>
      <c r="C1222" s="8" t="s">
        <v>12</v>
      </c>
      <c r="D1222" s="4">
        <f>2134/(60*60*24)</f>
        <v>2.4699074074074075E-2</v>
      </c>
      <c r="E1222" s="3">
        <f>6805/(60*60*24)</f>
        <v>7.8761574074074067E-2</v>
      </c>
      <c r="F1222" s="5">
        <f>23906/(60*60*24)</f>
        <v>0.27668981481481481</v>
      </c>
      <c r="G1222" s="7" t="s">
        <v>9</v>
      </c>
    </row>
    <row r="1223" spans="1:7" x14ac:dyDescent="0.45">
      <c r="A1223" t="s">
        <v>1318</v>
      </c>
      <c r="B1223" s="2" t="s">
        <v>164</v>
      </c>
      <c r="C1223" s="8" t="s">
        <v>12</v>
      </c>
      <c r="D1223" s="4">
        <f>2093/(60*60*24)</f>
        <v>2.4224537037037037E-2</v>
      </c>
      <c r="E1223" s="3">
        <f>7252/(60*60*24)</f>
        <v>8.3935185185185182E-2</v>
      </c>
      <c r="F1223" s="5">
        <f>24786/(60*60*24)</f>
        <v>0.28687499999999999</v>
      </c>
      <c r="G1223" s="7" t="s">
        <v>9</v>
      </c>
    </row>
    <row r="1224" spans="1:7" x14ac:dyDescent="0.45">
      <c r="A1224" t="s">
        <v>1319</v>
      </c>
      <c r="B1224" s="2" t="s">
        <v>168</v>
      </c>
      <c r="C1224" s="5">
        <f>9525/(60*60*24)</f>
        <v>0.11024305555555555</v>
      </c>
      <c r="D1224" s="4">
        <f>2136/(60*60*24)</f>
        <v>2.4722222222222222E-2</v>
      </c>
      <c r="E1224" s="3">
        <f>7515/(60*60*24)</f>
        <v>8.6979166666666663E-2</v>
      </c>
      <c r="F1224" s="6">
        <f>25743/(60*60*24)</f>
        <v>0.29795138888888889</v>
      </c>
      <c r="G1224" s="7" t="s">
        <v>9</v>
      </c>
    </row>
    <row r="1225" spans="1:7" x14ac:dyDescent="0.45">
      <c r="A1225" t="s">
        <v>1320</v>
      </c>
      <c r="B1225" s="2" t="s">
        <v>166</v>
      </c>
      <c r="C1225" s="5">
        <f>9788/(60*60*24)</f>
        <v>0.11328703703703703</v>
      </c>
      <c r="D1225" s="4">
        <f>2141/(60*60*24)</f>
        <v>2.4780092592592593E-2</v>
      </c>
      <c r="E1225" s="3">
        <f>7769/(60*60*24)</f>
        <v>8.9918981481481475E-2</v>
      </c>
      <c r="F1225" s="6">
        <f>27063/(60*60*24)</f>
        <v>0.31322916666666667</v>
      </c>
      <c r="G1225" s="7" t="s">
        <v>9</v>
      </c>
    </row>
    <row r="1226" spans="1:7" x14ac:dyDescent="0.45">
      <c r="A1226" t="s">
        <v>1321</v>
      </c>
      <c r="B1226" s="2" t="s">
        <v>170</v>
      </c>
      <c r="C1226" s="5">
        <f>9078/(60*60*24)</f>
        <v>0.10506944444444444</v>
      </c>
      <c r="D1226" s="4">
        <f>2159/(60*60*24)</f>
        <v>2.4988425925925924E-2</v>
      </c>
      <c r="E1226" s="3">
        <f>7726/(60*60*24)</f>
        <v>8.942129629629629E-2</v>
      </c>
      <c r="F1226" s="6">
        <f>27448/(60*60*24)</f>
        <v>0.31768518518518518</v>
      </c>
      <c r="G1226" s="7" t="s">
        <v>9</v>
      </c>
    </row>
    <row r="1227" spans="1:7" x14ac:dyDescent="0.45">
      <c r="A1227" t="s">
        <v>1322</v>
      </c>
      <c r="B1227" s="2" t="s">
        <v>172</v>
      </c>
      <c r="C1227" s="5">
        <f>9449/(60*60*24)</f>
        <v>0.10936342592592592</v>
      </c>
      <c r="D1227" s="4">
        <f>2360/(60*60*24)</f>
        <v>2.7314814814814816E-2</v>
      </c>
      <c r="E1227" s="3">
        <f>8095/(60*60*24)</f>
        <v>9.3692129629629625E-2</v>
      </c>
      <c r="F1227" s="6">
        <f>28161/(60*60*24)</f>
        <v>0.32593749999999999</v>
      </c>
      <c r="G1227" s="7" t="s">
        <v>9</v>
      </c>
    </row>
    <row r="1228" spans="1:7" x14ac:dyDescent="0.45">
      <c r="A1228" t="s">
        <v>1323</v>
      </c>
      <c r="B1228" s="2" t="s">
        <v>176</v>
      </c>
      <c r="C1228" s="5">
        <f>9655/(60*60*24)</f>
        <v>0.11174768518518519</v>
      </c>
      <c r="D1228" s="4">
        <f>2438/(60*60*24)</f>
        <v>2.8217592592592593E-2</v>
      </c>
      <c r="E1228" s="3">
        <f>8126/(60*60*24)</f>
        <v>9.4050925925925927E-2</v>
      </c>
      <c r="F1228" s="6">
        <f>28681/(60*60*24)</f>
        <v>0.33195601851851853</v>
      </c>
      <c r="G1228" s="7" t="s">
        <v>9</v>
      </c>
    </row>
    <row r="1229" spans="1:7" x14ac:dyDescent="0.45">
      <c r="A1229" t="s">
        <v>1324</v>
      </c>
      <c r="B1229" s="2" t="s">
        <v>174</v>
      </c>
      <c r="C1229" s="3">
        <f>5904/(60*60*24)</f>
        <v>6.8333333333333329E-2</v>
      </c>
      <c r="D1229" s="4">
        <f>2345/(60*60*24)</f>
        <v>2.7141203703703702E-2</v>
      </c>
      <c r="E1229" s="5">
        <f>8236/(60*60*24)</f>
        <v>9.5324074074074075E-2</v>
      </c>
      <c r="F1229" s="6">
        <f>29076/(60*60*24)</f>
        <v>0.33652777777777776</v>
      </c>
      <c r="G1229" s="7" t="s">
        <v>9</v>
      </c>
    </row>
    <row r="1230" spans="1:7" x14ac:dyDescent="0.45">
      <c r="A1230" t="s">
        <v>1325</v>
      </c>
      <c r="B1230" s="2" t="s">
        <v>180</v>
      </c>
      <c r="C1230" s="3">
        <f>6402/(60*60*24)</f>
        <v>7.4097222222222217E-2</v>
      </c>
      <c r="D1230" s="4">
        <f>2419/(60*60*24)</f>
        <v>2.7997685185185184E-2</v>
      </c>
      <c r="E1230" s="5">
        <f>8281/(60*60*24)</f>
        <v>9.5844907407407406E-2</v>
      </c>
      <c r="F1230" s="6">
        <f>29196/(60*60*24)</f>
        <v>0.33791666666666664</v>
      </c>
      <c r="G1230" s="7" t="s">
        <v>9</v>
      </c>
    </row>
    <row r="1231" spans="1:7" x14ac:dyDescent="0.45">
      <c r="A1231" t="s">
        <v>1326</v>
      </c>
      <c r="B1231" s="2" t="s">
        <v>178</v>
      </c>
      <c r="C1231" s="5">
        <f>8651/(60*60*24)</f>
        <v>0.10012731481481481</v>
      </c>
      <c r="D1231" s="4">
        <f>2492/(60*60*24)</f>
        <v>2.8842592592592593E-2</v>
      </c>
      <c r="E1231" s="3">
        <f>8381/(60*60*24)</f>
        <v>9.7002314814814819E-2</v>
      </c>
      <c r="F1231" s="6">
        <f>29834/(60*60*24)</f>
        <v>0.34530092592592593</v>
      </c>
      <c r="G1231" s="7" t="s">
        <v>9</v>
      </c>
    </row>
    <row r="1232" spans="1:7" x14ac:dyDescent="0.45">
      <c r="A1232" t="s">
        <v>1327</v>
      </c>
      <c r="B1232" s="2" t="s">
        <v>184</v>
      </c>
      <c r="C1232" s="3">
        <f>8107/(60*60*24)</f>
        <v>9.3831018518518522E-2</v>
      </c>
      <c r="D1232" s="4">
        <f>2442/(60*60*24)</f>
        <v>2.826388888888889E-2</v>
      </c>
      <c r="E1232" s="5">
        <f>8836/(60*60*24)</f>
        <v>0.10226851851851852</v>
      </c>
      <c r="F1232" s="6">
        <f>31421/(60*60*24)</f>
        <v>0.36366898148148147</v>
      </c>
      <c r="G1232" s="7" t="s">
        <v>9</v>
      </c>
    </row>
    <row r="1233" spans="1:7" x14ac:dyDescent="0.45">
      <c r="A1233" t="s">
        <v>1328</v>
      </c>
      <c r="B1233" s="2" t="s">
        <v>182</v>
      </c>
      <c r="C1233" s="8" t="s">
        <v>12</v>
      </c>
      <c r="D1233" s="4">
        <f>2630/(60*60*24)</f>
        <v>3.0439814814814815E-2</v>
      </c>
      <c r="E1233" s="3">
        <f>8572/(60*60*24)</f>
        <v>9.9212962962962961E-2</v>
      </c>
      <c r="F1233" s="5">
        <f>30498/(60*60*24)</f>
        <v>0.35298611111111111</v>
      </c>
      <c r="G1233" s="7" t="s">
        <v>9</v>
      </c>
    </row>
    <row r="1234" spans="1:7" x14ac:dyDescent="0.45">
      <c r="A1234" t="s">
        <v>1329</v>
      </c>
      <c r="B1234" s="2" t="s">
        <v>8</v>
      </c>
      <c r="C1234" s="3">
        <f>5569/(60*60*24)</f>
        <v>6.4456018518518524E-2</v>
      </c>
      <c r="D1234" s="4">
        <f>1859/(60*60*24)</f>
        <v>2.1516203703703704E-2</v>
      </c>
      <c r="E1234" s="5">
        <f>9208/(60*60*24)</f>
        <v>0.10657407407407407</v>
      </c>
      <c r="F1234" s="6">
        <f>31223/(60*60*24)</f>
        <v>0.36137731481481483</v>
      </c>
      <c r="G1234" s="7" t="s">
        <v>9</v>
      </c>
    </row>
    <row r="1235" spans="1:7" x14ac:dyDescent="0.45">
      <c r="A1235" t="s">
        <v>1330</v>
      </c>
      <c r="B1235" s="2" t="s">
        <v>11</v>
      </c>
      <c r="C1235" s="3">
        <f>5431/(60*60*24)</f>
        <v>6.2858796296296301E-2</v>
      </c>
      <c r="D1235" s="4">
        <f>1889/(60*60*24)</f>
        <v>2.1863425925925925E-2</v>
      </c>
      <c r="E1235" s="5">
        <f>9008/(60*60*24)</f>
        <v>0.10425925925925926</v>
      </c>
      <c r="F1235" s="6">
        <f>30556/(60*60*24)</f>
        <v>0.35365740740740742</v>
      </c>
      <c r="G1235" s="7" t="s">
        <v>9</v>
      </c>
    </row>
    <row r="1236" spans="1:7" x14ac:dyDescent="0.45">
      <c r="A1236" t="s">
        <v>1331</v>
      </c>
      <c r="B1236" s="2" t="s">
        <v>14</v>
      </c>
      <c r="C1236" s="3">
        <f>5372/(60*60*24)</f>
        <v>6.2175925925925926E-2</v>
      </c>
      <c r="D1236" s="4">
        <f>1966/(60*60*24)</f>
        <v>2.2754629629629628E-2</v>
      </c>
      <c r="E1236" s="5">
        <f>8810/(60*60*24)</f>
        <v>0.1019675925925926</v>
      </c>
      <c r="F1236" s="6">
        <f>29797/(60*60*24)</f>
        <v>0.34487268518518521</v>
      </c>
      <c r="G1236" s="7" t="s">
        <v>9</v>
      </c>
    </row>
    <row r="1237" spans="1:7" x14ac:dyDescent="0.45">
      <c r="A1237" t="s">
        <v>1332</v>
      </c>
      <c r="B1237" s="2" t="s">
        <v>16</v>
      </c>
      <c r="C1237" s="3">
        <f>5565/(60*60*24)</f>
        <v>6.4409722222222215E-2</v>
      </c>
      <c r="D1237" s="4">
        <f>1945/(60*60*24)</f>
        <v>2.2511574074074073E-2</v>
      </c>
      <c r="E1237" s="5">
        <f>8596/(60*60*24)</f>
        <v>9.9490740740740741E-2</v>
      </c>
      <c r="F1237" s="6">
        <f>29083/(60*60*24)</f>
        <v>0.33660879629629631</v>
      </c>
      <c r="G1237" s="7" t="s">
        <v>9</v>
      </c>
    </row>
    <row r="1238" spans="1:7" x14ac:dyDescent="0.45">
      <c r="A1238" t="s">
        <v>1333</v>
      </c>
      <c r="B1238" s="2" t="s">
        <v>18</v>
      </c>
      <c r="C1238" s="3">
        <f>5555/(60*60*24)</f>
        <v>6.429398148148148E-2</v>
      </c>
      <c r="D1238" s="4">
        <f>2016/(60*60*24)</f>
        <v>2.3333333333333334E-2</v>
      </c>
      <c r="E1238" s="5">
        <f>8453/(60*60*24)</f>
        <v>9.7835648148148144E-2</v>
      </c>
      <c r="F1238" s="6">
        <f>28629/(60*60*24)</f>
        <v>0.33135416666666667</v>
      </c>
      <c r="G1238" s="7" t="s">
        <v>9</v>
      </c>
    </row>
    <row r="1239" spans="1:7" x14ac:dyDescent="0.45">
      <c r="A1239" t="s">
        <v>1334</v>
      </c>
      <c r="B1239" s="2" t="s">
        <v>20</v>
      </c>
      <c r="C1239" s="3">
        <f>5696/(60*60*24)</f>
        <v>6.5925925925925929E-2</v>
      </c>
      <c r="D1239" s="4">
        <f>2001/(60*60*24)</f>
        <v>2.3159722222222224E-2</v>
      </c>
      <c r="E1239" s="5">
        <f>8287/(60*60*24)</f>
        <v>9.5914351851851848E-2</v>
      </c>
      <c r="F1239" s="6">
        <f>27968/(60*60*24)</f>
        <v>0.32370370370370372</v>
      </c>
      <c r="G1239" s="7" t="s">
        <v>9</v>
      </c>
    </row>
    <row r="1240" spans="1:7" x14ac:dyDescent="0.45">
      <c r="A1240" t="s">
        <v>1335</v>
      </c>
      <c r="B1240" s="2" t="s">
        <v>22</v>
      </c>
      <c r="C1240" s="3">
        <f>5956/(60*60*24)</f>
        <v>6.8935185185185183E-2</v>
      </c>
      <c r="D1240" s="4">
        <f>2175/(60*60*24)</f>
        <v>2.5173611111111112E-2</v>
      </c>
      <c r="E1240" s="5">
        <f>8338/(60*60*24)</f>
        <v>9.6504629629629635E-2</v>
      </c>
      <c r="F1240" s="6">
        <f>27329/(60*60*24)</f>
        <v>0.31630787037037039</v>
      </c>
      <c r="G1240" s="7" t="s">
        <v>9</v>
      </c>
    </row>
    <row r="1241" spans="1:7" x14ac:dyDescent="0.45">
      <c r="A1241" t="s">
        <v>1336</v>
      </c>
      <c r="B1241" s="2" t="s">
        <v>24</v>
      </c>
      <c r="C1241" s="3">
        <f>5926/(60*60*24)</f>
        <v>6.8587962962962962E-2</v>
      </c>
      <c r="D1241" s="4">
        <f>2293/(60*60*24)</f>
        <v>2.6539351851851852E-2</v>
      </c>
      <c r="E1241" s="5">
        <f>8070/(60*60*24)</f>
        <v>9.3402777777777779E-2</v>
      </c>
      <c r="F1241" s="6">
        <f>26509/(60*60*24)</f>
        <v>0.30681712962962965</v>
      </c>
      <c r="G1241" s="7" t="s">
        <v>9</v>
      </c>
    </row>
    <row r="1242" spans="1:7" x14ac:dyDescent="0.45">
      <c r="A1242" t="s">
        <v>1337</v>
      </c>
      <c r="B1242" s="2" t="s">
        <v>26</v>
      </c>
      <c r="C1242" s="3">
        <f>4720/(60*60*24)</f>
        <v>5.4629629629629632E-2</v>
      </c>
      <c r="D1242" s="4">
        <f>2148/(60*60*24)</f>
        <v>2.4861111111111112E-2</v>
      </c>
      <c r="E1242" s="5">
        <f>7705/(60*60*24)</f>
        <v>8.9178240740740738E-2</v>
      </c>
      <c r="F1242" s="6">
        <f>25754/(60*60*24)</f>
        <v>0.29807870370370371</v>
      </c>
      <c r="G1242" s="7" t="s">
        <v>9</v>
      </c>
    </row>
    <row r="1243" spans="1:7" x14ac:dyDescent="0.45">
      <c r="A1243" t="s">
        <v>1338</v>
      </c>
      <c r="B1243" s="2" t="s">
        <v>28</v>
      </c>
      <c r="C1243" s="8" t="s">
        <v>12</v>
      </c>
      <c r="D1243" s="4">
        <f>1957/(60*60*24)</f>
        <v>2.2650462962962963E-2</v>
      </c>
      <c r="E1243" s="3">
        <f>7503/(60*60*24)</f>
        <v>8.684027777777778E-2</v>
      </c>
      <c r="F1243" s="5">
        <f>25293/(60*60*24)</f>
        <v>0.29274305555555558</v>
      </c>
      <c r="G1243" s="7" t="s">
        <v>9</v>
      </c>
    </row>
    <row r="1244" spans="1:7" x14ac:dyDescent="0.45">
      <c r="A1244" t="s">
        <v>1339</v>
      </c>
      <c r="B1244" s="2" t="s">
        <v>30</v>
      </c>
      <c r="C1244" s="3">
        <f>5180/(60*60*24)</f>
        <v>5.9953703703703703E-2</v>
      </c>
      <c r="D1244" s="4">
        <f>1919/(60*60*24)</f>
        <v>2.2210648148148149E-2</v>
      </c>
      <c r="E1244" s="5">
        <f>7393/(60*60*24)</f>
        <v>8.5567129629629632E-2</v>
      </c>
      <c r="F1244" s="6">
        <f>24623/(60*60*24)</f>
        <v>0.28498842592592594</v>
      </c>
      <c r="G1244" s="7" t="s">
        <v>9</v>
      </c>
    </row>
    <row r="1245" spans="1:7" x14ac:dyDescent="0.45">
      <c r="A1245" t="s">
        <v>1340</v>
      </c>
      <c r="B1245" s="2" t="s">
        <v>32</v>
      </c>
      <c r="C1245" s="3">
        <f>4784/(60*60*24)</f>
        <v>5.5370370370370368E-2</v>
      </c>
      <c r="D1245" s="4">
        <f>1834/(60*60*24)</f>
        <v>2.1226851851851851E-2</v>
      </c>
      <c r="E1245" s="5">
        <f>7243/(60*60*24)</f>
        <v>8.3831018518518513E-2</v>
      </c>
      <c r="F1245" s="6">
        <f>24359/(60*60*24)</f>
        <v>0.28193287037037035</v>
      </c>
      <c r="G1245" s="7" t="s">
        <v>9</v>
      </c>
    </row>
    <row r="1246" spans="1:7" x14ac:dyDescent="0.45">
      <c r="A1246" t="s">
        <v>1341</v>
      </c>
      <c r="B1246" s="2" t="s">
        <v>36</v>
      </c>
      <c r="C1246" s="3">
        <f>4683/(60*60*24)</f>
        <v>5.4201388888888889E-2</v>
      </c>
      <c r="D1246" s="4">
        <f>1662/(60*60*24)</f>
        <v>1.923611111111111E-2</v>
      </c>
      <c r="E1246" s="5">
        <f>7020/(60*60*24)</f>
        <v>8.1250000000000003E-2</v>
      </c>
      <c r="F1246" s="6">
        <f>23650/(60*60*24)</f>
        <v>0.27372685185185186</v>
      </c>
      <c r="G1246" s="7" t="s">
        <v>9</v>
      </c>
    </row>
    <row r="1247" spans="1:7" x14ac:dyDescent="0.45">
      <c r="A1247" t="s">
        <v>1342</v>
      </c>
      <c r="B1247" s="2" t="s">
        <v>34</v>
      </c>
      <c r="C1247" s="3">
        <f>4588/(60*60*24)</f>
        <v>5.3101851851851851E-2</v>
      </c>
      <c r="D1247" s="4">
        <f>1614/(60*60*24)</f>
        <v>1.8680555555555554E-2</v>
      </c>
      <c r="E1247" s="5">
        <f>6823/(60*60*24)</f>
        <v>7.8969907407407405E-2</v>
      </c>
      <c r="F1247" s="6">
        <f>22986/(60*60*24)</f>
        <v>0.26604166666666668</v>
      </c>
      <c r="G1247" s="7" t="s">
        <v>9</v>
      </c>
    </row>
    <row r="1248" spans="1:7" x14ac:dyDescent="0.45">
      <c r="A1248" t="s">
        <v>1343</v>
      </c>
      <c r="B1248" s="2" t="s">
        <v>38</v>
      </c>
      <c r="C1248" s="3">
        <f>4042/(60*60*24)</f>
        <v>4.6782407407407404E-2</v>
      </c>
      <c r="D1248" s="4">
        <f>1484/(60*60*24)</f>
        <v>1.7175925925925924E-2</v>
      </c>
      <c r="E1248" s="5">
        <f>6636/(60*60*24)</f>
        <v>7.6805555555555557E-2</v>
      </c>
      <c r="F1248" s="6">
        <f>22245/(60*60*24)</f>
        <v>0.25746527777777778</v>
      </c>
      <c r="G1248" s="7" t="s">
        <v>9</v>
      </c>
    </row>
    <row r="1249" spans="1:7" x14ac:dyDescent="0.45">
      <c r="A1249" t="s">
        <v>1344</v>
      </c>
      <c r="B1249" s="2" t="s">
        <v>40</v>
      </c>
      <c r="C1249" s="3">
        <f>3700/(60*60*24)</f>
        <v>4.2824074074074077E-2</v>
      </c>
      <c r="D1249" s="4">
        <f>1383/(60*60*24)</f>
        <v>1.6006944444444445E-2</v>
      </c>
      <c r="E1249" s="5">
        <f>6494/(60*60*24)</f>
        <v>7.5162037037037041E-2</v>
      </c>
      <c r="F1249" s="6">
        <f>21676/(60*60*24)</f>
        <v>0.25087962962962962</v>
      </c>
      <c r="G1249" s="7" t="s">
        <v>9</v>
      </c>
    </row>
    <row r="1250" spans="1:7" x14ac:dyDescent="0.45">
      <c r="A1250" t="s">
        <v>1345</v>
      </c>
      <c r="B1250" s="2" t="s">
        <v>44</v>
      </c>
      <c r="C1250" s="3">
        <f>4510/(60*60*24)</f>
        <v>5.2199074074074071E-2</v>
      </c>
      <c r="D1250" s="4">
        <f>1333/(60*60*24)</f>
        <v>1.5428240740740741E-2</v>
      </c>
      <c r="E1250" s="5">
        <f>6292/(60*60*24)</f>
        <v>7.2824074074074069E-2</v>
      </c>
      <c r="F1250" s="6">
        <f>21270/(60*60*24)</f>
        <v>0.24618055555555557</v>
      </c>
      <c r="G1250" s="7" t="s">
        <v>9</v>
      </c>
    </row>
    <row r="1251" spans="1:7" x14ac:dyDescent="0.45">
      <c r="A1251" t="s">
        <v>1346</v>
      </c>
      <c r="B1251" s="2" t="s">
        <v>42</v>
      </c>
      <c r="C1251" s="3">
        <f>4432/(60*60*24)</f>
        <v>5.1296296296296298E-2</v>
      </c>
      <c r="D1251" s="4">
        <f>1309/(60*60*24)</f>
        <v>1.5150462962962963E-2</v>
      </c>
      <c r="E1251" s="5">
        <f>6311/(60*60*24)</f>
        <v>7.3043981481481488E-2</v>
      </c>
      <c r="F1251" s="6">
        <f>21146/(60*60*24)</f>
        <v>0.24474537037037036</v>
      </c>
      <c r="G1251" s="7" t="s">
        <v>9</v>
      </c>
    </row>
    <row r="1252" spans="1:7" x14ac:dyDescent="0.45">
      <c r="A1252" t="s">
        <v>1347</v>
      </c>
      <c r="B1252" s="2" t="s">
        <v>46</v>
      </c>
      <c r="C1252" s="3">
        <f>4196/(60*60*24)</f>
        <v>4.8564814814814818E-2</v>
      </c>
      <c r="D1252" s="4">
        <f>1472/(60*60*24)</f>
        <v>1.7037037037037038E-2</v>
      </c>
      <c r="E1252" s="5">
        <f>5861/(60*60*24)</f>
        <v>6.7835648148148145E-2</v>
      </c>
      <c r="F1252" s="6">
        <f>19881/(60*60*24)</f>
        <v>0.23010416666666667</v>
      </c>
      <c r="G1252" s="7" t="s">
        <v>9</v>
      </c>
    </row>
    <row r="1253" spans="1:7" x14ac:dyDescent="0.45">
      <c r="A1253" t="s">
        <v>1348</v>
      </c>
      <c r="B1253" s="2" t="s">
        <v>48</v>
      </c>
      <c r="C1253" s="3">
        <f>4503/(60*60*24)</f>
        <v>5.2118055555555556E-2</v>
      </c>
      <c r="D1253" s="4">
        <f>1562/(60*60*24)</f>
        <v>1.8078703703703704E-2</v>
      </c>
      <c r="E1253" s="5">
        <f>5760/(60*60*24)</f>
        <v>6.6666666666666666E-2</v>
      </c>
      <c r="F1253" s="6">
        <f>18951/(60*60*24)</f>
        <v>0.21934027777777779</v>
      </c>
      <c r="G1253" s="7" t="s">
        <v>9</v>
      </c>
    </row>
    <row r="1254" spans="1:7" x14ac:dyDescent="0.45">
      <c r="A1254" t="s">
        <v>1349</v>
      </c>
      <c r="B1254" s="2" t="s">
        <v>50</v>
      </c>
      <c r="C1254" s="3">
        <f>3704/(60*60*24)</f>
        <v>4.2870370370370371E-2</v>
      </c>
      <c r="D1254" s="4">
        <f>1580/(60*60*24)</f>
        <v>1.8287037037037036E-2</v>
      </c>
      <c r="E1254" s="5">
        <f>5442/(60*60*24)</f>
        <v>6.2986111111111118E-2</v>
      </c>
      <c r="F1254" s="6">
        <f>18328/(60*60*24)</f>
        <v>0.21212962962962964</v>
      </c>
      <c r="G1254" s="7" t="s">
        <v>9</v>
      </c>
    </row>
    <row r="1255" spans="1:7" x14ac:dyDescent="0.45">
      <c r="A1255" t="s">
        <v>1350</v>
      </c>
      <c r="B1255" s="2" t="s">
        <v>52</v>
      </c>
      <c r="C1255" s="3">
        <f>3578/(60*60*24)</f>
        <v>4.1412037037037039E-2</v>
      </c>
      <c r="D1255" s="4">
        <f>1632/(60*60*24)</f>
        <v>1.8888888888888889E-2</v>
      </c>
      <c r="E1255" s="5">
        <f>5276/(60*60*24)</f>
        <v>6.1064814814814815E-2</v>
      </c>
      <c r="F1255" s="6">
        <f>17636/(60*60*24)</f>
        <v>0.20412037037037037</v>
      </c>
      <c r="G1255" s="7" t="s">
        <v>9</v>
      </c>
    </row>
    <row r="1256" spans="1:7" x14ac:dyDescent="0.45">
      <c r="A1256" t="s">
        <v>1351</v>
      </c>
      <c r="B1256" s="2" t="s">
        <v>54</v>
      </c>
      <c r="C1256" s="3">
        <f>4059/(60*60*24)</f>
        <v>4.6979166666666669E-2</v>
      </c>
      <c r="D1256" s="4">
        <f>1461/(60*60*24)</f>
        <v>1.6909722222222222E-2</v>
      </c>
      <c r="E1256" s="5">
        <f>5093/(60*60*24)</f>
        <v>5.8946759259259261E-2</v>
      </c>
      <c r="F1256" s="6">
        <f>17015/(60*60*24)</f>
        <v>0.19693287037037038</v>
      </c>
      <c r="G1256" s="7" t="s">
        <v>9</v>
      </c>
    </row>
    <row r="1257" spans="1:7" x14ac:dyDescent="0.45">
      <c r="A1257" t="s">
        <v>1352</v>
      </c>
      <c r="B1257" s="2" t="s">
        <v>56</v>
      </c>
      <c r="C1257" s="3">
        <f>4161/(60*60*24)</f>
        <v>4.8159722222222222E-2</v>
      </c>
      <c r="D1257" s="4">
        <f>1535/(60*60*24)</f>
        <v>1.7766203703703704E-2</v>
      </c>
      <c r="E1257" s="5">
        <f>4989/(60*60*24)</f>
        <v>5.7743055555555554E-2</v>
      </c>
      <c r="F1257" s="6">
        <f>16645/(60*60*24)</f>
        <v>0.19265046296296295</v>
      </c>
      <c r="G1257" s="7" t="s">
        <v>9</v>
      </c>
    </row>
    <row r="1258" spans="1:7" x14ac:dyDescent="0.45">
      <c r="A1258" t="s">
        <v>1353</v>
      </c>
      <c r="B1258" s="2" t="s">
        <v>58</v>
      </c>
      <c r="C1258" s="3">
        <f>3884/(60*60*24)</f>
        <v>4.4953703703703704E-2</v>
      </c>
      <c r="D1258" s="4">
        <f>1464/(60*60*24)</f>
        <v>1.6944444444444446E-2</v>
      </c>
      <c r="E1258" s="5">
        <f>4769/(60*60*24)</f>
        <v>5.5196759259259258E-2</v>
      </c>
      <c r="F1258" s="6">
        <f>15649/(60*60*24)</f>
        <v>0.18112268518518518</v>
      </c>
      <c r="G1258" s="7" t="s">
        <v>9</v>
      </c>
    </row>
    <row r="1259" spans="1:7" x14ac:dyDescent="0.45">
      <c r="A1259" t="s">
        <v>1354</v>
      </c>
      <c r="B1259" s="2" t="s">
        <v>60</v>
      </c>
      <c r="C1259" s="3">
        <f>3577/(60*60*24)</f>
        <v>4.1400462962962965E-2</v>
      </c>
      <c r="D1259" s="4">
        <f>1507/(60*60*24)</f>
        <v>1.744212962962963E-2</v>
      </c>
      <c r="E1259" s="5">
        <f>4655/(60*60*24)</f>
        <v>5.3877314814814815E-2</v>
      </c>
      <c r="F1259" s="6">
        <f>15253/(60*60*24)</f>
        <v>0.17653935185185185</v>
      </c>
      <c r="G1259" s="7" t="s">
        <v>9</v>
      </c>
    </row>
    <row r="1260" spans="1:7" x14ac:dyDescent="0.45">
      <c r="A1260" t="s">
        <v>1355</v>
      </c>
      <c r="B1260" s="2" t="s">
        <v>62</v>
      </c>
      <c r="C1260" s="3">
        <f>3561/(60*60*24)</f>
        <v>4.1215277777777781E-2</v>
      </c>
      <c r="D1260" s="4">
        <f>1395/(60*60*24)</f>
        <v>1.6145833333333335E-2</v>
      </c>
      <c r="E1260" s="5">
        <f>4242/(60*60*24)</f>
        <v>4.9097222222222223E-2</v>
      </c>
      <c r="F1260" s="6">
        <f>14589/(60*60*24)</f>
        <v>0.16885416666666667</v>
      </c>
      <c r="G1260" s="7" t="s">
        <v>9</v>
      </c>
    </row>
    <row r="1261" spans="1:7" x14ac:dyDescent="0.45">
      <c r="A1261" t="s">
        <v>1356</v>
      </c>
      <c r="B1261" s="2" t="s">
        <v>64</v>
      </c>
      <c r="C1261" s="3">
        <f>4014/(60*60*24)</f>
        <v>4.6458333333333331E-2</v>
      </c>
      <c r="D1261" s="4">
        <f>1291/(60*60*24)</f>
        <v>1.494212962962963E-2</v>
      </c>
      <c r="E1261" s="5">
        <f>4100/(60*60*24)</f>
        <v>4.7453703703703706E-2</v>
      </c>
      <c r="F1261" s="6">
        <f>13596/(60*60*24)</f>
        <v>0.15736111111111112</v>
      </c>
      <c r="G1261" s="7" t="s">
        <v>9</v>
      </c>
    </row>
    <row r="1262" spans="1:7" x14ac:dyDescent="0.45">
      <c r="A1262" t="s">
        <v>1357</v>
      </c>
      <c r="B1262" s="2" t="s">
        <v>66</v>
      </c>
      <c r="C1262" s="3">
        <f>3808/(60*60*24)</f>
        <v>4.4074074074074071E-2</v>
      </c>
      <c r="D1262" s="4">
        <f>1266/(60*60*24)</f>
        <v>1.4652777777777778E-2</v>
      </c>
      <c r="E1262" s="5">
        <f>4043/(60*60*24)</f>
        <v>4.6793981481481478E-2</v>
      </c>
      <c r="F1262" s="6">
        <f>13190/(60*60*24)</f>
        <v>0.15266203703703704</v>
      </c>
      <c r="G1262" s="7" t="s">
        <v>9</v>
      </c>
    </row>
    <row r="1263" spans="1:7" x14ac:dyDescent="0.45">
      <c r="A1263" t="s">
        <v>1358</v>
      </c>
      <c r="B1263" s="2" t="s">
        <v>68</v>
      </c>
      <c r="C1263" s="3">
        <f>3657/(60*60*24)</f>
        <v>4.2326388888888886E-2</v>
      </c>
      <c r="D1263" s="4">
        <f>1191/(60*60*24)</f>
        <v>1.3784722222222223E-2</v>
      </c>
      <c r="E1263" s="5">
        <f>3721/(60*60*24)</f>
        <v>4.3067129629629629E-2</v>
      </c>
      <c r="F1263" s="6">
        <f>12248/(60*60*24)</f>
        <v>0.14175925925925925</v>
      </c>
      <c r="G1263" s="7" t="s">
        <v>9</v>
      </c>
    </row>
    <row r="1264" spans="1:7" x14ac:dyDescent="0.45">
      <c r="A1264" t="s">
        <v>1359</v>
      </c>
      <c r="B1264" s="2" t="s">
        <v>70</v>
      </c>
      <c r="C1264" s="5">
        <f>3909/(60*60*24)</f>
        <v>4.5243055555555557E-2</v>
      </c>
      <c r="D1264" s="4">
        <f>1131/(60*60*24)</f>
        <v>1.3090277777777777E-2</v>
      </c>
      <c r="E1264" s="3">
        <f>3541/(60*60*24)</f>
        <v>4.0983796296296296E-2</v>
      </c>
      <c r="F1264" s="6">
        <f>11677/(60*60*24)</f>
        <v>0.13515046296296296</v>
      </c>
      <c r="G1264" s="7" t="s">
        <v>9</v>
      </c>
    </row>
    <row r="1265" spans="1:7" x14ac:dyDescent="0.45">
      <c r="A1265" t="s">
        <v>1360</v>
      </c>
      <c r="B1265" s="2" t="s">
        <v>72</v>
      </c>
      <c r="C1265" s="5">
        <f>3610/(60*60*24)</f>
        <v>4.1782407407407407E-2</v>
      </c>
      <c r="D1265" s="4">
        <f>1180/(60*60*24)</f>
        <v>1.3657407407407408E-2</v>
      </c>
      <c r="E1265" s="3">
        <f>3325/(60*60*24)</f>
        <v>3.8483796296296294E-2</v>
      </c>
      <c r="F1265" s="6">
        <f>11419/(60*60*24)</f>
        <v>0.13216435185185185</v>
      </c>
      <c r="G1265" s="7" t="s">
        <v>9</v>
      </c>
    </row>
    <row r="1266" spans="1:7" x14ac:dyDescent="0.45">
      <c r="A1266" t="s">
        <v>1361</v>
      </c>
      <c r="B1266" s="2" t="s">
        <v>74</v>
      </c>
      <c r="C1266" s="3">
        <f>3203/(60*60*24)</f>
        <v>3.7071759259259263E-2</v>
      </c>
      <c r="D1266" s="4">
        <f>1053/(60*60*24)</f>
        <v>1.21875E-2</v>
      </c>
      <c r="E1266" s="8" t="s">
        <v>12</v>
      </c>
      <c r="F1266" s="5">
        <f>10824/(60*60*24)</f>
        <v>0.12527777777777777</v>
      </c>
      <c r="G1266" s="7" t="s">
        <v>9</v>
      </c>
    </row>
    <row r="1267" spans="1:7" x14ac:dyDescent="0.45">
      <c r="A1267" t="s">
        <v>1362</v>
      </c>
      <c r="B1267" s="2" t="s">
        <v>76</v>
      </c>
      <c r="C1267" s="5">
        <f>3853/(60*60*24)</f>
        <v>4.4594907407407409E-2</v>
      </c>
      <c r="D1267" s="4">
        <f>1057/(60*60*24)</f>
        <v>1.2233796296296296E-2</v>
      </c>
      <c r="E1267" s="3">
        <f>2944/(60*60*24)</f>
        <v>3.4074074074074076E-2</v>
      </c>
      <c r="F1267" s="6">
        <f>9813/(60*60*24)</f>
        <v>0.11357638888888889</v>
      </c>
      <c r="G1267" s="7" t="s">
        <v>9</v>
      </c>
    </row>
    <row r="1268" spans="1:7" x14ac:dyDescent="0.45">
      <c r="A1268" t="s">
        <v>1363</v>
      </c>
      <c r="B1268" s="2" t="s">
        <v>78</v>
      </c>
      <c r="C1268" s="5">
        <f>3550/(60*60*24)</f>
        <v>4.1087962962962965E-2</v>
      </c>
      <c r="D1268" s="4">
        <f>1443/(60*60*24)</f>
        <v>1.6701388888888891E-2</v>
      </c>
      <c r="E1268" s="3">
        <f>2670/(60*60*24)</f>
        <v>3.0902777777777779E-2</v>
      </c>
      <c r="F1268" s="6">
        <f>8975/(60*60*24)</f>
        <v>0.10387731481481481</v>
      </c>
      <c r="G1268" s="7" t="s">
        <v>9</v>
      </c>
    </row>
    <row r="1269" spans="1:7" x14ac:dyDescent="0.45">
      <c r="A1269" t="s">
        <v>1364</v>
      </c>
      <c r="B1269" s="2" t="s">
        <v>80</v>
      </c>
      <c r="C1269" s="5">
        <f>3683/(60*60*24)</f>
        <v>4.2627314814814812E-2</v>
      </c>
      <c r="D1269" s="4">
        <f>1049/(60*60*24)</f>
        <v>1.2141203703703704E-2</v>
      </c>
      <c r="E1269" s="3">
        <f>2397/(60*60*24)</f>
        <v>2.7743055555555556E-2</v>
      </c>
      <c r="F1269" s="6">
        <f>8073/(60*60*24)</f>
        <v>9.3437500000000007E-2</v>
      </c>
      <c r="G1269" s="7" t="s">
        <v>9</v>
      </c>
    </row>
    <row r="1270" spans="1:7" x14ac:dyDescent="0.45">
      <c r="A1270" t="s">
        <v>1365</v>
      </c>
      <c r="B1270" s="2" t="s">
        <v>84</v>
      </c>
      <c r="C1270" s="5">
        <f>2976/(60*60*24)</f>
        <v>3.4444444444444444E-2</v>
      </c>
      <c r="D1270" s="4">
        <f>933/(60*60*24)</f>
        <v>1.0798611111111111E-2</v>
      </c>
      <c r="E1270" s="3">
        <f>2052/(60*60*24)</f>
        <v>2.375E-2</v>
      </c>
      <c r="F1270" s="6">
        <f>7218/(60*60*24)</f>
        <v>8.3541666666666667E-2</v>
      </c>
      <c r="G1270" s="7" t="s">
        <v>9</v>
      </c>
    </row>
    <row r="1271" spans="1:7" x14ac:dyDescent="0.45">
      <c r="A1271" t="s">
        <v>1366</v>
      </c>
      <c r="B1271" s="2" t="s">
        <v>82</v>
      </c>
      <c r="C1271" s="8" t="s">
        <v>12</v>
      </c>
      <c r="D1271" s="4">
        <f>1346/(60*60*24)</f>
        <v>1.5578703703703704E-2</v>
      </c>
      <c r="E1271" s="3">
        <f>2199/(60*60*24)</f>
        <v>2.5451388888888888E-2</v>
      </c>
      <c r="F1271" s="5">
        <f>7424/(60*60*24)</f>
        <v>8.5925925925925919E-2</v>
      </c>
      <c r="G1271" s="7" t="s">
        <v>9</v>
      </c>
    </row>
    <row r="1272" spans="1:7" x14ac:dyDescent="0.45">
      <c r="A1272" t="s">
        <v>1367</v>
      </c>
      <c r="B1272" s="2" t="s">
        <v>88</v>
      </c>
      <c r="C1272" s="8" t="s">
        <v>12</v>
      </c>
      <c r="D1272" s="4">
        <f>712/(60*60*24)</f>
        <v>8.2407407407407412E-3</v>
      </c>
      <c r="E1272" s="3">
        <f>1568/(60*60*24)</f>
        <v>1.8148148148148149E-2</v>
      </c>
      <c r="F1272" s="5">
        <f>6450/(60*60*24)</f>
        <v>7.4652777777777776E-2</v>
      </c>
      <c r="G1272" s="7" t="s">
        <v>9</v>
      </c>
    </row>
    <row r="1273" spans="1:7" x14ac:dyDescent="0.45">
      <c r="A1273" t="s">
        <v>1368</v>
      </c>
      <c r="B1273" s="2" t="s">
        <v>86</v>
      </c>
      <c r="C1273" s="8" t="s">
        <v>12</v>
      </c>
      <c r="D1273" s="4">
        <f>886/(60*60*24)</f>
        <v>1.0254629629629629E-2</v>
      </c>
      <c r="E1273" s="3">
        <f>1471/(60*60*24)</f>
        <v>1.7025462962962964E-2</v>
      </c>
      <c r="F1273" s="5">
        <f>4921/(60*60*24)</f>
        <v>5.6956018518518517E-2</v>
      </c>
      <c r="G1273" s="7" t="s">
        <v>9</v>
      </c>
    </row>
    <row r="1274" spans="1:7" x14ac:dyDescent="0.45">
      <c r="A1274" t="s">
        <v>1369</v>
      </c>
      <c r="B1274" s="2" t="s">
        <v>90</v>
      </c>
      <c r="C1274" s="5">
        <f>2118/(60*60*24)</f>
        <v>2.4513888888888891E-2</v>
      </c>
      <c r="D1274" s="4">
        <f>791/(60*60*24)</f>
        <v>9.1550925925925931E-3</v>
      </c>
      <c r="E1274" s="3">
        <f>1238/(60*60*24)</f>
        <v>1.4328703703703703E-2</v>
      </c>
      <c r="F1274" s="6">
        <f>4323/(60*60*24)</f>
        <v>5.0034722222222223E-2</v>
      </c>
      <c r="G1274" s="7" t="s">
        <v>9</v>
      </c>
    </row>
    <row r="1275" spans="1:7" x14ac:dyDescent="0.45">
      <c r="A1275" t="s">
        <v>1370</v>
      </c>
      <c r="B1275" s="2" t="s">
        <v>92</v>
      </c>
      <c r="C1275" s="5">
        <f>1749/(60*60*24)</f>
        <v>2.0243055555555556E-2</v>
      </c>
      <c r="D1275" s="4">
        <f>763/(60*60*24)</f>
        <v>8.8310185185185193E-3</v>
      </c>
      <c r="E1275" s="3">
        <f>1084/(60*60*24)</f>
        <v>1.2546296296296297E-2</v>
      </c>
      <c r="F1275" s="6">
        <f>3637/(60*60*24)</f>
        <v>4.2094907407407407E-2</v>
      </c>
      <c r="G1275" s="7" t="s">
        <v>9</v>
      </c>
    </row>
    <row r="1276" spans="1:7" x14ac:dyDescent="0.45">
      <c r="A1276" t="s">
        <v>1371</v>
      </c>
      <c r="B1276" s="2" t="s">
        <v>94</v>
      </c>
      <c r="C1276" s="5">
        <f>1359/(60*60*24)</f>
        <v>1.5729166666666666E-2</v>
      </c>
      <c r="D1276" s="4">
        <f>715/(60*60*24)</f>
        <v>8.2754629629629636E-3</v>
      </c>
      <c r="E1276" s="3">
        <f>830/(60*60*24)</f>
        <v>9.6064814814814815E-3</v>
      </c>
      <c r="F1276" s="6">
        <f>2866/(60*60*24)</f>
        <v>3.3171296296296296E-2</v>
      </c>
      <c r="G1276" s="7" t="s">
        <v>9</v>
      </c>
    </row>
    <row r="1277" spans="1:7" x14ac:dyDescent="0.45">
      <c r="A1277" t="s">
        <v>1372</v>
      </c>
      <c r="B1277" s="2" t="s">
        <v>96</v>
      </c>
      <c r="C1277" s="8" t="s">
        <v>12</v>
      </c>
      <c r="D1277" s="4">
        <f>333/(60*60*24)</f>
        <v>3.8541666666666668E-3</v>
      </c>
      <c r="E1277" s="3">
        <f>753/(60*60*24)</f>
        <v>8.7152777777777784E-3</v>
      </c>
      <c r="F1277" s="5">
        <f>2210/(60*60*24)</f>
        <v>2.5578703703703704E-2</v>
      </c>
      <c r="G1277" s="7" t="s">
        <v>9</v>
      </c>
    </row>
    <row r="1278" spans="1:7" x14ac:dyDescent="0.45">
      <c r="A1278" t="s">
        <v>1373</v>
      </c>
      <c r="B1278" s="2" t="s">
        <v>98</v>
      </c>
      <c r="C1278" s="5">
        <f>709/(60*60*24)</f>
        <v>8.2060185185185187E-3</v>
      </c>
      <c r="D1278" s="4">
        <f>381/(60*60*24)</f>
        <v>4.409722222222222E-3</v>
      </c>
      <c r="E1278" s="3">
        <f>438/(60*60*24)</f>
        <v>5.0694444444444441E-3</v>
      </c>
      <c r="F1278" s="6">
        <f>1419/(60*60*24)</f>
        <v>1.6423611111111111E-2</v>
      </c>
      <c r="G1278" s="7" t="s">
        <v>9</v>
      </c>
    </row>
    <row r="1279" spans="1:7" x14ac:dyDescent="0.45">
      <c r="A1279" t="s">
        <v>1374</v>
      </c>
      <c r="B1279" s="2" t="s">
        <v>100</v>
      </c>
      <c r="C1279" s="5">
        <f>342/(60*60*24)</f>
        <v>3.9583333333333337E-3</v>
      </c>
      <c r="D1279" s="4">
        <f>235/(60*60*24)</f>
        <v>2.7199074074074074E-3</v>
      </c>
      <c r="E1279" s="3">
        <f>294/(60*60*24)</f>
        <v>3.4027777777777776E-3</v>
      </c>
      <c r="F1279" s="6">
        <f>1087/(60*60*24)</f>
        <v>1.2581018518518519E-2</v>
      </c>
      <c r="G1279" s="7" t="s">
        <v>9</v>
      </c>
    </row>
    <row r="1280" spans="1:7" x14ac:dyDescent="0.45">
      <c r="A1280" t="s">
        <v>1375</v>
      </c>
      <c r="B1280" s="2" t="s">
        <v>104</v>
      </c>
      <c r="C1280" s="5">
        <f>1254/(60*60*24)</f>
        <v>1.4513888888888889E-2</v>
      </c>
      <c r="D1280" s="4">
        <f>308/(60*60*24)</f>
        <v>3.5648148148148149E-3</v>
      </c>
      <c r="E1280" s="3">
        <f>407/(60*60*24)</f>
        <v>4.7106481481481478E-3</v>
      </c>
      <c r="F1280" s="6">
        <f>1314/(60*60*24)</f>
        <v>1.5208333333333334E-2</v>
      </c>
      <c r="G1280" s="7" t="s">
        <v>9</v>
      </c>
    </row>
    <row r="1281" spans="1:7" x14ac:dyDescent="0.45">
      <c r="A1281" t="s">
        <v>1376</v>
      </c>
      <c r="B1281" s="2" t="s">
        <v>102</v>
      </c>
      <c r="C1281" s="6">
        <f>2988/(60*60*24)</f>
        <v>3.4583333333333334E-2</v>
      </c>
      <c r="D1281" s="4">
        <f>384/(60*60*24)</f>
        <v>4.4444444444444444E-3</v>
      </c>
      <c r="E1281" s="3">
        <f>744/(60*60*24)</f>
        <v>8.611111111111111E-3</v>
      </c>
      <c r="F1281" s="5">
        <f>1731/(60*60*24)</f>
        <v>2.0034722222222221E-2</v>
      </c>
      <c r="G1281" s="7" t="s">
        <v>9</v>
      </c>
    </row>
    <row r="1282" spans="1:7" x14ac:dyDescent="0.45">
      <c r="A1282" t="s">
        <v>1377</v>
      </c>
      <c r="B1282" s="2" t="s">
        <v>106</v>
      </c>
      <c r="C1282" s="5">
        <f>1601/(60*60*24)</f>
        <v>1.8530092592592591E-2</v>
      </c>
      <c r="D1282" s="4">
        <f>532/(60*60*24)</f>
        <v>6.1574074074074074E-3</v>
      </c>
      <c r="E1282" s="3">
        <f>898/(60*60*24)</f>
        <v>1.0393518518518519E-2</v>
      </c>
      <c r="F1282" s="6">
        <f>2198/(60*60*24)</f>
        <v>2.5439814814814814E-2</v>
      </c>
      <c r="G1282" s="7" t="s">
        <v>9</v>
      </c>
    </row>
    <row r="1283" spans="1:7" x14ac:dyDescent="0.45">
      <c r="A1283" t="s">
        <v>1378</v>
      </c>
      <c r="B1283" s="2" t="s">
        <v>108</v>
      </c>
      <c r="C1283" s="5">
        <f>1444/(60*60*24)</f>
        <v>1.6712962962962964E-2</v>
      </c>
      <c r="D1283" s="4">
        <f>707/(60*60*24)</f>
        <v>8.1828703703703699E-3</v>
      </c>
      <c r="E1283" s="3">
        <f>1013/(60*60*24)</f>
        <v>1.1724537037037037E-2</v>
      </c>
      <c r="F1283" s="6">
        <f>2858/(60*60*24)</f>
        <v>3.30787037037037E-2</v>
      </c>
      <c r="G1283" s="7" t="s">
        <v>9</v>
      </c>
    </row>
    <row r="1284" spans="1:7" x14ac:dyDescent="0.45">
      <c r="A1284" t="s">
        <v>1379</v>
      </c>
      <c r="B1284" s="2" t="s">
        <v>110</v>
      </c>
      <c r="C1284" s="5">
        <f>1390/(60*60*24)</f>
        <v>1.6087962962962964E-2</v>
      </c>
      <c r="D1284" s="4">
        <f>704/(60*60*24)</f>
        <v>8.1481481481481474E-3</v>
      </c>
      <c r="E1284" s="3">
        <f>1121/(60*60*24)</f>
        <v>1.2974537037037038E-2</v>
      </c>
      <c r="F1284" s="6">
        <f>3571/(60*60*24)</f>
        <v>4.1331018518518517E-2</v>
      </c>
      <c r="G1284" s="7" t="s">
        <v>9</v>
      </c>
    </row>
    <row r="1285" spans="1:7" x14ac:dyDescent="0.45">
      <c r="A1285" t="s">
        <v>1380</v>
      </c>
      <c r="B1285" s="2" t="s">
        <v>112</v>
      </c>
      <c r="C1285" s="5">
        <f>2228/(60*60*24)</f>
        <v>2.5787037037037035E-2</v>
      </c>
      <c r="D1285" s="4">
        <f>756/(60*60*24)</f>
        <v>8.7500000000000008E-3</v>
      </c>
      <c r="E1285" s="3">
        <f>1286/(60*60*24)</f>
        <v>1.4884259259259259E-2</v>
      </c>
      <c r="F1285" s="6">
        <f>4354/(60*60*24)</f>
        <v>5.0393518518518518E-2</v>
      </c>
      <c r="G1285" s="7" t="s">
        <v>9</v>
      </c>
    </row>
    <row r="1286" spans="1:7" x14ac:dyDescent="0.45">
      <c r="A1286" t="s">
        <v>1381</v>
      </c>
      <c r="B1286" s="2" t="s">
        <v>114</v>
      </c>
      <c r="C1286" s="8" t="s">
        <v>12</v>
      </c>
      <c r="D1286" s="3">
        <f>1466/(60*60*24)</f>
        <v>1.6967592592592593E-2</v>
      </c>
      <c r="E1286" s="4">
        <f>1430/(60*60*24)</f>
        <v>1.6550925925925927E-2</v>
      </c>
      <c r="F1286" s="5">
        <f>5450/(60*60*24)</f>
        <v>6.3078703703703706E-2</v>
      </c>
      <c r="G1286" s="7" t="s">
        <v>9</v>
      </c>
    </row>
    <row r="1287" spans="1:7" x14ac:dyDescent="0.45">
      <c r="A1287" t="s">
        <v>1382</v>
      </c>
      <c r="B1287" s="2" t="s">
        <v>116</v>
      </c>
      <c r="C1287" s="8" t="s">
        <v>12</v>
      </c>
      <c r="D1287" s="4">
        <f>949/(60*60*24)</f>
        <v>1.0983796296296297E-2</v>
      </c>
      <c r="E1287" s="3">
        <f>1693/(60*60*24)</f>
        <v>1.9594907407407408E-2</v>
      </c>
      <c r="F1287" s="5">
        <f>5879/(60*60*24)</f>
        <v>6.8043981481481483E-2</v>
      </c>
      <c r="G1287" s="7" t="s">
        <v>9</v>
      </c>
    </row>
    <row r="1288" spans="1:7" x14ac:dyDescent="0.45">
      <c r="A1288" t="s">
        <v>1383</v>
      </c>
      <c r="B1288" s="2" t="s">
        <v>120</v>
      </c>
      <c r="C1288" s="5">
        <f>3161/(60*60*24)</f>
        <v>3.6585648148148145E-2</v>
      </c>
      <c r="D1288" s="4">
        <f>1170/(60*60*24)</f>
        <v>1.3541666666666667E-2</v>
      </c>
      <c r="E1288" s="3">
        <f>2632/(60*60*24)</f>
        <v>3.0462962962962963E-2</v>
      </c>
      <c r="F1288" s="6">
        <f>8305/(60*60*24)</f>
        <v>9.6122685185185186E-2</v>
      </c>
      <c r="G1288" s="7" t="s">
        <v>9</v>
      </c>
    </row>
    <row r="1289" spans="1:7" x14ac:dyDescent="0.45">
      <c r="A1289" t="s">
        <v>1384</v>
      </c>
      <c r="B1289" s="2" t="s">
        <v>118</v>
      </c>
      <c r="C1289" s="8" t="s">
        <v>12</v>
      </c>
      <c r="D1289" s="4">
        <f>1077/(60*60*24)</f>
        <v>1.2465277777777778E-2</v>
      </c>
      <c r="E1289" s="3">
        <f>2278/(60*60*24)</f>
        <v>2.6365740740740742E-2</v>
      </c>
      <c r="F1289" s="5">
        <f>6732/(60*60*24)</f>
        <v>7.7916666666666662E-2</v>
      </c>
      <c r="G1289" s="7" t="s">
        <v>9</v>
      </c>
    </row>
    <row r="1290" spans="1:7" x14ac:dyDescent="0.45">
      <c r="A1290" t="s">
        <v>1385</v>
      </c>
      <c r="B1290" s="2" t="s">
        <v>124</v>
      </c>
      <c r="C1290" s="3">
        <f>2612/(60*60*24)</f>
        <v>3.0231481481481481E-2</v>
      </c>
      <c r="D1290" s="4">
        <f>1054/(60*60*24)</f>
        <v>1.2199074074074074E-2</v>
      </c>
      <c r="E1290" s="5">
        <f>2716/(60*60*24)</f>
        <v>3.1435185185185184E-2</v>
      </c>
      <c r="F1290" s="6">
        <f>8797/(60*60*24)</f>
        <v>0.10181712962962963</v>
      </c>
      <c r="G1290" s="7" t="s">
        <v>9</v>
      </c>
    </row>
    <row r="1291" spans="1:7" x14ac:dyDescent="0.45">
      <c r="A1291" t="s">
        <v>1386</v>
      </c>
      <c r="B1291" s="2" t="s">
        <v>122</v>
      </c>
      <c r="C1291" s="8" t="s">
        <v>12</v>
      </c>
      <c r="D1291" s="4">
        <f>1194/(60*60*24)</f>
        <v>1.3819444444444445E-2</v>
      </c>
      <c r="E1291" s="3">
        <f>2991/(60*60*24)</f>
        <v>3.4618055555555555E-2</v>
      </c>
      <c r="F1291" s="5">
        <f>9463/(60*60*24)</f>
        <v>0.10952546296296296</v>
      </c>
      <c r="G1291" s="7" t="s">
        <v>9</v>
      </c>
    </row>
    <row r="1292" spans="1:7" x14ac:dyDescent="0.45">
      <c r="A1292" t="s">
        <v>1387</v>
      </c>
      <c r="B1292" s="2" t="s">
        <v>126</v>
      </c>
      <c r="C1292" s="5">
        <f>3510/(60*60*24)</f>
        <v>4.0625000000000001E-2</v>
      </c>
      <c r="D1292" s="4">
        <f>1253/(60*60*24)</f>
        <v>1.4502314814814815E-2</v>
      </c>
      <c r="E1292" s="3">
        <f>2981/(60*60*24)</f>
        <v>3.4502314814814812E-2</v>
      </c>
      <c r="F1292" s="6">
        <f>10219/(60*60*24)</f>
        <v>0.11827546296296296</v>
      </c>
      <c r="G1292" s="7" t="s">
        <v>9</v>
      </c>
    </row>
    <row r="1293" spans="1:7" x14ac:dyDescent="0.45">
      <c r="A1293" t="s">
        <v>1388</v>
      </c>
      <c r="B1293" s="2" t="s">
        <v>128</v>
      </c>
      <c r="C1293" s="5">
        <f>3450/(60*60*24)</f>
        <v>3.9930555555555552E-2</v>
      </c>
      <c r="D1293" s="4">
        <f>1213/(60*60*24)</f>
        <v>1.4039351851851851E-2</v>
      </c>
      <c r="E1293" s="3">
        <f>2957/(60*60*24)</f>
        <v>3.4224537037037039E-2</v>
      </c>
      <c r="F1293" s="6">
        <f>10982/(60*60*24)</f>
        <v>0.12710648148148149</v>
      </c>
      <c r="G1293" s="7" t="s">
        <v>9</v>
      </c>
    </row>
    <row r="1294" spans="1:7" x14ac:dyDescent="0.45">
      <c r="A1294" t="s">
        <v>1389</v>
      </c>
      <c r="B1294" s="2" t="s">
        <v>130</v>
      </c>
      <c r="C1294" s="8" t="s">
        <v>12</v>
      </c>
      <c r="D1294" s="4">
        <f>1217/(60*60*24)</f>
        <v>1.4085648148148147E-2</v>
      </c>
      <c r="E1294" s="3">
        <f>3092/(60*60*24)</f>
        <v>3.5787037037037034E-2</v>
      </c>
      <c r="F1294" s="5">
        <f>11453/(60*60*24)</f>
        <v>0.13255787037037037</v>
      </c>
      <c r="G1294" s="7" t="s">
        <v>9</v>
      </c>
    </row>
    <row r="1295" spans="1:7" x14ac:dyDescent="0.45">
      <c r="A1295" t="s">
        <v>1390</v>
      </c>
      <c r="B1295" s="2" t="s">
        <v>132</v>
      </c>
      <c r="C1295" s="8" t="s">
        <v>12</v>
      </c>
      <c r="D1295" s="4">
        <f>1270/(60*60*24)</f>
        <v>1.4699074074074074E-2</v>
      </c>
      <c r="E1295" s="3">
        <f>3417/(60*60*24)</f>
        <v>3.9548611111111111E-2</v>
      </c>
      <c r="F1295" s="5">
        <f>12541/(60*60*24)</f>
        <v>0.14515046296296297</v>
      </c>
      <c r="G1295" s="7" t="s">
        <v>9</v>
      </c>
    </row>
    <row r="1296" spans="1:7" x14ac:dyDescent="0.45">
      <c r="A1296" t="s">
        <v>1391</v>
      </c>
      <c r="B1296" s="2" t="s">
        <v>136</v>
      </c>
      <c r="C1296" s="5">
        <f>3843/(60*60*24)</f>
        <v>4.4479166666666667E-2</v>
      </c>
      <c r="D1296" s="4">
        <f>1290/(60*60*24)</f>
        <v>1.4930555555555556E-2</v>
      </c>
      <c r="E1296" s="3">
        <f>3573/(60*60*24)</f>
        <v>4.1354166666666664E-2</v>
      </c>
      <c r="F1296" s="6">
        <f>13143/(60*60*24)</f>
        <v>0.15211805555555555</v>
      </c>
      <c r="G1296" s="7" t="s">
        <v>9</v>
      </c>
    </row>
    <row r="1297" spans="1:7" x14ac:dyDescent="0.45">
      <c r="A1297" t="s">
        <v>1392</v>
      </c>
      <c r="B1297" s="2" t="s">
        <v>134</v>
      </c>
      <c r="C1297" s="3">
        <f>3321/(60*60*24)</f>
        <v>3.8437499999999999E-2</v>
      </c>
      <c r="D1297" s="4">
        <f>1328/(60*60*24)</f>
        <v>1.5370370370370371E-2</v>
      </c>
      <c r="E1297" s="5">
        <f>3610/(60*60*24)</f>
        <v>4.1782407407407407E-2</v>
      </c>
      <c r="F1297" s="6">
        <f>13420/(60*60*24)</f>
        <v>0.15532407407407409</v>
      </c>
      <c r="G1297" s="7" t="s">
        <v>9</v>
      </c>
    </row>
    <row r="1298" spans="1:7" x14ac:dyDescent="0.45">
      <c r="A1298" t="s">
        <v>1393</v>
      </c>
      <c r="B1298" s="2" t="s">
        <v>138</v>
      </c>
      <c r="C1298" s="3">
        <f>3771/(60*60*24)</f>
        <v>4.3645833333333335E-2</v>
      </c>
      <c r="D1298" s="4">
        <f>1474/(60*60*24)</f>
        <v>1.7060185185185185E-2</v>
      </c>
      <c r="E1298" s="5">
        <f>3974/(60*60*24)</f>
        <v>4.5995370370370367E-2</v>
      </c>
      <c r="F1298" s="6">
        <f>14834/(60*60*24)</f>
        <v>0.17168981481481482</v>
      </c>
      <c r="G1298" s="7" t="s">
        <v>9</v>
      </c>
    </row>
    <row r="1299" spans="1:7" x14ac:dyDescent="0.45">
      <c r="A1299" t="s">
        <v>1394</v>
      </c>
      <c r="B1299" s="2" t="s">
        <v>140</v>
      </c>
      <c r="C1299" s="3">
        <f>3930/(60*60*24)</f>
        <v>4.5486111111111109E-2</v>
      </c>
      <c r="D1299" s="4">
        <f>1478/(60*60*24)</f>
        <v>1.7106481481481483E-2</v>
      </c>
      <c r="E1299" s="5">
        <f>4025/(60*60*24)</f>
        <v>4.6585648148148147E-2</v>
      </c>
      <c r="F1299" s="6">
        <f>15428/(60*60*24)</f>
        <v>0.17856481481481482</v>
      </c>
      <c r="G1299" s="7" t="s">
        <v>9</v>
      </c>
    </row>
    <row r="1300" spans="1:7" x14ac:dyDescent="0.45">
      <c r="A1300" t="s">
        <v>1395</v>
      </c>
      <c r="B1300" s="2" t="s">
        <v>142</v>
      </c>
      <c r="C1300" s="3">
        <f>4102/(60*60*24)</f>
        <v>4.7476851851851853E-2</v>
      </c>
      <c r="D1300" s="4">
        <f>1583/(60*60*24)</f>
        <v>1.832175925925926E-2</v>
      </c>
      <c r="E1300" s="5">
        <f>4362/(60*60*24)</f>
        <v>5.0486111111111114E-2</v>
      </c>
      <c r="F1300" s="6">
        <f>16028/(60*60*24)</f>
        <v>0.18550925925925926</v>
      </c>
      <c r="G1300" s="7" t="s">
        <v>9</v>
      </c>
    </row>
    <row r="1301" spans="1:7" x14ac:dyDescent="0.45">
      <c r="A1301" t="s">
        <v>1396</v>
      </c>
      <c r="B1301" s="2" t="s">
        <v>144</v>
      </c>
      <c r="C1301" s="8" t="s">
        <v>12</v>
      </c>
      <c r="D1301" s="4">
        <f>1637/(60*60*24)</f>
        <v>1.894675925925926E-2</v>
      </c>
      <c r="E1301" s="3">
        <f>4486/(60*60*24)</f>
        <v>5.1921296296296299E-2</v>
      </c>
      <c r="F1301" s="5">
        <f>16712/(60*60*24)</f>
        <v>0.19342592592592592</v>
      </c>
      <c r="G1301" s="7" t="s">
        <v>9</v>
      </c>
    </row>
    <row r="1302" spans="1:7" x14ac:dyDescent="0.45">
      <c r="A1302" t="s">
        <v>1397</v>
      </c>
      <c r="B1302" s="2" t="s">
        <v>148</v>
      </c>
      <c r="C1302" s="3">
        <f>4898/(60*60*24)</f>
        <v>5.6689814814814818E-2</v>
      </c>
      <c r="D1302" s="4">
        <f>1800/(60*60*24)</f>
        <v>2.0833333333333332E-2</v>
      </c>
      <c r="E1302" s="5">
        <f>4946/(60*60*24)</f>
        <v>5.724537037037037E-2</v>
      </c>
      <c r="F1302" s="6">
        <f>18498/(60*60*24)</f>
        <v>0.21409722222222222</v>
      </c>
      <c r="G1302" s="7" t="s">
        <v>9</v>
      </c>
    </row>
    <row r="1303" spans="1:7" x14ac:dyDescent="0.45">
      <c r="A1303" t="s">
        <v>1398</v>
      </c>
      <c r="B1303" s="2" t="s">
        <v>146</v>
      </c>
      <c r="C1303" s="8" t="s">
        <v>12</v>
      </c>
      <c r="D1303" s="4">
        <f>1647/(60*60*24)</f>
        <v>1.90625E-2</v>
      </c>
      <c r="E1303" s="3">
        <f>4667/(60*60*24)</f>
        <v>5.4016203703703705E-2</v>
      </c>
      <c r="F1303" s="5">
        <f>17571/(60*60*24)</f>
        <v>0.20336805555555557</v>
      </c>
      <c r="G1303" s="7" t="s">
        <v>9</v>
      </c>
    </row>
    <row r="1304" spans="1:7" x14ac:dyDescent="0.45">
      <c r="A1304" t="s">
        <v>1399</v>
      </c>
      <c r="B1304" s="2" t="s">
        <v>150</v>
      </c>
      <c r="C1304" s="8" t="s">
        <v>12</v>
      </c>
      <c r="D1304" s="4">
        <f>1821/(60*60*24)</f>
        <v>2.1076388888888888E-2</v>
      </c>
      <c r="E1304" s="3">
        <f>5146/(60*60*24)</f>
        <v>5.9560185185185188E-2</v>
      </c>
      <c r="F1304" s="5">
        <f>19292/(60*60*24)</f>
        <v>0.22328703703703703</v>
      </c>
      <c r="G1304" s="7" t="s">
        <v>9</v>
      </c>
    </row>
    <row r="1305" spans="1:7" x14ac:dyDescent="0.45">
      <c r="A1305" t="s">
        <v>1400</v>
      </c>
      <c r="B1305" s="2" t="s">
        <v>152</v>
      </c>
      <c r="C1305" s="8" t="s">
        <v>12</v>
      </c>
      <c r="D1305" s="4">
        <f>1843/(60*60*24)</f>
        <v>2.133101851851852E-2</v>
      </c>
      <c r="E1305" s="3">
        <f>5327/(60*60*24)</f>
        <v>6.1655092592592595E-2</v>
      </c>
      <c r="F1305" s="5">
        <f>20005/(60*60*24)</f>
        <v>0.23153935185185184</v>
      </c>
      <c r="G1305" s="7" t="s">
        <v>9</v>
      </c>
    </row>
    <row r="1306" spans="1:7" x14ac:dyDescent="0.45">
      <c r="A1306" t="s">
        <v>1401</v>
      </c>
      <c r="B1306" s="2" t="s">
        <v>154</v>
      </c>
      <c r="C1306" s="8" t="s">
        <v>12</v>
      </c>
      <c r="D1306" s="4">
        <f>1870/(60*60*24)</f>
        <v>2.1643518518518517E-2</v>
      </c>
      <c r="E1306" s="3">
        <f>5487/(60*60*24)</f>
        <v>6.3506944444444449E-2</v>
      </c>
      <c r="F1306" s="5">
        <f>20892/(60*60*24)</f>
        <v>0.24180555555555555</v>
      </c>
      <c r="G1306" s="7" t="s">
        <v>9</v>
      </c>
    </row>
    <row r="1307" spans="1:7" x14ac:dyDescent="0.45">
      <c r="A1307" t="s">
        <v>1402</v>
      </c>
      <c r="B1307" s="2" t="s">
        <v>156</v>
      </c>
      <c r="C1307" s="8" t="s">
        <v>12</v>
      </c>
      <c r="D1307" s="4">
        <f>1959/(60*60*24)</f>
        <v>2.267361111111111E-2</v>
      </c>
      <c r="E1307" s="3">
        <f>5983/(60*60*24)</f>
        <v>6.924768518518519E-2</v>
      </c>
      <c r="F1307" s="5">
        <f>21317/(60*60*24)</f>
        <v>0.24672453703703703</v>
      </c>
      <c r="G1307" s="7" t="s">
        <v>9</v>
      </c>
    </row>
    <row r="1308" spans="1:7" x14ac:dyDescent="0.45">
      <c r="A1308" t="s">
        <v>1403</v>
      </c>
      <c r="B1308" s="2" t="s">
        <v>160</v>
      </c>
      <c r="C1308" s="8" t="s">
        <v>12</v>
      </c>
      <c r="D1308" s="4">
        <f>2059/(60*60*24)</f>
        <v>2.3831018518518519E-2</v>
      </c>
      <c r="E1308" s="3">
        <f>5955/(60*60*24)</f>
        <v>6.8923611111111116E-2</v>
      </c>
      <c r="F1308" s="5">
        <f>22516/(60*60*24)</f>
        <v>0.26060185185185186</v>
      </c>
      <c r="G1308" s="7" t="s">
        <v>9</v>
      </c>
    </row>
    <row r="1309" spans="1:7" x14ac:dyDescent="0.45">
      <c r="A1309" t="s">
        <v>1404</v>
      </c>
      <c r="B1309" s="2" t="s">
        <v>158</v>
      </c>
      <c r="C1309" s="8" t="s">
        <v>12</v>
      </c>
      <c r="D1309" s="4">
        <f>2034/(60*60*24)</f>
        <v>2.3541666666666666E-2</v>
      </c>
      <c r="E1309" s="3">
        <f>6436/(60*60*24)</f>
        <v>7.4490740740740746E-2</v>
      </c>
      <c r="F1309" s="5">
        <f>23019/(60*60*24)</f>
        <v>0.26642361111111112</v>
      </c>
      <c r="G1309" s="7" t="s">
        <v>9</v>
      </c>
    </row>
    <row r="1310" spans="1:7" x14ac:dyDescent="0.45">
      <c r="A1310" t="s">
        <v>1405</v>
      </c>
      <c r="B1310" s="2" t="s">
        <v>164</v>
      </c>
      <c r="C1310" s="5">
        <f>7027/(60*60*24)</f>
        <v>8.1331018518518525E-2</v>
      </c>
      <c r="D1310" s="4">
        <f>2137/(60*60*24)</f>
        <v>2.4733796296296295E-2</v>
      </c>
      <c r="E1310" s="3">
        <f>6864/(60*60*24)</f>
        <v>7.9444444444444443E-2</v>
      </c>
      <c r="F1310" s="6">
        <f>24680/(60*60*24)</f>
        <v>0.28564814814814815</v>
      </c>
      <c r="G1310" s="7" t="s">
        <v>9</v>
      </c>
    </row>
    <row r="1311" spans="1:7" x14ac:dyDescent="0.45">
      <c r="A1311" t="s">
        <v>1406</v>
      </c>
      <c r="B1311" s="2" t="s">
        <v>162</v>
      </c>
      <c r="C1311" s="8" t="s">
        <v>12</v>
      </c>
      <c r="D1311" s="4">
        <f>2355/(60*60*24)</f>
        <v>2.7256944444444445E-2</v>
      </c>
      <c r="E1311" s="3">
        <f>7000/(60*60*24)</f>
        <v>8.1018518518518517E-2</v>
      </c>
      <c r="F1311" s="5">
        <f>24087/(60*60*24)</f>
        <v>0.27878472222222223</v>
      </c>
      <c r="G1311" s="7" t="s">
        <v>9</v>
      </c>
    </row>
    <row r="1312" spans="1:7" x14ac:dyDescent="0.45">
      <c r="A1312" t="s">
        <v>1407</v>
      </c>
      <c r="B1312" s="2" t="s">
        <v>168</v>
      </c>
      <c r="C1312" s="3">
        <f>6490/(60*60*24)</f>
        <v>7.5115740740740747E-2</v>
      </c>
      <c r="D1312" s="4">
        <f>2194/(60*60*24)</f>
        <v>2.539351851851852E-2</v>
      </c>
      <c r="E1312" s="5">
        <f>7019/(60*60*24)</f>
        <v>8.1238425925925922E-2</v>
      </c>
      <c r="F1312" s="6">
        <f>25129/(60*60*24)</f>
        <v>0.29084490740740743</v>
      </c>
      <c r="G1312" s="7" t="s">
        <v>9</v>
      </c>
    </row>
    <row r="1313" spans="1:7" x14ac:dyDescent="0.45">
      <c r="A1313" t="s">
        <v>1408</v>
      </c>
      <c r="B1313" s="2" t="s">
        <v>166</v>
      </c>
      <c r="C1313" s="3">
        <f>6621/(60*60*24)</f>
        <v>7.6631944444444447E-2</v>
      </c>
      <c r="D1313" s="4">
        <f>2283/(60*60*24)</f>
        <v>2.642361111111111E-2</v>
      </c>
      <c r="E1313" s="5">
        <f>7434/(60*60*24)</f>
        <v>8.6041666666666669E-2</v>
      </c>
      <c r="F1313" s="6">
        <f>26273/(60*60*24)</f>
        <v>0.30408564814814815</v>
      </c>
      <c r="G1313" s="7" t="s">
        <v>9</v>
      </c>
    </row>
    <row r="1314" spans="1:7" x14ac:dyDescent="0.45">
      <c r="A1314" t="s">
        <v>1409</v>
      </c>
      <c r="B1314" s="2" t="s">
        <v>170</v>
      </c>
      <c r="C1314" s="3">
        <f>6924/(60*60*24)</f>
        <v>8.0138888888888885E-2</v>
      </c>
      <c r="D1314" s="4">
        <f>2123/(60*60*24)</f>
        <v>2.4571759259259258E-2</v>
      </c>
      <c r="E1314" s="5">
        <f>7464/(60*60*24)</f>
        <v>8.638888888888889E-2</v>
      </c>
      <c r="F1314" s="6">
        <f>26628/(60*60*24)</f>
        <v>0.30819444444444444</v>
      </c>
      <c r="G1314" s="7" t="s">
        <v>9</v>
      </c>
    </row>
    <row r="1315" spans="1:7" x14ac:dyDescent="0.45">
      <c r="A1315" t="s">
        <v>1410</v>
      </c>
      <c r="B1315" s="2" t="s">
        <v>172</v>
      </c>
      <c r="C1315" s="5">
        <f>9442/(60*60*24)</f>
        <v>0.10928240740740741</v>
      </c>
      <c r="D1315" s="4">
        <f>2325/(60*60*24)</f>
        <v>2.6909722222222224E-2</v>
      </c>
      <c r="E1315" s="3">
        <f>7944/(60*60*24)</f>
        <v>9.194444444444444E-2</v>
      </c>
      <c r="F1315" s="6">
        <f>27771/(60*60*24)</f>
        <v>0.32142361111111112</v>
      </c>
      <c r="G1315" s="7" t="s">
        <v>9</v>
      </c>
    </row>
    <row r="1316" spans="1:7" x14ac:dyDescent="0.45">
      <c r="A1316" t="s">
        <v>1411</v>
      </c>
      <c r="B1316" s="2" t="s">
        <v>176</v>
      </c>
      <c r="C1316" s="5">
        <f>9159/(60*60*24)</f>
        <v>0.10600694444444445</v>
      </c>
      <c r="D1316" s="4">
        <f>2397/(60*60*24)</f>
        <v>2.7743055555555556E-2</v>
      </c>
      <c r="E1316" s="3">
        <f>7830/(60*60*24)</f>
        <v>9.0624999999999997E-2</v>
      </c>
      <c r="F1316" s="6">
        <f>27795/(60*60*24)</f>
        <v>0.32170138888888888</v>
      </c>
      <c r="G1316" s="7" t="s">
        <v>9</v>
      </c>
    </row>
    <row r="1317" spans="1:7" x14ac:dyDescent="0.45">
      <c r="A1317" t="s">
        <v>1412</v>
      </c>
      <c r="B1317" s="2" t="s">
        <v>174</v>
      </c>
      <c r="C1317" s="3">
        <f>6175/(60*60*24)</f>
        <v>7.1469907407407413E-2</v>
      </c>
      <c r="D1317" s="4">
        <f>2477/(60*60*24)</f>
        <v>2.8668981481481483E-2</v>
      </c>
      <c r="E1317" s="5">
        <f>7946/(60*60*24)</f>
        <v>9.1967592592592587E-2</v>
      </c>
      <c r="F1317" s="6">
        <f>28219/(60*60*24)</f>
        <v>0.3266087962962963</v>
      </c>
      <c r="G1317" s="7" t="s">
        <v>9</v>
      </c>
    </row>
    <row r="1318" spans="1:7" x14ac:dyDescent="0.45">
      <c r="A1318" t="s">
        <v>1413</v>
      </c>
      <c r="B1318" s="2" t="s">
        <v>180</v>
      </c>
      <c r="C1318" s="3">
        <f>6226/(60*60*24)</f>
        <v>7.2060185185185185E-2</v>
      </c>
      <c r="D1318" s="4">
        <f>2408/(60*60*24)</f>
        <v>2.7870370370370372E-2</v>
      </c>
      <c r="E1318" s="5">
        <f>8134/(60*60*24)</f>
        <v>9.4143518518518515E-2</v>
      </c>
      <c r="F1318" s="6">
        <f>28789/(60*60*24)</f>
        <v>0.3332060185185185</v>
      </c>
      <c r="G1318" s="7" t="s">
        <v>9</v>
      </c>
    </row>
    <row r="1319" spans="1:7" x14ac:dyDescent="0.45">
      <c r="A1319" t="s">
        <v>1414</v>
      </c>
      <c r="B1319" s="2" t="s">
        <v>178</v>
      </c>
      <c r="C1319" s="8" t="s">
        <v>12</v>
      </c>
      <c r="D1319" s="4">
        <f>2525/(60*60*24)</f>
        <v>2.9224537037037038E-2</v>
      </c>
      <c r="E1319" s="3">
        <f>8328/(60*60*24)</f>
        <v>9.6388888888888885E-2</v>
      </c>
      <c r="F1319" s="5">
        <f>29552/(60*60*24)</f>
        <v>0.34203703703703703</v>
      </c>
      <c r="G1319" s="7" t="s">
        <v>9</v>
      </c>
    </row>
    <row r="1320" spans="1:7" x14ac:dyDescent="0.45">
      <c r="A1320" t="s">
        <v>1415</v>
      </c>
      <c r="B1320" s="2" t="s">
        <v>182</v>
      </c>
      <c r="C1320" s="3">
        <f>7551/(60*60*24)</f>
        <v>8.7395833333333339E-2</v>
      </c>
      <c r="D1320" s="4">
        <f>2507/(60*60*24)</f>
        <v>2.9016203703703704E-2</v>
      </c>
      <c r="E1320" s="5">
        <f>8529/(60*60*24)</f>
        <v>9.8715277777777777E-2</v>
      </c>
      <c r="F1320" s="6">
        <f>30413/(60*60*24)</f>
        <v>0.35200231481481481</v>
      </c>
      <c r="G1320" s="7" t="s">
        <v>9</v>
      </c>
    </row>
    <row r="1321" spans="1:7" x14ac:dyDescent="0.45">
      <c r="A1321" t="s">
        <v>1416</v>
      </c>
      <c r="B1321" s="2" t="s">
        <v>184</v>
      </c>
      <c r="C1321" s="3">
        <f>7798/(60*60*24)</f>
        <v>9.0254629629629629E-2</v>
      </c>
      <c r="D1321" s="4">
        <f>2392/(60*60*24)</f>
        <v>2.7685185185185184E-2</v>
      </c>
      <c r="E1321" s="5">
        <f>8619/(60*60*24)</f>
        <v>9.975694444444444E-2</v>
      </c>
      <c r="F1321" s="6">
        <f>30878/(60*60*24)</f>
        <v>0.35738425925925926</v>
      </c>
      <c r="G1321" s="7" t="s">
        <v>9</v>
      </c>
    </row>
    <row r="1322" spans="1:7" x14ac:dyDescent="0.45">
      <c r="A1322" t="s">
        <v>1417</v>
      </c>
      <c r="B1322" s="2" t="s">
        <v>8</v>
      </c>
      <c r="C1322" s="3">
        <f>5681/(60*60*24)</f>
        <v>6.5752314814814819E-2</v>
      </c>
      <c r="D1322" s="4">
        <f>1979/(60*60*24)</f>
        <v>2.2905092592592591E-2</v>
      </c>
      <c r="E1322" s="5">
        <f>9016/(60*60*24)</f>
        <v>0.10435185185185185</v>
      </c>
      <c r="F1322" s="6">
        <f>31167/(60*60*24)</f>
        <v>0.36072916666666666</v>
      </c>
      <c r="G1322" s="7" t="s">
        <v>9</v>
      </c>
    </row>
    <row r="1323" spans="1:7" x14ac:dyDescent="0.45">
      <c r="A1323" t="s">
        <v>1418</v>
      </c>
      <c r="B1323" s="2" t="s">
        <v>11</v>
      </c>
      <c r="C1323" s="3">
        <f>5462/(60*60*24)</f>
        <v>6.3217592592592589E-2</v>
      </c>
      <c r="D1323" s="4">
        <f>2091/(60*60*24)</f>
        <v>2.420138888888889E-2</v>
      </c>
      <c r="E1323" s="5">
        <f>8824/(60*60*24)</f>
        <v>0.10212962962962963</v>
      </c>
      <c r="F1323" s="6">
        <f>30513/(60*60*24)</f>
        <v>0.35315972222222225</v>
      </c>
      <c r="G1323" s="7" t="s">
        <v>9</v>
      </c>
    </row>
    <row r="1324" spans="1:7" x14ac:dyDescent="0.45">
      <c r="A1324" t="s">
        <v>1419</v>
      </c>
      <c r="B1324" s="2" t="s">
        <v>14</v>
      </c>
      <c r="C1324" s="3">
        <f>5285/(60*60*24)</f>
        <v>6.1168981481481484E-2</v>
      </c>
      <c r="D1324" s="4">
        <f>2040/(60*60*24)</f>
        <v>2.361111111111111E-2</v>
      </c>
      <c r="E1324" s="5">
        <f>8741/(60*60*24)</f>
        <v>0.10116898148148148</v>
      </c>
      <c r="F1324" s="6">
        <f>29952/(60*60*24)</f>
        <v>0.34666666666666668</v>
      </c>
      <c r="G1324" s="7" t="s">
        <v>9</v>
      </c>
    </row>
    <row r="1325" spans="1:7" x14ac:dyDescent="0.45">
      <c r="A1325" t="s">
        <v>1420</v>
      </c>
      <c r="B1325" s="2" t="s">
        <v>16</v>
      </c>
      <c r="C1325" s="3">
        <f>5270/(60*60*24)</f>
        <v>6.0995370370370373E-2</v>
      </c>
      <c r="D1325" s="4">
        <f>2150/(60*60*24)</f>
        <v>2.4884259259259259E-2</v>
      </c>
      <c r="E1325" s="5">
        <f>8486/(60*60*24)</f>
        <v>9.8217592592592592E-2</v>
      </c>
      <c r="F1325" s="6">
        <f>29483/(60*60*24)</f>
        <v>0.3412384259259259</v>
      </c>
      <c r="G1325" s="7" t="s">
        <v>9</v>
      </c>
    </row>
    <row r="1326" spans="1:7" x14ac:dyDescent="0.45">
      <c r="A1326" t="s">
        <v>1421</v>
      </c>
      <c r="B1326" s="2" t="s">
        <v>18</v>
      </c>
      <c r="C1326" s="8" t="s">
        <v>12</v>
      </c>
      <c r="D1326" s="4">
        <f>2119/(60*60*24)</f>
        <v>2.4525462962962964E-2</v>
      </c>
      <c r="E1326" s="3">
        <f>8464/(60*60*24)</f>
        <v>9.796296296296296E-2</v>
      </c>
      <c r="F1326" s="5">
        <f>28611/(60*60*24)</f>
        <v>0.33114583333333331</v>
      </c>
      <c r="G1326" s="7" t="s">
        <v>9</v>
      </c>
    </row>
    <row r="1327" spans="1:7" x14ac:dyDescent="0.45">
      <c r="A1327" t="s">
        <v>1422</v>
      </c>
      <c r="B1327" s="2" t="s">
        <v>20</v>
      </c>
      <c r="C1327" s="8" t="s">
        <v>12</v>
      </c>
      <c r="D1327" s="4">
        <f>2204/(60*60*24)</f>
        <v>2.5509259259259259E-2</v>
      </c>
      <c r="E1327" s="3">
        <f>8512/(60*60*24)</f>
        <v>9.8518518518518519E-2</v>
      </c>
      <c r="F1327" s="5">
        <f>28018/(60*60*24)</f>
        <v>0.32428240740740738</v>
      </c>
      <c r="G1327" s="7" t="s">
        <v>9</v>
      </c>
    </row>
    <row r="1328" spans="1:7" x14ac:dyDescent="0.45">
      <c r="A1328" t="s">
        <v>1423</v>
      </c>
      <c r="B1328" s="2" t="s">
        <v>24</v>
      </c>
      <c r="C1328" s="3">
        <f>5467/(60*60*24)</f>
        <v>6.3275462962962964E-2</v>
      </c>
      <c r="D1328" s="4">
        <f>2180/(60*60*24)</f>
        <v>2.5231481481481483E-2</v>
      </c>
      <c r="E1328" s="5">
        <f>7895/(60*60*24)</f>
        <v>9.1377314814814814E-2</v>
      </c>
      <c r="F1328" s="6">
        <f>26490/(60*60*24)</f>
        <v>0.30659722222222224</v>
      </c>
      <c r="G1328" s="7" t="s">
        <v>9</v>
      </c>
    </row>
    <row r="1329" spans="1:7" x14ac:dyDescent="0.45">
      <c r="A1329" t="s">
        <v>1424</v>
      </c>
      <c r="B1329" s="2" t="s">
        <v>22</v>
      </c>
      <c r="C1329" s="8" t="s">
        <v>12</v>
      </c>
      <c r="D1329" s="4">
        <f>2237/(60*60*24)</f>
        <v>2.5891203703703704E-2</v>
      </c>
      <c r="E1329" s="3">
        <f>8274/(60*60*24)</f>
        <v>9.5763888888888885E-2</v>
      </c>
      <c r="F1329" s="5">
        <f>27394/(60*60*24)</f>
        <v>0.31706018518518519</v>
      </c>
      <c r="G1329" s="7" t="s">
        <v>9</v>
      </c>
    </row>
    <row r="1330" spans="1:7" x14ac:dyDescent="0.45">
      <c r="A1330" t="s">
        <v>1425</v>
      </c>
      <c r="B1330" s="2" t="s">
        <v>26</v>
      </c>
      <c r="C1330" s="3">
        <f>5333/(60*60*24)</f>
        <v>6.1724537037037036E-2</v>
      </c>
      <c r="D1330" s="4">
        <f>2046/(60*60*24)</f>
        <v>2.3680555555555555E-2</v>
      </c>
      <c r="E1330" s="5">
        <f>7682/(60*60*24)</f>
        <v>8.8912037037037039E-2</v>
      </c>
      <c r="F1330" s="6">
        <f>25818/(60*60*24)</f>
        <v>0.29881944444444447</v>
      </c>
      <c r="G1330" s="7" t="s">
        <v>9</v>
      </c>
    </row>
    <row r="1331" spans="1:7" x14ac:dyDescent="0.45">
      <c r="A1331" t="s">
        <v>1426</v>
      </c>
      <c r="B1331" s="2" t="s">
        <v>28</v>
      </c>
      <c r="C1331" s="3">
        <f>5628/(60*60*24)</f>
        <v>6.5138888888888885E-2</v>
      </c>
      <c r="D1331" s="4">
        <f>2055/(60*60*24)</f>
        <v>2.3784722222222221E-2</v>
      </c>
      <c r="E1331" s="5">
        <f>7441/(60*60*24)</f>
        <v>8.6122685185185191E-2</v>
      </c>
      <c r="F1331" s="6">
        <f>24951/(60*60*24)</f>
        <v>0.28878472222222223</v>
      </c>
      <c r="G1331" s="7" t="s">
        <v>9</v>
      </c>
    </row>
    <row r="1332" spans="1:7" x14ac:dyDescent="0.45">
      <c r="A1332" t="s">
        <v>1427</v>
      </c>
      <c r="B1332" s="2" t="s">
        <v>30</v>
      </c>
      <c r="C1332" s="3">
        <f>4648/(60*60*24)</f>
        <v>5.3796296296296293E-2</v>
      </c>
      <c r="D1332" s="4">
        <f>1953/(60*60*24)</f>
        <v>2.2604166666666668E-2</v>
      </c>
      <c r="E1332" s="5">
        <f>7224/(60*60*24)</f>
        <v>8.3611111111111108E-2</v>
      </c>
      <c r="F1332" s="6">
        <f>24155/(60*60*24)</f>
        <v>0.27957175925925926</v>
      </c>
      <c r="G1332" s="7" t="s">
        <v>9</v>
      </c>
    </row>
    <row r="1333" spans="1:7" x14ac:dyDescent="0.45">
      <c r="A1333" t="s">
        <v>1428</v>
      </c>
      <c r="B1333" s="2" t="s">
        <v>32</v>
      </c>
      <c r="C1333" s="3">
        <f>4919/(60*60*24)</f>
        <v>5.693287037037037E-2</v>
      </c>
      <c r="D1333" s="4">
        <f>1813/(60*60*24)</f>
        <v>2.0983796296296296E-2</v>
      </c>
      <c r="E1333" s="5">
        <f>7030/(60*60*24)</f>
        <v>8.1365740740740738E-2</v>
      </c>
      <c r="F1333" s="6">
        <f>23582/(60*60*24)</f>
        <v>0.27293981481481483</v>
      </c>
      <c r="G1333" s="7" t="s">
        <v>9</v>
      </c>
    </row>
    <row r="1334" spans="1:7" x14ac:dyDescent="0.45">
      <c r="A1334" t="s">
        <v>1429</v>
      </c>
      <c r="B1334" s="2" t="s">
        <v>36</v>
      </c>
      <c r="C1334" s="3">
        <f>5216/(60*60*24)</f>
        <v>6.0370370370370373E-2</v>
      </c>
      <c r="D1334" s="4">
        <f>2026/(60*60*24)</f>
        <v>2.3449074074074074E-2</v>
      </c>
      <c r="E1334" s="5">
        <f>6998/(60*60*24)</f>
        <v>8.099537037037037E-2</v>
      </c>
      <c r="F1334" s="6">
        <f>23355/(60*60*24)</f>
        <v>0.27031250000000001</v>
      </c>
      <c r="G1334" s="7" t="s">
        <v>9</v>
      </c>
    </row>
    <row r="1335" spans="1:7" x14ac:dyDescent="0.45">
      <c r="A1335" t="s">
        <v>1430</v>
      </c>
      <c r="B1335" s="2" t="s">
        <v>34</v>
      </c>
      <c r="C1335" s="3">
        <f>4737/(60*60*24)</f>
        <v>5.482638888888889E-2</v>
      </c>
      <c r="D1335" s="4">
        <f>1868/(60*60*24)</f>
        <v>2.162037037037037E-2</v>
      </c>
      <c r="E1335" s="5">
        <f>6964/(60*60*24)</f>
        <v>8.0601851851851855E-2</v>
      </c>
      <c r="F1335" s="6">
        <f>22689/(60*60*24)</f>
        <v>0.26260416666666669</v>
      </c>
      <c r="G1335" s="7" t="s">
        <v>9</v>
      </c>
    </row>
    <row r="1336" spans="1:7" x14ac:dyDescent="0.45">
      <c r="A1336" t="s">
        <v>1431</v>
      </c>
      <c r="B1336" s="2" t="s">
        <v>38</v>
      </c>
      <c r="C1336" s="3">
        <f>4309/(60*60*24)</f>
        <v>4.9872685185185187E-2</v>
      </c>
      <c r="D1336" s="4">
        <f>1668/(60*60*24)</f>
        <v>1.9305555555555555E-2</v>
      </c>
      <c r="E1336" s="5">
        <f>6681/(60*60*24)</f>
        <v>7.7326388888888889E-2</v>
      </c>
      <c r="F1336" s="6">
        <f>22254/(60*60*24)</f>
        <v>0.25756944444444446</v>
      </c>
      <c r="G1336" s="7" t="s">
        <v>9</v>
      </c>
    </row>
    <row r="1337" spans="1:7" x14ac:dyDescent="0.45">
      <c r="A1337" t="s">
        <v>1432</v>
      </c>
      <c r="B1337" s="2" t="s">
        <v>40</v>
      </c>
      <c r="C1337" s="3">
        <f>3988/(60*60*24)</f>
        <v>4.6157407407407404E-2</v>
      </c>
      <c r="D1337" s="4">
        <f>1601/(60*60*24)</f>
        <v>1.8530092592592591E-2</v>
      </c>
      <c r="E1337" s="5">
        <f>6439/(60*60*24)</f>
        <v>7.452546296296296E-2</v>
      </c>
      <c r="F1337" s="6">
        <f>21586/(60*60*24)</f>
        <v>0.24983796296296296</v>
      </c>
      <c r="G1337" s="7" t="s">
        <v>9</v>
      </c>
    </row>
    <row r="1338" spans="1:7" x14ac:dyDescent="0.45">
      <c r="A1338" t="s">
        <v>1433</v>
      </c>
      <c r="B1338" s="2" t="s">
        <v>44</v>
      </c>
      <c r="C1338" s="3">
        <f>4557/(60*60*24)</f>
        <v>5.2743055555555557E-2</v>
      </c>
      <c r="D1338" s="4">
        <f>1178/(60*60*24)</f>
        <v>1.3634259259259259E-2</v>
      </c>
      <c r="E1338" s="5">
        <f>6283/(60*60*24)</f>
        <v>7.2719907407407414E-2</v>
      </c>
      <c r="F1338" s="6">
        <f>20731/(60*60*24)</f>
        <v>0.23994212962962963</v>
      </c>
      <c r="G1338" s="7" t="s">
        <v>9</v>
      </c>
    </row>
    <row r="1339" spans="1:7" x14ac:dyDescent="0.45">
      <c r="A1339" t="s">
        <v>1434</v>
      </c>
      <c r="B1339" s="2" t="s">
        <v>42</v>
      </c>
      <c r="C1339" s="3">
        <f>4842/(60*60*24)</f>
        <v>5.6041666666666663E-2</v>
      </c>
      <c r="D1339" s="4">
        <f>1449/(60*60*24)</f>
        <v>1.6770833333333332E-2</v>
      </c>
      <c r="E1339" s="5">
        <f>6001/(60*60*24)</f>
        <v>6.9456018518518514E-2</v>
      </c>
      <c r="F1339" s="6">
        <f>20115/(60*60*24)</f>
        <v>0.23281250000000001</v>
      </c>
      <c r="G1339" s="7" t="s">
        <v>9</v>
      </c>
    </row>
    <row r="1340" spans="1:7" x14ac:dyDescent="0.45">
      <c r="A1340" t="s">
        <v>1435</v>
      </c>
      <c r="B1340" s="2" t="s">
        <v>46</v>
      </c>
      <c r="C1340" s="3">
        <f>4237/(60*60*24)</f>
        <v>4.9039351851851855E-2</v>
      </c>
      <c r="D1340" s="4">
        <f>1426/(60*60*24)</f>
        <v>1.650462962962963E-2</v>
      </c>
      <c r="E1340" s="5">
        <f>5805/(60*60*24)</f>
        <v>6.7187499999999997E-2</v>
      </c>
      <c r="F1340" s="6">
        <f>19394/(60*60*24)</f>
        <v>0.22446759259259258</v>
      </c>
      <c r="G1340" s="7" t="s">
        <v>9</v>
      </c>
    </row>
    <row r="1341" spans="1:7" x14ac:dyDescent="0.45">
      <c r="A1341" t="s">
        <v>1436</v>
      </c>
      <c r="B1341" s="2" t="s">
        <v>48</v>
      </c>
      <c r="C1341" s="3">
        <f>4228/(60*60*24)</f>
        <v>4.8935185185185186E-2</v>
      </c>
      <c r="D1341" s="4">
        <f>1489/(60*60*24)</f>
        <v>1.7233796296296296E-2</v>
      </c>
      <c r="E1341" s="5">
        <f>5503/(60*60*24)</f>
        <v>6.3692129629629626E-2</v>
      </c>
      <c r="F1341" s="6">
        <f>18758/(60*60*24)</f>
        <v>0.21710648148148148</v>
      </c>
      <c r="G1341" s="7" t="s">
        <v>9</v>
      </c>
    </row>
    <row r="1342" spans="1:7" x14ac:dyDescent="0.45">
      <c r="A1342" t="s">
        <v>1437</v>
      </c>
      <c r="B1342" s="2" t="s">
        <v>50</v>
      </c>
      <c r="C1342" s="3">
        <f>3799/(60*60*24)</f>
        <v>4.3969907407407409E-2</v>
      </c>
      <c r="D1342" s="4">
        <f>1641/(60*60*24)</f>
        <v>1.8993055555555555E-2</v>
      </c>
      <c r="E1342" s="5">
        <f>5478/(60*60*24)</f>
        <v>6.340277777777778E-2</v>
      </c>
      <c r="F1342" s="6">
        <f>18422/(60*60*24)</f>
        <v>0.2132175925925926</v>
      </c>
      <c r="G1342" s="7" t="s">
        <v>9</v>
      </c>
    </row>
    <row r="1343" spans="1:7" x14ac:dyDescent="0.45">
      <c r="A1343" t="s">
        <v>1438</v>
      </c>
      <c r="B1343" s="2" t="s">
        <v>52</v>
      </c>
      <c r="C1343" s="3">
        <f>3771/(60*60*24)</f>
        <v>4.3645833333333335E-2</v>
      </c>
      <c r="D1343" s="4">
        <f>1719/(60*60*24)</f>
        <v>1.9895833333333335E-2</v>
      </c>
      <c r="E1343" s="5">
        <f>5151/(60*60*24)</f>
        <v>5.9618055555555556E-2</v>
      </c>
      <c r="F1343" s="6">
        <f>17472/(60*60*24)</f>
        <v>0.20222222222222222</v>
      </c>
      <c r="G1343" s="7" t="s">
        <v>9</v>
      </c>
    </row>
    <row r="1344" spans="1:7" x14ac:dyDescent="0.45">
      <c r="A1344" t="s">
        <v>1439</v>
      </c>
      <c r="B1344" s="2" t="s">
        <v>54</v>
      </c>
      <c r="C1344" s="3">
        <f>3988/(60*60*24)</f>
        <v>4.6157407407407404E-2</v>
      </c>
      <c r="D1344" s="4">
        <f>1666/(60*60*24)</f>
        <v>1.9282407407407408E-2</v>
      </c>
      <c r="E1344" s="5">
        <f>5046/(60*60*24)</f>
        <v>5.8402777777777776E-2</v>
      </c>
      <c r="F1344" s="6">
        <f>17045/(60*60*24)</f>
        <v>0.1972800925925926</v>
      </c>
      <c r="G1344" s="7" t="s">
        <v>9</v>
      </c>
    </row>
    <row r="1345" spans="1:7" x14ac:dyDescent="0.45">
      <c r="A1345" t="s">
        <v>1440</v>
      </c>
      <c r="B1345" s="2" t="s">
        <v>56</v>
      </c>
      <c r="C1345" s="3">
        <f>4160/(60*60*24)</f>
        <v>4.8148148148148148E-2</v>
      </c>
      <c r="D1345" s="4">
        <f>1565/(60*60*24)</f>
        <v>1.8113425925925925E-2</v>
      </c>
      <c r="E1345" s="5">
        <f>4885/(60*60*24)</f>
        <v>5.6539351851851855E-2</v>
      </c>
      <c r="F1345" s="6">
        <f>16199/(60*60*24)</f>
        <v>0.18748842592592593</v>
      </c>
      <c r="G1345" s="7" t="s">
        <v>9</v>
      </c>
    </row>
    <row r="1346" spans="1:7" x14ac:dyDescent="0.45">
      <c r="A1346" t="s">
        <v>1441</v>
      </c>
      <c r="B1346" s="2" t="s">
        <v>58</v>
      </c>
      <c r="C1346" s="3">
        <f>3701/(60*60*24)</f>
        <v>4.283564814814815E-2</v>
      </c>
      <c r="D1346" s="4">
        <f>1551/(60*60*24)</f>
        <v>1.7951388888888888E-2</v>
      </c>
      <c r="E1346" s="5">
        <f>4696/(60*60*24)</f>
        <v>5.4351851851851853E-2</v>
      </c>
      <c r="F1346" s="6">
        <f>15564/(60*60*24)</f>
        <v>0.18013888888888888</v>
      </c>
      <c r="G1346" s="7" t="s">
        <v>9</v>
      </c>
    </row>
    <row r="1347" spans="1:7" x14ac:dyDescent="0.45">
      <c r="A1347" t="s">
        <v>1442</v>
      </c>
      <c r="B1347" s="2" t="s">
        <v>60</v>
      </c>
      <c r="C1347" s="3">
        <f>3436/(60*60*24)</f>
        <v>3.9768518518518516E-2</v>
      </c>
      <c r="D1347" s="4">
        <f>1594/(60*60*24)</f>
        <v>1.8449074074074073E-2</v>
      </c>
      <c r="E1347" s="5">
        <f>4454/(60*60*24)</f>
        <v>5.1550925925925924E-2</v>
      </c>
      <c r="F1347" s="6">
        <f>14866/(60*60*24)</f>
        <v>0.17206018518518518</v>
      </c>
      <c r="G1347" s="7" t="s">
        <v>9</v>
      </c>
    </row>
    <row r="1348" spans="1:7" x14ac:dyDescent="0.45">
      <c r="A1348" t="s">
        <v>1443</v>
      </c>
      <c r="B1348" s="2" t="s">
        <v>62</v>
      </c>
      <c r="C1348" s="3">
        <f>3427/(60*60*24)</f>
        <v>3.9664351851851853E-2</v>
      </c>
      <c r="D1348" s="4">
        <f>1579/(60*60*24)</f>
        <v>1.8275462962962962E-2</v>
      </c>
      <c r="E1348" s="5">
        <f>4362/(60*60*24)</f>
        <v>5.0486111111111114E-2</v>
      </c>
      <c r="F1348" s="6">
        <f>14327/(60*60*24)</f>
        <v>0.16582175925925927</v>
      </c>
      <c r="G1348" s="7" t="s">
        <v>9</v>
      </c>
    </row>
    <row r="1349" spans="1:7" x14ac:dyDescent="0.45">
      <c r="A1349" t="s">
        <v>1444</v>
      </c>
      <c r="B1349" s="2" t="s">
        <v>64</v>
      </c>
      <c r="C1349" s="3">
        <f>3894/(60*60*24)</f>
        <v>4.5069444444444447E-2</v>
      </c>
      <c r="D1349" s="4">
        <f>1681/(60*60*24)</f>
        <v>1.9456018518518518E-2</v>
      </c>
      <c r="E1349" s="5">
        <f>4105/(60*60*24)</f>
        <v>4.7511574074074074E-2</v>
      </c>
      <c r="F1349" s="6">
        <f>13833/(60*60*24)</f>
        <v>0.16010416666666666</v>
      </c>
      <c r="G1349" s="7" t="s">
        <v>9</v>
      </c>
    </row>
    <row r="1350" spans="1:7" x14ac:dyDescent="0.45">
      <c r="A1350" t="s">
        <v>1445</v>
      </c>
      <c r="B1350" s="2" t="s">
        <v>66</v>
      </c>
      <c r="C1350" s="5">
        <f>4028/(60*60*24)</f>
        <v>4.6620370370370368E-2</v>
      </c>
      <c r="D1350" s="4">
        <f>1442/(60*60*24)</f>
        <v>1.6689814814814814E-2</v>
      </c>
      <c r="E1350" s="3">
        <f>4015/(60*60*24)</f>
        <v>4.6469907407407404E-2</v>
      </c>
      <c r="F1350" s="6">
        <f>13246/(60*60*24)</f>
        <v>0.15331018518518519</v>
      </c>
      <c r="G1350" s="7" t="s">
        <v>9</v>
      </c>
    </row>
    <row r="1351" spans="1:7" x14ac:dyDescent="0.45">
      <c r="A1351" t="s">
        <v>1446</v>
      </c>
      <c r="B1351" s="2" t="s">
        <v>68</v>
      </c>
      <c r="C1351" s="3">
        <f>3392/(60*60*24)</f>
        <v>3.9259259259259258E-2</v>
      </c>
      <c r="D1351" s="4">
        <f>1574/(60*60*24)</f>
        <v>1.8217592592592594E-2</v>
      </c>
      <c r="E1351" s="5">
        <f>3808/(60*60*24)</f>
        <v>4.4074074074074071E-2</v>
      </c>
      <c r="F1351" s="6">
        <f>12714/(60*60*24)</f>
        <v>0.14715277777777777</v>
      </c>
      <c r="G1351" s="7" t="s">
        <v>9</v>
      </c>
    </row>
    <row r="1352" spans="1:7" x14ac:dyDescent="0.45">
      <c r="A1352" t="s">
        <v>1447</v>
      </c>
      <c r="B1352" s="2" t="s">
        <v>70</v>
      </c>
      <c r="C1352" s="3">
        <f>3611/(60*60*24)</f>
        <v>4.1793981481481481E-2</v>
      </c>
      <c r="D1352" s="4">
        <f>1199/(60*60*24)</f>
        <v>1.3877314814814815E-2</v>
      </c>
      <c r="E1352" s="5">
        <f>3630/(60*60*24)</f>
        <v>4.2013888888888892E-2</v>
      </c>
      <c r="F1352" s="6">
        <f>11611/(60*60*24)</f>
        <v>0.13438657407407406</v>
      </c>
      <c r="G1352" s="7" t="s">
        <v>9</v>
      </c>
    </row>
    <row r="1353" spans="1:7" x14ac:dyDescent="0.45">
      <c r="A1353" t="s">
        <v>1448</v>
      </c>
      <c r="B1353" s="2" t="s">
        <v>72</v>
      </c>
      <c r="C1353" s="5">
        <f>3511/(60*60*24)</f>
        <v>4.0636574074074075E-2</v>
      </c>
      <c r="D1353" s="4">
        <f>1121/(60*60*24)</f>
        <v>1.2974537037037038E-2</v>
      </c>
      <c r="E1353" s="3">
        <f>3489/(60*60*24)</f>
        <v>4.0381944444444443E-2</v>
      </c>
      <c r="F1353" s="6">
        <f>10859/(60*60*24)</f>
        <v>0.12568287037037038</v>
      </c>
      <c r="G1353" s="7" t="s">
        <v>9</v>
      </c>
    </row>
    <row r="1354" spans="1:7" x14ac:dyDescent="0.45">
      <c r="A1354" t="s">
        <v>1449</v>
      </c>
      <c r="B1354" s="2" t="s">
        <v>74</v>
      </c>
      <c r="C1354" s="5">
        <f>3566/(60*60*24)</f>
        <v>4.1273148148148149E-2</v>
      </c>
      <c r="D1354" s="4">
        <f>1365/(60*60*24)</f>
        <v>1.579861111111111E-2</v>
      </c>
      <c r="E1354" s="3">
        <f>3149/(60*60*24)</f>
        <v>3.6446759259259262E-2</v>
      </c>
      <c r="F1354" s="6">
        <f>10269/(60*60*24)</f>
        <v>0.11885416666666666</v>
      </c>
      <c r="G1354" s="7" t="s">
        <v>9</v>
      </c>
    </row>
    <row r="1355" spans="1:7" x14ac:dyDescent="0.45">
      <c r="A1355" t="s">
        <v>1450</v>
      </c>
      <c r="B1355" s="2" t="s">
        <v>76</v>
      </c>
      <c r="C1355" s="5">
        <f>4163/(60*60*24)</f>
        <v>4.8182870370370369E-2</v>
      </c>
      <c r="D1355" s="4">
        <f>1405/(60*60*24)</f>
        <v>1.6261574074074074E-2</v>
      </c>
      <c r="E1355" s="3">
        <f>2835/(60*60*24)</f>
        <v>3.2812500000000001E-2</v>
      </c>
      <c r="F1355" s="6">
        <f>9442/(60*60*24)</f>
        <v>0.10928240740740741</v>
      </c>
      <c r="G1355" s="7" t="s">
        <v>9</v>
      </c>
    </row>
    <row r="1356" spans="1:7" x14ac:dyDescent="0.45">
      <c r="A1356" t="s">
        <v>1451</v>
      </c>
      <c r="B1356" s="2" t="s">
        <v>78</v>
      </c>
      <c r="C1356" s="5">
        <f>3718/(60*60*24)</f>
        <v>4.3032407407407408E-2</v>
      </c>
      <c r="D1356" s="4">
        <f>1212/(60*60*24)</f>
        <v>1.4027777777777778E-2</v>
      </c>
      <c r="E1356" s="3">
        <f>2431/(60*60*24)</f>
        <v>2.8136574074074074E-2</v>
      </c>
      <c r="F1356" s="6">
        <f>8557/(60*60*24)</f>
        <v>9.9039351851851851E-2</v>
      </c>
      <c r="G1356" s="7" t="s">
        <v>9</v>
      </c>
    </row>
    <row r="1357" spans="1:7" x14ac:dyDescent="0.45">
      <c r="A1357" t="s">
        <v>1452</v>
      </c>
      <c r="B1357" s="2" t="s">
        <v>80</v>
      </c>
      <c r="C1357" s="5">
        <f>3442/(60*60*24)</f>
        <v>3.9837962962962964E-2</v>
      </c>
      <c r="D1357" s="4">
        <f>1278/(60*60*24)</f>
        <v>1.4791666666666667E-2</v>
      </c>
      <c r="E1357" s="3">
        <f>2237/(60*60*24)</f>
        <v>2.5891203703703704E-2</v>
      </c>
      <c r="F1357" s="6">
        <f>7857/(60*60*24)</f>
        <v>9.0937500000000004E-2</v>
      </c>
      <c r="G1357" s="7" t="s">
        <v>9</v>
      </c>
    </row>
    <row r="1358" spans="1:7" x14ac:dyDescent="0.45">
      <c r="A1358" t="s">
        <v>1453</v>
      </c>
      <c r="B1358" s="2" t="s">
        <v>84</v>
      </c>
      <c r="C1358" s="5">
        <f>3087/(60*60*24)</f>
        <v>3.5729166666666666E-2</v>
      </c>
      <c r="D1358" s="4">
        <f>1272/(60*60*24)</f>
        <v>1.4722222222222222E-2</v>
      </c>
      <c r="E1358" s="3">
        <f>2065/(60*60*24)</f>
        <v>2.3900462962962964E-2</v>
      </c>
      <c r="F1358" s="6">
        <f>7142/(60*60*24)</f>
        <v>8.2662037037037034E-2</v>
      </c>
      <c r="G1358" s="7" t="s">
        <v>9</v>
      </c>
    </row>
    <row r="1359" spans="1:7" x14ac:dyDescent="0.45">
      <c r="A1359" t="s">
        <v>1454</v>
      </c>
      <c r="B1359" s="2" t="s">
        <v>82</v>
      </c>
      <c r="C1359" s="8" t="s">
        <v>12</v>
      </c>
      <c r="D1359" s="4">
        <f>1136/(60*60*24)</f>
        <v>1.3148148148148148E-2</v>
      </c>
      <c r="E1359" s="3">
        <f>1797/(60*60*24)</f>
        <v>2.0798611111111111E-2</v>
      </c>
      <c r="F1359" s="5">
        <f>6282/(60*60*24)</f>
        <v>7.2708333333333333E-2</v>
      </c>
      <c r="G1359" s="7" t="s">
        <v>9</v>
      </c>
    </row>
    <row r="1360" spans="1:7" x14ac:dyDescent="0.45">
      <c r="A1360" t="s">
        <v>1455</v>
      </c>
      <c r="B1360" s="2" t="s">
        <v>88</v>
      </c>
      <c r="C1360" s="8" t="s">
        <v>12</v>
      </c>
      <c r="D1360" s="4">
        <f>1055/(60*60*24)</f>
        <v>1.2210648148148148E-2</v>
      </c>
      <c r="E1360" s="3">
        <f>1684/(60*60*24)</f>
        <v>1.9490740740740739E-2</v>
      </c>
      <c r="F1360" s="5">
        <f>5513/(60*60*24)</f>
        <v>6.3807870370370376E-2</v>
      </c>
      <c r="G1360" s="7" t="s">
        <v>9</v>
      </c>
    </row>
    <row r="1361" spans="1:7" x14ac:dyDescent="0.45">
      <c r="A1361" t="s">
        <v>1456</v>
      </c>
      <c r="B1361" s="2" t="s">
        <v>86</v>
      </c>
      <c r="C1361" s="8" t="s">
        <v>12</v>
      </c>
      <c r="D1361" s="4">
        <f>1218/(60*60*24)</f>
        <v>1.4097222222222223E-2</v>
      </c>
      <c r="E1361" s="3">
        <f>1658/(60*60*24)</f>
        <v>1.9189814814814816E-2</v>
      </c>
      <c r="F1361" s="5">
        <f>5594/(60*60*24)</f>
        <v>6.474537037037037E-2</v>
      </c>
      <c r="G1361" s="7" t="s">
        <v>9</v>
      </c>
    </row>
    <row r="1362" spans="1:7" x14ac:dyDescent="0.45">
      <c r="A1362" t="s">
        <v>1457</v>
      </c>
      <c r="B1362" s="2" t="s">
        <v>92</v>
      </c>
      <c r="C1362" s="5">
        <f>1377/(60*60*24)</f>
        <v>1.59375E-2</v>
      </c>
      <c r="D1362" s="4">
        <f>785/(60*60*24)</f>
        <v>9.0856481481481483E-3</v>
      </c>
      <c r="E1362" s="3">
        <f>947/(60*60*24)</f>
        <v>1.0960648148148148E-2</v>
      </c>
      <c r="F1362" s="6">
        <f>3399/(60*60*24)</f>
        <v>3.934027777777778E-2</v>
      </c>
      <c r="G1362" s="7" t="s">
        <v>9</v>
      </c>
    </row>
    <row r="1363" spans="1:7" x14ac:dyDescent="0.45">
      <c r="A1363" t="s">
        <v>1458</v>
      </c>
      <c r="B1363" s="2" t="s">
        <v>90</v>
      </c>
      <c r="C1363" s="8" t="s">
        <v>12</v>
      </c>
      <c r="D1363" s="4">
        <f>905/(60*60*24)</f>
        <v>1.0474537037037037E-2</v>
      </c>
      <c r="E1363" s="3">
        <f>1115/(60*60*24)</f>
        <v>1.2905092592592593E-2</v>
      </c>
      <c r="F1363" s="5">
        <f>3904/(60*60*24)</f>
        <v>4.5185185185185182E-2</v>
      </c>
      <c r="G1363" s="7" t="s">
        <v>9</v>
      </c>
    </row>
    <row r="1364" spans="1:7" x14ac:dyDescent="0.45">
      <c r="A1364" t="s">
        <v>1459</v>
      </c>
      <c r="B1364" s="2" t="s">
        <v>94</v>
      </c>
      <c r="C1364" s="5">
        <f>1120/(60*60*24)</f>
        <v>1.2962962962962963E-2</v>
      </c>
      <c r="D1364" s="4">
        <f>682/(60*60*24)</f>
        <v>7.8935185185185185E-3</v>
      </c>
      <c r="E1364" s="3">
        <f>790/(60*60*24)</f>
        <v>9.1435185185185178E-3</v>
      </c>
      <c r="F1364" s="6">
        <f>2722/(60*60*24)</f>
        <v>3.1504629629629632E-2</v>
      </c>
      <c r="G1364" s="7" t="s">
        <v>9</v>
      </c>
    </row>
    <row r="1365" spans="1:7" x14ac:dyDescent="0.45">
      <c r="A1365" t="s">
        <v>1460</v>
      </c>
      <c r="B1365" s="2" t="s">
        <v>96</v>
      </c>
      <c r="C1365" s="5">
        <f>1241/(60*60*24)</f>
        <v>1.4363425925925925E-2</v>
      </c>
      <c r="D1365" s="4">
        <f>581/(60*60*24)</f>
        <v>6.7245370370370367E-3</v>
      </c>
      <c r="E1365" s="3">
        <f>744/(60*60*24)</f>
        <v>8.611111111111111E-3</v>
      </c>
      <c r="F1365" s="6">
        <f>2458/(60*60*24)</f>
        <v>2.8449074074074075E-2</v>
      </c>
      <c r="G1365" s="7" t="s">
        <v>9</v>
      </c>
    </row>
    <row r="1366" spans="1:7" x14ac:dyDescent="0.45">
      <c r="A1366" t="s">
        <v>1461</v>
      </c>
      <c r="B1366" s="2" t="s">
        <v>98</v>
      </c>
      <c r="C1366" s="5">
        <f>834/(60*60*24)</f>
        <v>9.6527777777777775E-3</v>
      </c>
      <c r="D1366" s="4">
        <f>260/(60*60*24)</f>
        <v>3.0092592592592593E-3</v>
      </c>
      <c r="E1366" s="3">
        <f>399/(60*60*24)</f>
        <v>4.6180555555555558E-3</v>
      </c>
      <c r="F1366" s="6">
        <f>1239/(60*60*24)</f>
        <v>1.4340277777777778E-2</v>
      </c>
      <c r="G1366" s="7" t="s">
        <v>9</v>
      </c>
    </row>
    <row r="1367" spans="1:7" x14ac:dyDescent="0.45">
      <c r="A1367" t="s">
        <v>1462</v>
      </c>
      <c r="B1367" s="2" t="s">
        <v>100</v>
      </c>
      <c r="C1367" s="6">
        <f>640/(60*60*24)</f>
        <v>7.4074074074074077E-3</v>
      </c>
      <c r="D1367" s="4">
        <f>86/(60*60*24)</f>
        <v>9.9537037037037042E-4</v>
      </c>
      <c r="E1367" s="3">
        <f>292/(60*60*24)</f>
        <v>3.3796296296296296E-3</v>
      </c>
      <c r="F1367" s="5">
        <f>482/(60*60*24)</f>
        <v>5.5787037037037038E-3</v>
      </c>
      <c r="G1367" s="7" t="s">
        <v>9</v>
      </c>
    </row>
    <row r="1368" spans="1:7" x14ac:dyDescent="0.45">
      <c r="A1368" t="s">
        <v>1463</v>
      </c>
      <c r="B1368" s="2" t="s">
        <v>104</v>
      </c>
      <c r="C1368" s="6">
        <f>702/(60*60*24)</f>
        <v>8.1250000000000003E-3</v>
      </c>
      <c r="D1368" s="4">
        <f>186/(60*60*24)</f>
        <v>2.1527777777777778E-3</v>
      </c>
      <c r="E1368" s="3">
        <f>244/(60*60*24)</f>
        <v>2.8240740740740739E-3</v>
      </c>
      <c r="F1368" s="5">
        <f>542/(60*60*24)</f>
        <v>6.2731481481481484E-3</v>
      </c>
      <c r="G1368" s="7" t="s">
        <v>9</v>
      </c>
    </row>
    <row r="1369" spans="1:7" x14ac:dyDescent="0.45">
      <c r="A1369" t="s">
        <v>1464</v>
      </c>
      <c r="B1369" s="2" t="s">
        <v>102</v>
      </c>
      <c r="C1369" s="5">
        <f>1248/(60*60*24)</f>
        <v>1.4444444444444444E-2</v>
      </c>
      <c r="D1369" s="4">
        <f>365/(60*60*24)</f>
        <v>4.2245370370370371E-3</v>
      </c>
      <c r="E1369" s="3">
        <f>628/(60*60*24)</f>
        <v>7.2685185185185188E-3</v>
      </c>
      <c r="F1369" s="6">
        <f>1410/(60*60*24)</f>
        <v>1.6319444444444445E-2</v>
      </c>
      <c r="G1369" s="7" t="s">
        <v>9</v>
      </c>
    </row>
    <row r="1370" spans="1:7" x14ac:dyDescent="0.45">
      <c r="A1370" t="s">
        <v>1465</v>
      </c>
      <c r="B1370" s="2" t="s">
        <v>106</v>
      </c>
      <c r="C1370" s="5">
        <f>1417/(60*60*24)</f>
        <v>1.6400462962962964E-2</v>
      </c>
      <c r="D1370" s="4">
        <f>436/(60*60*24)</f>
        <v>5.0462962962962961E-3</v>
      </c>
      <c r="E1370" s="3">
        <f>708/(60*60*24)</f>
        <v>8.1944444444444452E-3</v>
      </c>
      <c r="F1370" s="6">
        <f>2425/(60*60*24)</f>
        <v>2.8067129629629629E-2</v>
      </c>
      <c r="G1370" s="7" t="s">
        <v>9</v>
      </c>
    </row>
    <row r="1371" spans="1:7" x14ac:dyDescent="0.45">
      <c r="A1371" t="s">
        <v>1466</v>
      </c>
      <c r="B1371" s="2" t="s">
        <v>108</v>
      </c>
      <c r="C1371" s="5">
        <f>1248/(60*60*24)</f>
        <v>1.4444444444444444E-2</v>
      </c>
      <c r="D1371" s="4">
        <f>483/(60*60*24)</f>
        <v>5.5902777777777773E-3</v>
      </c>
      <c r="E1371" s="3">
        <f>841/(60*60*24)</f>
        <v>9.7337962962962959E-3</v>
      </c>
      <c r="F1371" s="6">
        <f>3088/(60*60*24)</f>
        <v>3.574074074074074E-2</v>
      </c>
      <c r="G1371" s="7" t="s">
        <v>9</v>
      </c>
    </row>
    <row r="1372" spans="1:7" x14ac:dyDescent="0.45">
      <c r="A1372" t="s">
        <v>1467</v>
      </c>
      <c r="B1372" s="2" t="s">
        <v>110</v>
      </c>
      <c r="C1372" s="3">
        <f>1037/(60*60*24)</f>
        <v>1.2002314814814815E-2</v>
      </c>
      <c r="D1372" s="4">
        <f>663/(60*60*24)</f>
        <v>7.6736111111111111E-3</v>
      </c>
      <c r="E1372" s="5">
        <f>1079/(60*60*24)</f>
        <v>1.2488425925925925E-2</v>
      </c>
      <c r="F1372" s="6">
        <f>3724/(60*60*24)</f>
        <v>4.310185185185185E-2</v>
      </c>
      <c r="G1372" s="7" t="s">
        <v>9</v>
      </c>
    </row>
    <row r="1373" spans="1:7" x14ac:dyDescent="0.45">
      <c r="A1373" t="s">
        <v>1468</v>
      </c>
      <c r="B1373" s="2" t="s">
        <v>112</v>
      </c>
      <c r="C1373" s="5">
        <f>1274/(60*60*24)</f>
        <v>1.474537037037037E-2</v>
      </c>
      <c r="D1373" s="4">
        <f>783/(60*60*24)</f>
        <v>9.0624999999999994E-3</v>
      </c>
      <c r="E1373" s="3">
        <f>1194/(60*60*24)</f>
        <v>1.3819444444444445E-2</v>
      </c>
      <c r="F1373" s="6">
        <f>4311/(60*60*24)</f>
        <v>4.9895833333333334E-2</v>
      </c>
      <c r="G1373" s="7" t="s">
        <v>9</v>
      </c>
    </row>
    <row r="1374" spans="1:7" x14ac:dyDescent="0.45">
      <c r="A1374" t="s">
        <v>1469</v>
      </c>
      <c r="B1374" s="2" t="s">
        <v>114</v>
      </c>
      <c r="C1374" s="5">
        <f>2008/(60*60*24)</f>
        <v>2.3240740740740742E-2</v>
      </c>
      <c r="D1374" s="4">
        <f>933/(60*60*24)</f>
        <v>1.0798611111111111E-2</v>
      </c>
      <c r="E1374" s="3">
        <f>1452/(60*60*24)</f>
        <v>1.6805555555555556E-2</v>
      </c>
      <c r="F1374" s="6">
        <f>5067/(60*60*24)</f>
        <v>5.8645833333333335E-2</v>
      </c>
      <c r="G1374" s="7" t="s">
        <v>9</v>
      </c>
    </row>
    <row r="1375" spans="1:7" x14ac:dyDescent="0.45">
      <c r="A1375" t="s">
        <v>1470</v>
      </c>
      <c r="B1375" s="2" t="s">
        <v>116</v>
      </c>
      <c r="C1375" s="8" t="s">
        <v>12</v>
      </c>
      <c r="D1375" s="4">
        <f>1122/(60*60*24)</f>
        <v>1.2986111111111111E-2</v>
      </c>
      <c r="E1375" s="3">
        <f>1803/(60*60*24)</f>
        <v>2.0868055555555556E-2</v>
      </c>
      <c r="F1375" s="5">
        <f>5753/(60*60*24)</f>
        <v>6.6585648148148144E-2</v>
      </c>
      <c r="G1375" s="7" t="s">
        <v>9</v>
      </c>
    </row>
    <row r="1376" spans="1:7" x14ac:dyDescent="0.45">
      <c r="A1376" t="s">
        <v>1471</v>
      </c>
      <c r="B1376" s="2" t="s">
        <v>118</v>
      </c>
      <c r="C1376" s="8" t="s">
        <v>12</v>
      </c>
      <c r="D1376" s="4">
        <f>1032/(60*60*24)</f>
        <v>1.1944444444444445E-2</v>
      </c>
      <c r="E1376" s="3">
        <f>2063/(60*60*24)</f>
        <v>2.3877314814814816E-2</v>
      </c>
      <c r="F1376" s="5">
        <f>6499/(60*60*24)</f>
        <v>7.5219907407407402E-2</v>
      </c>
      <c r="G1376" s="7" t="s">
        <v>9</v>
      </c>
    </row>
    <row r="1377" spans="1:7" x14ac:dyDescent="0.45">
      <c r="A1377" t="s">
        <v>1472</v>
      </c>
      <c r="B1377" s="2" t="s">
        <v>120</v>
      </c>
      <c r="C1377" s="8" t="s">
        <v>12</v>
      </c>
      <c r="D1377" s="4">
        <f>1003/(60*60*24)</f>
        <v>1.1608796296296296E-2</v>
      </c>
      <c r="E1377" s="3">
        <f>2222/(60*60*24)</f>
        <v>2.5717592592592594E-2</v>
      </c>
      <c r="F1377" s="5">
        <f>7181/(60*60*24)</f>
        <v>8.3113425925925924E-2</v>
      </c>
      <c r="G1377" s="7" t="s">
        <v>9</v>
      </c>
    </row>
    <row r="1378" spans="1:7" x14ac:dyDescent="0.45">
      <c r="A1378" t="s">
        <v>1473</v>
      </c>
      <c r="B1378" s="2" t="s">
        <v>122</v>
      </c>
      <c r="C1378" s="3">
        <f>2514/(60*60*24)</f>
        <v>2.9097222222222222E-2</v>
      </c>
      <c r="D1378" s="4">
        <f>946/(60*60*24)</f>
        <v>1.0949074074074075E-2</v>
      </c>
      <c r="E1378" s="5">
        <f>2640/(60*60*24)</f>
        <v>3.0555555555555555E-2</v>
      </c>
      <c r="F1378" s="6">
        <f>9249/(60*60*24)</f>
        <v>0.10704861111111111</v>
      </c>
      <c r="G1378" s="7" t="s">
        <v>9</v>
      </c>
    </row>
    <row r="1379" spans="1:7" x14ac:dyDescent="0.45">
      <c r="A1379" t="s">
        <v>1474</v>
      </c>
      <c r="B1379" s="2" t="s">
        <v>124</v>
      </c>
      <c r="C1379" s="8" t="s">
        <v>12</v>
      </c>
      <c r="D1379" s="4">
        <f>1261/(60*60*24)</f>
        <v>1.4594907407407407E-2</v>
      </c>
      <c r="E1379" s="3">
        <f>2530/(60*60*24)</f>
        <v>2.9282407407407406E-2</v>
      </c>
      <c r="F1379" s="5">
        <f>8300/(60*60*24)</f>
        <v>9.6064814814814811E-2</v>
      </c>
      <c r="G1379" s="7" t="s">
        <v>9</v>
      </c>
    </row>
    <row r="1380" spans="1:7" x14ac:dyDescent="0.45">
      <c r="A1380" t="s">
        <v>1475</v>
      </c>
      <c r="B1380" s="2" t="s">
        <v>126</v>
      </c>
      <c r="C1380" s="5">
        <f>3105/(60*60*24)</f>
        <v>3.5937499999999997E-2</v>
      </c>
      <c r="D1380" s="4">
        <f>1162/(60*60*24)</f>
        <v>1.3449074074074073E-2</v>
      </c>
      <c r="E1380" s="3">
        <f>2819/(60*60*24)</f>
        <v>3.2627314814814817E-2</v>
      </c>
      <c r="F1380" s="6">
        <f>10467/(60*60*24)</f>
        <v>0.12114583333333333</v>
      </c>
      <c r="G1380" s="7" t="s">
        <v>9</v>
      </c>
    </row>
    <row r="1381" spans="1:7" x14ac:dyDescent="0.45">
      <c r="A1381" t="s">
        <v>1476</v>
      </c>
      <c r="B1381" s="2" t="s">
        <v>128</v>
      </c>
      <c r="C1381" s="5">
        <f>2905/(60*60*24)</f>
        <v>3.3622685185185186E-2</v>
      </c>
      <c r="D1381" s="4">
        <f>1211/(60*60*24)</f>
        <v>1.4016203703703704E-2</v>
      </c>
      <c r="E1381" s="3">
        <f>2842/(60*60*24)</f>
        <v>3.2893518518518516E-2</v>
      </c>
      <c r="F1381" s="6">
        <f>10686/(60*60*24)</f>
        <v>0.12368055555555556</v>
      </c>
      <c r="G1381" s="7" t="s">
        <v>9</v>
      </c>
    </row>
    <row r="1382" spans="1:7" x14ac:dyDescent="0.45">
      <c r="A1382" t="s">
        <v>1477</v>
      </c>
      <c r="B1382" s="2" t="s">
        <v>130</v>
      </c>
      <c r="C1382" s="3">
        <f>2928/(60*60*24)</f>
        <v>3.3888888888888892E-2</v>
      </c>
      <c r="D1382" s="4">
        <f>1116/(60*60*24)</f>
        <v>1.2916666666666667E-2</v>
      </c>
      <c r="E1382" s="5">
        <f>3007/(60*60*24)</f>
        <v>3.4803240740740739E-2</v>
      </c>
      <c r="F1382" s="6">
        <f>11281/(60*60*24)</f>
        <v>0.13056712962962963</v>
      </c>
      <c r="G1382" s="7" t="s">
        <v>9</v>
      </c>
    </row>
    <row r="1383" spans="1:7" x14ac:dyDescent="0.45">
      <c r="A1383" t="s">
        <v>1478</v>
      </c>
      <c r="B1383" s="2" t="s">
        <v>132</v>
      </c>
      <c r="C1383" s="5">
        <f>3410/(60*60*24)</f>
        <v>3.9467592592592596E-2</v>
      </c>
      <c r="D1383" s="4">
        <f>1164/(60*60*24)</f>
        <v>1.3472222222222222E-2</v>
      </c>
      <c r="E1383" s="3">
        <f>3196/(60*60*24)</f>
        <v>3.6990740740740741E-2</v>
      </c>
      <c r="F1383" s="6">
        <f>11962/(60*60*24)</f>
        <v>0.13844907407407409</v>
      </c>
      <c r="G1383" s="7" t="s">
        <v>9</v>
      </c>
    </row>
    <row r="1384" spans="1:7" x14ac:dyDescent="0.45">
      <c r="A1384" t="s">
        <v>1479</v>
      </c>
      <c r="B1384" s="2" t="s">
        <v>136</v>
      </c>
      <c r="C1384" s="5">
        <f>3830/(60*60*24)</f>
        <v>4.4328703703703703E-2</v>
      </c>
      <c r="D1384" s="4">
        <f>1262/(60*60*24)</f>
        <v>1.4606481481481481E-2</v>
      </c>
      <c r="E1384" s="3">
        <f>3452/(60*60*24)</f>
        <v>3.9953703703703707E-2</v>
      </c>
      <c r="F1384" s="6">
        <f>12824/(60*60*24)</f>
        <v>0.14842592592592593</v>
      </c>
      <c r="G1384" s="7" t="s">
        <v>9</v>
      </c>
    </row>
    <row r="1385" spans="1:7" x14ac:dyDescent="0.45">
      <c r="A1385" t="s">
        <v>1480</v>
      </c>
      <c r="B1385" s="2" t="s">
        <v>134</v>
      </c>
      <c r="C1385" s="3">
        <f>3343/(60*60*24)</f>
        <v>3.8692129629629632E-2</v>
      </c>
      <c r="D1385" s="4">
        <f>1387/(60*60*24)</f>
        <v>1.6053240740740739E-2</v>
      </c>
      <c r="E1385" s="5">
        <f>3750/(60*60*24)</f>
        <v>4.3402777777777776E-2</v>
      </c>
      <c r="F1385" s="6">
        <f>13663/(60*60*24)</f>
        <v>0.15813657407407408</v>
      </c>
      <c r="G1385" s="7" t="s">
        <v>9</v>
      </c>
    </row>
    <row r="1386" spans="1:7" x14ac:dyDescent="0.45">
      <c r="A1386" t="s">
        <v>1481</v>
      </c>
      <c r="B1386" s="2" t="s">
        <v>138</v>
      </c>
      <c r="C1386" s="5">
        <f>4213/(60*60*24)</f>
        <v>4.8761574074074075E-2</v>
      </c>
      <c r="D1386" s="4">
        <f>1475/(60*60*24)</f>
        <v>1.7071759259259259E-2</v>
      </c>
      <c r="E1386" s="3">
        <f>3890/(60*60*24)</f>
        <v>4.5023148148148145E-2</v>
      </c>
      <c r="F1386" s="6">
        <f>14640/(60*60*24)</f>
        <v>0.16944444444444445</v>
      </c>
      <c r="G1386" s="7" t="s">
        <v>9</v>
      </c>
    </row>
    <row r="1387" spans="1:7" x14ac:dyDescent="0.45">
      <c r="A1387" t="s">
        <v>1482</v>
      </c>
      <c r="B1387" s="2" t="s">
        <v>140</v>
      </c>
      <c r="C1387" s="3">
        <f>3869/(60*60*24)</f>
        <v>4.4780092592592594E-2</v>
      </c>
      <c r="D1387" s="4">
        <f>1509/(60*60*24)</f>
        <v>1.7465277777777777E-2</v>
      </c>
      <c r="E1387" s="5">
        <f>4148/(60*60*24)</f>
        <v>4.8009259259259258E-2</v>
      </c>
      <c r="F1387" s="6">
        <f>15232/(60*60*24)</f>
        <v>0.17629629629629628</v>
      </c>
      <c r="G1387" s="7" t="s">
        <v>9</v>
      </c>
    </row>
    <row r="1388" spans="1:7" x14ac:dyDescent="0.45">
      <c r="A1388" t="s">
        <v>1483</v>
      </c>
      <c r="B1388" s="2" t="s">
        <v>142</v>
      </c>
      <c r="C1388" s="3">
        <f>4022/(60*60*24)</f>
        <v>4.6550925925925926E-2</v>
      </c>
      <c r="D1388" s="4">
        <f>1577/(60*60*24)</f>
        <v>1.8252314814814815E-2</v>
      </c>
      <c r="E1388" s="5">
        <f>4230/(60*60*24)</f>
        <v>4.8958333333333333E-2</v>
      </c>
      <c r="F1388" s="6">
        <f>16111/(60*60*24)</f>
        <v>0.1864699074074074</v>
      </c>
      <c r="G1388" s="7" t="s">
        <v>9</v>
      </c>
    </row>
    <row r="1389" spans="1:7" x14ac:dyDescent="0.45">
      <c r="A1389" t="s">
        <v>1484</v>
      </c>
      <c r="B1389" s="2" t="s">
        <v>144</v>
      </c>
      <c r="C1389" s="8" t="s">
        <v>12</v>
      </c>
      <c r="D1389" s="4">
        <f>1702/(60*60*24)</f>
        <v>1.9699074074074074E-2</v>
      </c>
      <c r="E1389" s="3">
        <f>4694/(60*60*24)</f>
        <v>5.4328703703703705E-2</v>
      </c>
      <c r="F1389" s="5">
        <f>16825/(60*60*24)</f>
        <v>0.19473379629629631</v>
      </c>
      <c r="G1389" s="7" t="s">
        <v>9</v>
      </c>
    </row>
    <row r="1390" spans="1:7" x14ac:dyDescent="0.45">
      <c r="A1390" t="s">
        <v>1485</v>
      </c>
      <c r="B1390" s="2" t="s">
        <v>146</v>
      </c>
      <c r="C1390" s="8" t="s">
        <v>12</v>
      </c>
      <c r="D1390" s="4">
        <f>1788/(60*60*24)</f>
        <v>2.0694444444444446E-2</v>
      </c>
      <c r="E1390" s="3">
        <f>4937/(60*60*24)</f>
        <v>5.7141203703703701E-2</v>
      </c>
      <c r="F1390" s="5">
        <f>17501/(60*60*24)</f>
        <v>0.20255787037037037</v>
      </c>
      <c r="G1390" s="7" t="s">
        <v>9</v>
      </c>
    </row>
    <row r="1391" spans="1:7" x14ac:dyDescent="0.45">
      <c r="A1391" t="s">
        <v>1486</v>
      </c>
      <c r="B1391" s="2" t="s">
        <v>148</v>
      </c>
      <c r="C1391" s="8" t="s">
        <v>12</v>
      </c>
      <c r="D1391" s="4">
        <f>1746/(60*60*24)</f>
        <v>2.0208333333333332E-2</v>
      </c>
      <c r="E1391" s="3">
        <f>4945/(60*60*24)</f>
        <v>5.7233796296296297E-2</v>
      </c>
      <c r="F1391" s="5">
        <f>18151/(60*60*24)</f>
        <v>0.21008101851851851</v>
      </c>
      <c r="G1391" s="7" t="s">
        <v>9</v>
      </c>
    </row>
    <row r="1392" spans="1:7" x14ac:dyDescent="0.45">
      <c r="A1392" t="s">
        <v>1487</v>
      </c>
      <c r="B1392" s="2" t="s">
        <v>152</v>
      </c>
      <c r="C1392" s="5">
        <f>9834/(60*60*24)</f>
        <v>0.11381944444444445</v>
      </c>
      <c r="D1392" s="4">
        <f>1884/(60*60*24)</f>
        <v>2.1805555555555557E-2</v>
      </c>
      <c r="E1392" s="3">
        <f>5482/(60*60*24)</f>
        <v>6.3449074074074074E-2</v>
      </c>
      <c r="F1392" s="6">
        <f>19651/(60*60*24)</f>
        <v>0.22744212962962962</v>
      </c>
      <c r="G1392" s="7" t="s">
        <v>9</v>
      </c>
    </row>
    <row r="1393" spans="1:7" x14ac:dyDescent="0.45">
      <c r="A1393" t="s">
        <v>1488</v>
      </c>
      <c r="B1393" s="2" t="s">
        <v>150</v>
      </c>
      <c r="C1393" s="8" t="s">
        <v>12</v>
      </c>
      <c r="D1393" s="4">
        <f>1886/(60*60*24)</f>
        <v>2.1828703703703704E-2</v>
      </c>
      <c r="E1393" s="3">
        <f>5247/(60*60*24)</f>
        <v>6.0729166666666667E-2</v>
      </c>
      <c r="F1393" s="5">
        <f>19045/(60*60*24)</f>
        <v>0.22042824074074074</v>
      </c>
      <c r="G1393" s="7" t="s">
        <v>9</v>
      </c>
    </row>
    <row r="1394" spans="1:7" x14ac:dyDescent="0.45">
      <c r="A1394" t="s">
        <v>1489</v>
      </c>
      <c r="B1394" s="2" t="s">
        <v>154</v>
      </c>
      <c r="C1394" s="5">
        <f>9641/(60*60*24)</f>
        <v>0.11158564814814814</v>
      </c>
      <c r="D1394" s="4">
        <f>1910/(60*60*24)</f>
        <v>2.210648148148148E-2</v>
      </c>
      <c r="E1394" s="3">
        <f>5714/(60*60*24)</f>
        <v>6.6134259259259254E-2</v>
      </c>
      <c r="F1394" s="6">
        <f>20450/(60*60*24)</f>
        <v>0.23668981481481483</v>
      </c>
      <c r="G1394" s="7" t="s">
        <v>9</v>
      </c>
    </row>
    <row r="1395" spans="1:7" x14ac:dyDescent="0.45">
      <c r="A1395" t="s">
        <v>1490</v>
      </c>
      <c r="B1395" s="2" t="s">
        <v>156</v>
      </c>
      <c r="C1395" s="8" t="s">
        <v>12</v>
      </c>
      <c r="D1395" s="4">
        <f>1986/(60*60*24)</f>
        <v>2.298611111111111E-2</v>
      </c>
      <c r="E1395" s="3">
        <f>6022/(60*60*24)</f>
        <v>6.969907407407408E-2</v>
      </c>
      <c r="F1395" s="5">
        <f>21219/(60*60*24)</f>
        <v>0.24559027777777778</v>
      </c>
      <c r="G1395" s="7" t="s">
        <v>9</v>
      </c>
    </row>
    <row r="1396" spans="1:7" x14ac:dyDescent="0.45">
      <c r="A1396" t="s">
        <v>1491</v>
      </c>
      <c r="B1396" s="2" t="s">
        <v>158</v>
      </c>
      <c r="C1396" s="5">
        <f>8845/(60*60*24)</f>
        <v>0.10237268518518519</v>
      </c>
      <c r="D1396" s="4">
        <f>2054/(60*60*24)</f>
        <v>2.3773148148148147E-2</v>
      </c>
      <c r="E1396" s="3">
        <f>6458/(60*60*24)</f>
        <v>7.4745370370370365E-2</v>
      </c>
      <c r="F1396" s="6">
        <f>22875/(60*60*24)</f>
        <v>0.26475694444444442</v>
      </c>
      <c r="G1396" s="7" t="s">
        <v>9</v>
      </c>
    </row>
    <row r="1397" spans="1:7" x14ac:dyDescent="0.45">
      <c r="A1397" t="s">
        <v>1492</v>
      </c>
      <c r="B1397" s="2" t="s">
        <v>160</v>
      </c>
      <c r="C1397" s="8" t="s">
        <v>12</v>
      </c>
      <c r="D1397" s="4">
        <f>2004/(60*60*24)</f>
        <v>2.3194444444444445E-2</v>
      </c>
      <c r="E1397" s="3">
        <f>6155/(60*60*24)</f>
        <v>7.1238425925925927E-2</v>
      </c>
      <c r="F1397" s="5">
        <f>22110/(60*60*24)</f>
        <v>0.25590277777777776</v>
      </c>
      <c r="G1397" s="7" t="s">
        <v>9</v>
      </c>
    </row>
    <row r="1398" spans="1:7" x14ac:dyDescent="0.45">
      <c r="A1398" t="s">
        <v>1493</v>
      </c>
      <c r="B1398" s="2" t="s">
        <v>162</v>
      </c>
      <c r="C1398" s="5">
        <f>8817/(60*60*24)</f>
        <v>0.10204861111111112</v>
      </c>
      <c r="D1398" s="4">
        <f>2167/(60*60*24)</f>
        <v>2.508101851851852E-2</v>
      </c>
      <c r="E1398" s="3">
        <f>6556/(60*60*24)</f>
        <v>7.587962962962963E-2</v>
      </c>
      <c r="F1398" s="6">
        <f>23826/(60*60*24)</f>
        <v>0.27576388888888886</v>
      </c>
      <c r="G1398" s="7" t="s">
        <v>9</v>
      </c>
    </row>
    <row r="1399" spans="1:7" x14ac:dyDescent="0.45">
      <c r="A1399" t="s">
        <v>1494</v>
      </c>
      <c r="B1399" s="2" t="s">
        <v>164</v>
      </c>
      <c r="C1399" s="5">
        <f>8735/(60*60*24)</f>
        <v>0.10109953703703704</v>
      </c>
      <c r="D1399" s="4">
        <f>2283/(60*60*24)</f>
        <v>2.642361111111111E-2</v>
      </c>
      <c r="E1399" s="3">
        <f>6798/(60*60*24)</f>
        <v>7.8680555555555559E-2</v>
      </c>
      <c r="F1399" s="6">
        <f>24520/(60*60*24)</f>
        <v>0.28379629629629627</v>
      </c>
      <c r="G1399" s="7" t="s">
        <v>9</v>
      </c>
    </row>
    <row r="1400" spans="1:7" x14ac:dyDescent="0.45">
      <c r="A1400" t="s">
        <v>1495</v>
      </c>
      <c r="B1400" s="2" t="s">
        <v>168</v>
      </c>
      <c r="C1400" s="3">
        <f>6277/(60*60*24)</f>
        <v>7.2650462962962958E-2</v>
      </c>
      <c r="D1400" s="4">
        <f>2173/(60*60*24)</f>
        <v>2.5150462962962961E-2</v>
      </c>
      <c r="E1400" s="5">
        <f>6944/(60*60*24)</f>
        <v>8.037037037037037E-2</v>
      </c>
      <c r="F1400" s="6">
        <f>24701/(60*60*24)</f>
        <v>0.28589120370370369</v>
      </c>
      <c r="G1400" s="7" t="s">
        <v>9</v>
      </c>
    </row>
    <row r="1401" spans="1:7" x14ac:dyDescent="0.45">
      <c r="A1401" t="s">
        <v>1496</v>
      </c>
      <c r="B1401" s="2" t="s">
        <v>166</v>
      </c>
      <c r="C1401" s="3">
        <f>6769/(60*60*24)</f>
        <v>7.8344907407407405E-2</v>
      </c>
      <c r="D1401" s="4">
        <f>2204/(60*60*24)</f>
        <v>2.5509259259259259E-2</v>
      </c>
      <c r="E1401" s="5">
        <f>7060/(60*60*24)</f>
        <v>8.1712962962962959E-2</v>
      </c>
      <c r="F1401" s="6">
        <f>25113/(60*60*24)</f>
        <v>0.29065972222222225</v>
      </c>
      <c r="G1401" s="7" t="s">
        <v>9</v>
      </c>
    </row>
    <row r="1402" spans="1:7" x14ac:dyDescent="0.45">
      <c r="A1402" t="s">
        <v>1497</v>
      </c>
      <c r="B1402" s="2" t="s">
        <v>170</v>
      </c>
      <c r="C1402" s="3">
        <f>6853/(60*60*24)</f>
        <v>7.9317129629629626E-2</v>
      </c>
      <c r="D1402" s="4">
        <f>2321/(60*60*24)</f>
        <v>2.6863425925925926E-2</v>
      </c>
      <c r="E1402" s="5">
        <f>7519/(60*60*24)</f>
        <v>8.7025462962962957E-2</v>
      </c>
      <c r="F1402" s="6">
        <f>26505/(60*60*24)</f>
        <v>0.30677083333333333</v>
      </c>
      <c r="G1402" s="7" t="s">
        <v>9</v>
      </c>
    </row>
    <row r="1403" spans="1:7" x14ac:dyDescent="0.45">
      <c r="A1403" t="s">
        <v>1498</v>
      </c>
      <c r="B1403" s="2" t="s">
        <v>172</v>
      </c>
      <c r="C1403" s="3">
        <f>7175/(60*60*24)</f>
        <v>8.3043981481481483E-2</v>
      </c>
      <c r="D1403" s="4">
        <f>2283/(60*60*24)</f>
        <v>2.642361111111111E-2</v>
      </c>
      <c r="E1403" s="5">
        <f>7572/(60*60*24)</f>
        <v>8.7638888888888891E-2</v>
      </c>
      <c r="F1403" s="6">
        <f>26906/(60*60*24)</f>
        <v>0.31141203703703701</v>
      </c>
      <c r="G1403" s="7" t="s">
        <v>9</v>
      </c>
    </row>
    <row r="1404" spans="1:7" x14ac:dyDescent="0.45">
      <c r="A1404" t="s">
        <v>1499</v>
      </c>
      <c r="B1404" s="2" t="s">
        <v>176</v>
      </c>
      <c r="C1404" s="3">
        <f>7210/(60*60*24)</f>
        <v>8.3449074074074078E-2</v>
      </c>
      <c r="D1404" s="4">
        <f>2296/(60*60*24)</f>
        <v>2.6574074074074073E-2</v>
      </c>
      <c r="E1404" s="5">
        <f>7702/(60*60*24)</f>
        <v>8.9143518518518525E-2</v>
      </c>
      <c r="F1404" s="6">
        <f>27246/(60*60*24)</f>
        <v>0.31534722222222222</v>
      </c>
      <c r="G1404" s="7" t="s">
        <v>9</v>
      </c>
    </row>
    <row r="1405" spans="1:7" x14ac:dyDescent="0.45">
      <c r="A1405" t="s">
        <v>1500</v>
      </c>
      <c r="B1405" s="2" t="s">
        <v>174</v>
      </c>
      <c r="C1405" s="8" t="s">
        <v>12</v>
      </c>
      <c r="D1405" s="4">
        <f>2343/(60*60*24)</f>
        <v>2.7118055555555555E-2</v>
      </c>
      <c r="E1405" s="3">
        <f>7932/(60*60*24)</f>
        <v>9.1805555555555557E-2</v>
      </c>
      <c r="F1405" s="5">
        <f>28240/(60*60*24)</f>
        <v>0.32685185185185184</v>
      </c>
      <c r="G1405" s="7" t="s">
        <v>9</v>
      </c>
    </row>
    <row r="1406" spans="1:7" x14ac:dyDescent="0.45">
      <c r="A1406" t="s">
        <v>1501</v>
      </c>
      <c r="B1406" s="2" t="s">
        <v>180</v>
      </c>
      <c r="C1406" s="3">
        <f>7652/(60*60*24)</f>
        <v>8.8564814814814818E-2</v>
      </c>
      <c r="D1406" s="4">
        <f>2367/(60*60*24)</f>
        <v>2.7395833333333335E-2</v>
      </c>
      <c r="E1406" s="5">
        <f>8023/(60*60*24)</f>
        <v>9.28587962962963E-2</v>
      </c>
      <c r="F1406" s="6">
        <f>29407/(60*60*24)</f>
        <v>0.34035879629629628</v>
      </c>
      <c r="G1406" s="7" t="s">
        <v>9</v>
      </c>
    </row>
    <row r="1407" spans="1:7" x14ac:dyDescent="0.45">
      <c r="A1407" t="s">
        <v>1502</v>
      </c>
      <c r="B1407" s="2" t="s">
        <v>178</v>
      </c>
      <c r="C1407" s="3">
        <f>7788/(60*60*24)</f>
        <v>9.0138888888888893E-2</v>
      </c>
      <c r="D1407" s="4">
        <f>2475/(60*60*24)</f>
        <v>2.8645833333333332E-2</v>
      </c>
      <c r="E1407" s="5">
        <f>8264/(60*60*24)</f>
        <v>9.5648148148148149E-2</v>
      </c>
      <c r="F1407" s="6">
        <f>29560/(60*60*24)</f>
        <v>0.34212962962962962</v>
      </c>
      <c r="G1407" s="7" t="s">
        <v>9</v>
      </c>
    </row>
    <row r="1408" spans="1:7" x14ac:dyDescent="0.45">
      <c r="A1408" t="s">
        <v>1503</v>
      </c>
      <c r="B1408" s="2" t="s">
        <v>182</v>
      </c>
      <c r="C1408" s="3">
        <f>7619/(60*60*24)</f>
        <v>8.818287037037037E-2</v>
      </c>
      <c r="D1408" s="4">
        <f>2459/(60*60*24)</f>
        <v>2.8460648148148148E-2</v>
      </c>
      <c r="E1408" s="5">
        <f>8585/(60*60*24)</f>
        <v>9.9363425925925924E-2</v>
      </c>
      <c r="F1408" s="6">
        <f>30626/(60*60*24)</f>
        <v>0.35446759259259258</v>
      </c>
      <c r="G1408" s="7" t="s">
        <v>9</v>
      </c>
    </row>
    <row r="1409" spans="1:7" x14ac:dyDescent="0.45">
      <c r="A1409" t="s">
        <v>1504</v>
      </c>
      <c r="B1409" s="2" t="s">
        <v>184</v>
      </c>
      <c r="C1409" s="3">
        <f>7806/(60*60*24)</f>
        <v>9.0347222222222218E-2</v>
      </c>
      <c r="D1409" s="4">
        <f>2501/(60*60*24)</f>
        <v>2.8946759259259259E-2</v>
      </c>
      <c r="E1409" s="5">
        <f>8640/(60*60*24)</f>
        <v>0.1</v>
      </c>
      <c r="F1409" s="6">
        <f>30875/(60*60*24)</f>
        <v>0.35734953703703703</v>
      </c>
      <c r="G1409" s="7" t="s">
        <v>9</v>
      </c>
    </row>
    <row r="1410" spans="1:7" x14ac:dyDescent="0.45">
      <c r="A1410" t="s">
        <v>1505</v>
      </c>
      <c r="B1410" s="2" t="s">
        <v>8</v>
      </c>
      <c r="C1410" s="3">
        <f>5708/(60*60*24)</f>
        <v>6.6064814814814812E-2</v>
      </c>
      <c r="D1410" s="4">
        <f>2099/(60*60*24)</f>
        <v>2.4293981481481482E-2</v>
      </c>
      <c r="E1410" s="5">
        <f>9139/(60*60*24)</f>
        <v>0.10577546296296296</v>
      </c>
      <c r="F1410" s="6">
        <f>31616/(60*60*24)</f>
        <v>0.36592592592592593</v>
      </c>
      <c r="G1410" s="7" t="s">
        <v>9</v>
      </c>
    </row>
    <row r="1411" spans="1:7" x14ac:dyDescent="0.45">
      <c r="A1411" t="s">
        <v>1506</v>
      </c>
      <c r="B1411" s="2" t="s">
        <v>11</v>
      </c>
      <c r="C1411" s="3">
        <f>7619/(60*60*24)</f>
        <v>8.818287037037037E-2</v>
      </c>
      <c r="D1411" s="4">
        <f>2313/(60*60*24)</f>
        <v>2.6770833333333334E-2</v>
      </c>
      <c r="E1411" s="5">
        <f>9107/(60*60*24)</f>
        <v>0.10540509259259259</v>
      </c>
      <c r="F1411" s="6">
        <f>30915/(60*60*24)</f>
        <v>0.35781249999999998</v>
      </c>
      <c r="G1411" s="7" t="s">
        <v>9</v>
      </c>
    </row>
    <row r="1412" spans="1:7" x14ac:dyDescent="0.45">
      <c r="A1412" t="s">
        <v>1507</v>
      </c>
      <c r="B1412" s="2" t="s">
        <v>14</v>
      </c>
      <c r="C1412" s="3">
        <f>7086/(60*60*24)</f>
        <v>8.2013888888888886E-2</v>
      </c>
      <c r="D1412" s="4">
        <f>2180/(60*60*24)</f>
        <v>2.5231481481481483E-2</v>
      </c>
      <c r="E1412" s="5">
        <f>8814/(60*60*24)</f>
        <v>0.10201388888888889</v>
      </c>
      <c r="F1412" s="6">
        <f>29850/(60*60*24)</f>
        <v>0.3454861111111111</v>
      </c>
      <c r="G1412" s="7" t="s">
        <v>9</v>
      </c>
    </row>
    <row r="1413" spans="1:7" x14ac:dyDescent="0.45">
      <c r="A1413" t="s">
        <v>1508</v>
      </c>
      <c r="B1413" s="2" t="s">
        <v>16</v>
      </c>
      <c r="C1413" s="8" t="s">
        <v>12</v>
      </c>
      <c r="D1413" s="4">
        <f>2212/(60*60*24)</f>
        <v>2.5601851851851851E-2</v>
      </c>
      <c r="E1413" s="3">
        <f>8523/(60*60*24)</f>
        <v>9.8645833333333335E-2</v>
      </c>
      <c r="F1413" s="5">
        <f>29272/(60*60*24)</f>
        <v>0.33879629629629632</v>
      </c>
      <c r="G1413" s="7" t="s">
        <v>9</v>
      </c>
    </row>
    <row r="1414" spans="1:7" x14ac:dyDescent="0.45">
      <c r="A1414" t="s">
        <v>1509</v>
      </c>
      <c r="B1414" s="2" t="s">
        <v>18</v>
      </c>
      <c r="C1414" s="8" t="s">
        <v>12</v>
      </c>
      <c r="D1414" s="4">
        <f>2034/(60*60*24)</f>
        <v>2.3541666666666666E-2</v>
      </c>
      <c r="E1414" s="3">
        <f>8203/(60*60*24)</f>
        <v>9.4942129629629626E-2</v>
      </c>
      <c r="F1414" s="5">
        <f>28455/(60*60*24)</f>
        <v>0.3293402777777778</v>
      </c>
      <c r="G1414" s="7" t="s">
        <v>9</v>
      </c>
    </row>
    <row r="1415" spans="1:7" x14ac:dyDescent="0.45">
      <c r="A1415" t="s">
        <v>1510</v>
      </c>
      <c r="B1415" s="2" t="s">
        <v>20</v>
      </c>
      <c r="C1415" s="8" t="s">
        <v>12</v>
      </c>
      <c r="D1415" s="4">
        <f>2052/(60*60*24)</f>
        <v>2.375E-2</v>
      </c>
      <c r="E1415" s="3">
        <f>8238/(60*60*24)</f>
        <v>9.5347222222222222E-2</v>
      </c>
      <c r="F1415" s="5">
        <f>28157/(60*60*24)</f>
        <v>0.32589120370370372</v>
      </c>
      <c r="G1415" s="7" t="s">
        <v>9</v>
      </c>
    </row>
    <row r="1416" spans="1:7" x14ac:dyDescent="0.45">
      <c r="A1416" t="s">
        <v>1511</v>
      </c>
      <c r="B1416" s="2" t="s">
        <v>22</v>
      </c>
      <c r="C1416" s="3">
        <f>6596/(60*60*24)</f>
        <v>7.6342592592592587E-2</v>
      </c>
      <c r="D1416" s="4">
        <f>2045/(60*60*24)</f>
        <v>2.3668981481481482E-2</v>
      </c>
      <c r="E1416" s="5">
        <f>8109/(60*60*24)</f>
        <v>9.3854166666666669E-2</v>
      </c>
      <c r="F1416" s="6">
        <f>27243/(60*60*24)</f>
        <v>0.3153125</v>
      </c>
      <c r="G1416" s="7" t="s">
        <v>9</v>
      </c>
    </row>
    <row r="1417" spans="1:7" x14ac:dyDescent="0.45">
      <c r="A1417" t="s">
        <v>1512</v>
      </c>
      <c r="B1417" s="2" t="s">
        <v>24</v>
      </c>
      <c r="C1417" s="3">
        <f>5704/(60*60*24)</f>
        <v>6.6018518518518518E-2</v>
      </c>
      <c r="D1417" s="4">
        <f>2030/(60*60*24)</f>
        <v>2.3495370370370371E-2</v>
      </c>
      <c r="E1417" s="5">
        <f>7830/(60*60*24)</f>
        <v>9.0624999999999997E-2</v>
      </c>
      <c r="F1417" s="6">
        <f>26494/(60*60*24)</f>
        <v>0.30664351851851851</v>
      </c>
      <c r="G1417" s="7" t="s">
        <v>9</v>
      </c>
    </row>
    <row r="1418" spans="1:7" x14ac:dyDescent="0.45">
      <c r="A1418" t="s">
        <v>1513</v>
      </c>
      <c r="B1418" s="2" t="s">
        <v>26</v>
      </c>
      <c r="C1418" s="3">
        <f>5244/(60*60*24)</f>
        <v>6.0694444444444447E-2</v>
      </c>
      <c r="D1418" s="4">
        <f>1896/(60*60*24)</f>
        <v>2.1944444444444444E-2</v>
      </c>
      <c r="E1418" s="5">
        <f>7639/(60*60*24)</f>
        <v>8.8414351851851855E-2</v>
      </c>
      <c r="F1418" s="6">
        <f>25820/(60*60*24)</f>
        <v>0.2988425925925926</v>
      </c>
      <c r="G1418" s="7" t="s">
        <v>9</v>
      </c>
    </row>
    <row r="1419" spans="1:7" x14ac:dyDescent="0.45">
      <c r="A1419" t="s">
        <v>1514</v>
      </c>
      <c r="B1419" s="2" t="s">
        <v>28</v>
      </c>
      <c r="C1419" s="3">
        <f>5649/(60*60*24)</f>
        <v>6.5381944444444451E-2</v>
      </c>
      <c r="D1419" s="4">
        <f>1890/(60*60*24)</f>
        <v>2.1874999999999999E-2</v>
      </c>
      <c r="E1419" s="5">
        <f>7543/(60*60*24)</f>
        <v>8.7303240740740737E-2</v>
      </c>
      <c r="F1419" s="6">
        <f>25077/(60*60*24)</f>
        <v>0.29024305555555557</v>
      </c>
      <c r="G1419" s="7" t="s">
        <v>9</v>
      </c>
    </row>
    <row r="1420" spans="1:7" x14ac:dyDescent="0.45">
      <c r="A1420" t="s">
        <v>1515</v>
      </c>
      <c r="B1420" s="2" t="s">
        <v>30</v>
      </c>
      <c r="C1420" s="3">
        <f>5488/(60*60*24)</f>
        <v>6.3518518518518516E-2</v>
      </c>
      <c r="D1420" s="4">
        <f>1942/(60*60*24)</f>
        <v>2.2476851851851852E-2</v>
      </c>
      <c r="E1420" s="5">
        <f>7331/(60*60*24)</f>
        <v>8.4849537037037043E-2</v>
      </c>
      <c r="F1420" s="6">
        <f>24317/(60*60*24)</f>
        <v>0.28144675925925927</v>
      </c>
      <c r="G1420" s="7" t="s">
        <v>9</v>
      </c>
    </row>
    <row r="1421" spans="1:7" x14ac:dyDescent="0.45">
      <c r="A1421" t="s">
        <v>1516</v>
      </c>
      <c r="B1421" s="2" t="s">
        <v>32</v>
      </c>
      <c r="C1421" s="3">
        <f>5489/(60*60*24)</f>
        <v>6.3530092592592596E-2</v>
      </c>
      <c r="D1421" s="4">
        <f>2029/(60*60*24)</f>
        <v>2.3483796296296298E-2</v>
      </c>
      <c r="E1421" s="5">
        <f>7289/(60*60*24)</f>
        <v>8.4363425925925925E-2</v>
      </c>
      <c r="F1421" s="6">
        <f>23641/(60*60*24)</f>
        <v>0.27362268518518518</v>
      </c>
      <c r="G1421" s="7" t="s">
        <v>9</v>
      </c>
    </row>
    <row r="1422" spans="1:7" x14ac:dyDescent="0.45">
      <c r="A1422" t="s">
        <v>1517</v>
      </c>
      <c r="B1422" s="2" t="s">
        <v>36</v>
      </c>
      <c r="C1422" s="8" t="s">
        <v>12</v>
      </c>
      <c r="D1422" s="4">
        <f>1909/(60*60*24)</f>
        <v>2.2094907407407407E-2</v>
      </c>
      <c r="E1422" s="3">
        <f>6974/(60*60*24)</f>
        <v>8.0717592592592591E-2</v>
      </c>
      <c r="F1422" s="5">
        <f>22911/(60*60*24)</f>
        <v>0.2651736111111111</v>
      </c>
      <c r="G1422" s="7" t="s">
        <v>9</v>
      </c>
    </row>
    <row r="1423" spans="1:7" x14ac:dyDescent="0.45">
      <c r="A1423" t="s">
        <v>1518</v>
      </c>
      <c r="B1423" s="2" t="s">
        <v>34</v>
      </c>
      <c r="C1423" s="8" t="s">
        <v>12</v>
      </c>
      <c r="D1423" s="4">
        <f>1929/(60*60*24)</f>
        <v>2.2326388888888889E-2</v>
      </c>
      <c r="E1423" s="3">
        <f>6627/(60*60*24)</f>
        <v>7.6701388888888888E-2</v>
      </c>
      <c r="F1423" s="5">
        <f>22061/(60*60*24)</f>
        <v>0.25533564814814813</v>
      </c>
      <c r="G1423" s="7" t="s">
        <v>9</v>
      </c>
    </row>
    <row r="1424" spans="1:7" x14ac:dyDescent="0.45">
      <c r="A1424" t="s">
        <v>1519</v>
      </c>
      <c r="B1424" s="2" t="s">
        <v>40</v>
      </c>
      <c r="C1424" s="3">
        <f>4214/(60*60*24)</f>
        <v>4.8773148148148149E-2</v>
      </c>
      <c r="D1424" s="4">
        <f>1241/(60*60*24)</f>
        <v>1.4363425925925925E-2</v>
      </c>
      <c r="E1424" s="5">
        <f>6318/(60*60*24)</f>
        <v>7.3124999999999996E-2</v>
      </c>
      <c r="F1424" s="6">
        <f>21236/(60*60*24)</f>
        <v>0.24578703703703703</v>
      </c>
      <c r="G1424" s="7" t="s">
        <v>9</v>
      </c>
    </row>
    <row r="1425" spans="1:7" x14ac:dyDescent="0.45">
      <c r="A1425" t="s">
        <v>1520</v>
      </c>
      <c r="B1425" s="2" t="s">
        <v>38</v>
      </c>
      <c r="C1425" s="8" t="s">
        <v>12</v>
      </c>
      <c r="D1425" s="4">
        <f>1852/(60*60*24)</f>
        <v>2.1435185185185186E-2</v>
      </c>
      <c r="E1425" s="3">
        <f>6510/(60*60*24)</f>
        <v>7.5347222222222218E-2</v>
      </c>
      <c r="F1425" s="5">
        <f>21612/(60*60*24)</f>
        <v>0.25013888888888891</v>
      </c>
      <c r="G1425" s="7" t="s">
        <v>9</v>
      </c>
    </row>
    <row r="1426" spans="1:7" x14ac:dyDescent="0.45">
      <c r="A1426" t="s">
        <v>1521</v>
      </c>
      <c r="B1426" s="2" t="s">
        <v>44</v>
      </c>
      <c r="C1426" s="3">
        <f>4480/(60*60*24)</f>
        <v>5.185185185185185E-2</v>
      </c>
      <c r="D1426" s="4">
        <f>1672/(60*60*24)</f>
        <v>1.9351851851851853E-2</v>
      </c>
      <c r="E1426" s="5">
        <f>6061/(60*60*24)</f>
        <v>7.0150462962962956E-2</v>
      </c>
      <c r="F1426" s="6">
        <f>20510/(60*60*24)</f>
        <v>0.23738425925925927</v>
      </c>
      <c r="G1426" s="7" t="s">
        <v>9</v>
      </c>
    </row>
    <row r="1427" spans="1:7" x14ac:dyDescent="0.45">
      <c r="A1427" t="s">
        <v>1522</v>
      </c>
      <c r="B1427" s="2" t="s">
        <v>42</v>
      </c>
      <c r="C1427" s="3">
        <f>3323/(60*60*24)</f>
        <v>3.8460648148148147E-2</v>
      </c>
      <c r="D1427" s="4">
        <f>1503/(60*60*24)</f>
        <v>1.7395833333333333E-2</v>
      </c>
      <c r="E1427" s="5">
        <f>5840/(60*60*24)</f>
        <v>6.7592592592592593E-2</v>
      </c>
      <c r="F1427" s="6">
        <f>19785/(60*60*24)</f>
        <v>0.22899305555555555</v>
      </c>
      <c r="G1427" s="7" t="s">
        <v>9</v>
      </c>
    </row>
    <row r="1428" spans="1:7" x14ac:dyDescent="0.45">
      <c r="A1428" t="s">
        <v>1523</v>
      </c>
      <c r="B1428" s="2" t="s">
        <v>46</v>
      </c>
      <c r="C1428" s="3">
        <f>3580/(60*60*24)</f>
        <v>4.1435185185185186E-2</v>
      </c>
      <c r="D1428" s="4">
        <f>1519/(60*60*24)</f>
        <v>1.758101851851852E-2</v>
      </c>
      <c r="E1428" s="5">
        <f>5801/(60*60*24)</f>
        <v>6.7141203703703703E-2</v>
      </c>
      <c r="F1428" s="6">
        <f>19111/(60*60*24)</f>
        <v>0.22119212962962964</v>
      </c>
      <c r="G1428" s="7" t="s">
        <v>9</v>
      </c>
    </row>
    <row r="1429" spans="1:7" x14ac:dyDescent="0.45">
      <c r="A1429" t="s">
        <v>1524</v>
      </c>
      <c r="B1429" s="2" t="s">
        <v>48</v>
      </c>
      <c r="C1429" s="3">
        <f>3885/(60*60*24)</f>
        <v>4.4965277777777778E-2</v>
      </c>
      <c r="D1429" s="4">
        <f>1419/(60*60*24)</f>
        <v>1.6423611111111111E-2</v>
      </c>
      <c r="E1429" s="5">
        <f>5619/(60*60*24)</f>
        <v>6.5034722222222216E-2</v>
      </c>
      <c r="F1429" s="6">
        <f>18587/(60*60*24)</f>
        <v>0.21512731481481481</v>
      </c>
      <c r="G1429" s="7" t="s">
        <v>9</v>
      </c>
    </row>
    <row r="1430" spans="1:7" x14ac:dyDescent="0.45">
      <c r="A1430" t="s">
        <v>1525</v>
      </c>
      <c r="B1430" s="2" t="s">
        <v>50</v>
      </c>
      <c r="C1430" s="3">
        <f>3613/(60*60*24)</f>
        <v>4.1817129629629628E-2</v>
      </c>
      <c r="D1430" s="4">
        <f>1532/(60*60*24)</f>
        <v>1.773148148148148E-2</v>
      </c>
      <c r="E1430" s="5">
        <f>5289/(60*60*24)</f>
        <v>6.1215277777777778E-2</v>
      </c>
      <c r="F1430" s="6">
        <f>17973/(60*60*24)</f>
        <v>0.20802083333333332</v>
      </c>
      <c r="G1430" s="7" t="s">
        <v>9</v>
      </c>
    </row>
    <row r="1431" spans="1:7" x14ac:dyDescent="0.45">
      <c r="A1431" t="s">
        <v>1526</v>
      </c>
      <c r="B1431" s="2" t="s">
        <v>52</v>
      </c>
      <c r="C1431" s="3">
        <f>3211/(60*60*24)</f>
        <v>3.7164351851851851E-2</v>
      </c>
      <c r="D1431" s="4">
        <f>1675/(60*60*24)</f>
        <v>1.9386574074074073E-2</v>
      </c>
      <c r="E1431" s="5">
        <f>5267/(60*60*24)</f>
        <v>6.0960648148148146E-2</v>
      </c>
      <c r="F1431" s="6">
        <f>17332/(60*60*24)</f>
        <v>0.20060185185185186</v>
      </c>
      <c r="G1431" s="7" t="s">
        <v>9</v>
      </c>
    </row>
    <row r="1432" spans="1:7" x14ac:dyDescent="0.45">
      <c r="A1432" t="s">
        <v>1527</v>
      </c>
      <c r="B1432" s="2" t="s">
        <v>54</v>
      </c>
      <c r="C1432" s="3">
        <f>3597/(60*60*24)</f>
        <v>4.1631944444444444E-2</v>
      </c>
      <c r="D1432" s="4">
        <f>1715/(60*60*24)</f>
        <v>1.9849537037037037E-2</v>
      </c>
      <c r="E1432" s="5">
        <f>4960/(60*60*24)</f>
        <v>5.7407407407407407E-2</v>
      </c>
      <c r="F1432" s="6">
        <f>16644/(60*60*24)</f>
        <v>0.19263888888888889</v>
      </c>
      <c r="G1432" s="7" t="s">
        <v>9</v>
      </c>
    </row>
    <row r="1433" spans="1:7" x14ac:dyDescent="0.45">
      <c r="A1433" t="s">
        <v>1528</v>
      </c>
      <c r="B1433" s="2" t="s">
        <v>56</v>
      </c>
      <c r="C1433" s="3">
        <f>3661/(60*60*24)</f>
        <v>4.2372685185185187E-2</v>
      </c>
      <c r="D1433" s="4">
        <f>1731/(60*60*24)</f>
        <v>2.0034722222222221E-2</v>
      </c>
      <c r="E1433" s="5">
        <f>4852/(60*60*24)</f>
        <v>5.6157407407407406E-2</v>
      </c>
      <c r="F1433" s="6">
        <f>15955/(60*60*24)</f>
        <v>0.18466435185185184</v>
      </c>
      <c r="G1433" s="7" t="s">
        <v>9</v>
      </c>
    </row>
    <row r="1434" spans="1:7" x14ac:dyDescent="0.45">
      <c r="A1434" t="s">
        <v>1529</v>
      </c>
      <c r="B1434" s="2" t="s">
        <v>58</v>
      </c>
      <c r="C1434" s="3">
        <f>3511/(60*60*24)</f>
        <v>4.0636574074074075E-2</v>
      </c>
      <c r="D1434" s="4">
        <f>1703/(60*60*24)</f>
        <v>1.9710648148148147E-2</v>
      </c>
      <c r="E1434" s="5">
        <f>4570/(60*60*24)</f>
        <v>5.289351851851852E-2</v>
      </c>
      <c r="F1434" s="6">
        <f>15334/(60*60*24)</f>
        <v>0.17747685185185186</v>
      </c>
      <c r="G1434" s="7" t="s">
        <v>9</v>
      </c>
    </row>
    <row r="1435" spans="1:7" x14ac:dyDescent="0.45">
      <c r="A1435" t="s">
        <v>1530</v>
      </c>
      <c r="B1435" s="2" t="s">
        <v>60</v>
      </c>
      <c r="C1435" s="3">
        <f>3403/(60*60*24)</f>
        <v>3.9386574074074074E-2</v>
      </c>
      <c r="D1435" s="4">
        <f>1720/(60*60*24)</f>
        <v>1.9907407407407408E-2</v>
      </c>
      <c r="E1435" s="5">
        <f>4402/(60*60*24)</f>
        <v>5.0949074074074077E-2</v>
      </c>
      <c r="F1435" s="6">
        <f>14590/(60*60*24)</f>
        <v>0.16886574074074073</v>
      </c>
      <c r="G1435" s="7" t="s">
        <v>9</v>
      </c>
    </row>
    <row r="1436" spans="1:7" x14ac:dyDescent="0.45">
      <c r="A1436" t="s">
        <v>1531</v>
      </c>
      <c r="B1436" s="2" t="s">
        <v>62</v>
      </c>
      <c r="C1436" s="3">
        <f>3437/(60*60*24)</f>
        <v>3.9780092592592596E-2</v>
      </c>
      <c r="D1436" s="4">
        <f>1560/(60*60*24)</f>
        <v>1.8055555555555554E-2</v>
      </c>
      <c r="E1436" s="5">
        <f>4362/(60*60*24)</f>
        <v>5.0486111111111114E-2</v>
      </c>
      <c r="F1436" s="6">
        <f>14078/(60*60*24)</f>
        <v>0.16293981481481482</v>
      </c>
      <c r="G1436" s="7" t="s">
        <v>9</v>
      </c>
    </row>
    <row r="1437" spans="1:7" x14ac:dyDescent="0.45">
      <c r="A1437" t="s">
        <v>1532</v>
      </c>
      <c r="B1437" s="2" t="s">
        <v>64</v>
      </c>
      <c r="C1437" s="3">
        <f>3456/(60*60*24)</f>
        <v>0.04</v>
      </c>
      <c r="D1437" s="4">
        <f>1656/(60*60*24)</f>
        <v>1.9166666666666665E-2</v>
      </c>
      <c r="E1437" s="5">
        <f>4142/(60*60*24)</f>
        <v>4.7939814814814817E-2</v>
      </c>
      <c r="F1437" s="6">
        <f>13412/(60*60*24)</f>
        <v>0.15523148148148147</v>
      </c>
      <c r="G1437" s="7" t="s">
        <v>9</v>
      </c>
    </row>
    <row r="1438" spans="1:7" x14ac:dyDescent="0.45">
      <c r="A1438" t="s">
        <v>1533</v>
      </c>
      <c r="B1438" s="2" t="s">
        <v>66</v>
      </c>
      <c r="C1438" s="3">
        <f>3825/(60*60*24)</f>
        <v>4.4270833333333336E-2</v>
      </c>
      <c r="D1438" s="4">
        <f>1551/(60*60*24)</f>
        <v>1.7951388888888888E-2</v>
      </c>
      <c r="E1438" s="5">
        <f>3906/(60*60*24)</f>
        <v>4.5208333333333336E-2</v>
      </c>
      <c r="F1438" s="6">
        <f>12894/(60*60*24)</f>
        <v>0.14923611111111112</v>
      </c>
      <c r="G1438" s="7" t="s">
        <v>9</v>
      </c>
    </row>
    <row r="1439" spans="1:7" x14ac:dyDescent="0.45">
      <c r="A1439" t="s">
        <v>1534</v>
      </c>
      <c r="B1439" s="2" t="s">
        <v>68</v>
      </c>
      <c r="C1439" s="3">
        <f>3300/(60*60*24)</f>
        <v>3.8194444444444448E-2</v>
      </c>
      <c r="D1439" s="4">
        <f>1419/(60*60*24)</f>
        <v>1.6423611111111111E-2</v>
      </c>
      <c r="E1439" s="5">
        <f>3621/(60*60*24)</f>
        <v>4.1909722222222223E-2</v>
      </c>
      <c r="F1439" s="6">
        <f>12234/(60*60*24)</f>
        <v>0.14159722222222224</v>
      </c>
      <c r="G1439" s="7" t="s">
        <v>9</v>
      </c>
    </row>
    <row r="1440" spans="1:7" x14ac:dyDescent="0.45">
      <c r="A1440" t="s">
        <v>1535</v>
      </c>
      <c r="B1440" s="2" t="s">
        <v>70</v>
      </c>
      <c r="C1440" s="3">
        <f>3112/(60*60*24)</f>
        <v>3.6018518518518519E-2</v>
      </c>
      <c r="D1440" s="4">
        <f>1325/(60*60*24)</f>
        <v>1.5335648148148149E-2</v>
      </c>
      <c r="E1440" s="5">
        <f>3459/(60*60*24)</f>
        <v>4.0034722222222222E-2</v>
      </c>
      <c r="F1440" s="6">
        <f>11730/(60*60*24)</f>
        <v>0.13576388888888888</v>
      </c>
      <c r="G1440" s="7" t="s">
        <v>9</v>
      </c>
    </row>
    <row r="1441" spans="1:7" x14ac:dyDescent="0.45">
      <c r="A1441" t="s">
        <v>1536</v>
      </c>
      <c r="B1441" s="2" t="s">
        <v>72</v>
      </c>
      <c r="C1441" s="5">
        <f>3283/(60*60*24)</f>
        <v>3.7997685185185183E-2</v>
      </c>
      <c r="D1441" s="4">
        <f>1256/(60*60*24)</f>
        <v>1.4537037037037038E-2</v>
      </c>
      <c r="E1441" s="3">
        <f>3267/(60*60*24)</f>
        <v>3.7812499999999999E-2</v>
      </c>
      <c r="F1441" s="6">
        <f>10934/(60*60*24)</f>
        <v>0.12655092592592593</v>
      </c>
      <c r="G1441" s="7" t="s">
        <v>9</v>
      </c>
    </row>
    <row r="1442" spans="1:7" x14ac:dyDescent="0.45">
      <c r="A1442" t="s">
        <v>1537</v>
      </c>
      <c r="B1442" s="2" t="s">
        <v>74</v>
      </c>
      <c r="C1442" s="5">
        <f>3674/(60*60*24)</f>
        <v>4.252314814814815E-2</v>
      </c>
      <c r="D1442" s="4">
        <f>1555/(60*60*24)</f>
        <v>1.7997685185185186E-2</v>
      </c>
      <c r="E1442" s="3">
        <f>3106/(60*60*24)</f>
        <v>3.5949074074074071E-2</v>
      </c>
      <c r="F1442" s="6">
        <f>10178/(60*60*24)</f>
        <v>0.11780092592592592</v>
      </c>
      <c r="G1442" s="7" t="s">
        <v>9</v>
      </c>
    </row>
    <row r="1443" spans="1:7" x14ac:dyDescent="0.45">
      <c r="A1443" t="s">
        <v>1538</v>
      </c>
      <c r="B1443" s="2" t="s">
        <v>76</v>
      </c>
      <c r="C1443" s="5">
        <f>3663/(60*60*24)</f>
        <v>4.2395833333333334E-2</v>
      </c>
      <c r="D1443" s="4">
        <f>1565/(60*60*24)</f>
        <v>1.8113425925925925E-2</v>
      </c>
      <c r="E1443" s="3">
        <f>2772/(60*60*24)</f>
        <v>3.2083333333333332E-2</v>
      </c>
      <c r="F1443" s="6">
        <f>9442/(60*60*24)</f>
        <v>0.10928240740740741</v>
      </c>
      <c r="G1443" s="7" t="s">
        <v>9</v>
      </c>
    </row>
    <row r="1444" spans="1:7" x14ac:dyDescent="0.45">
      <c r="A1444" t="s">
        <v>1539</v>
      </c>
      <c r="B1444" s="2" t="s">
        <v>78</v>
      </c>
      <c r="C1444" s="5">
        <f>3520/(60*60*24)</f>
        <v>4.0740740740740744E-2</v>
      </c>
      <c r="D1444" s="4">
        <f>1158/(60*60*24)</f>
        <v>1.3402777777777777E-2</v>
      </c>
      <c r="E1444" s="3">
        <f>2521/(60*60*24)</f>
        <v>2.9178240740740741E-2</v>
      </c>
      <c r="F1444" s="6">
        <f>8578/(60*60*24)</f>
        <v>9.9282407407407403E-2</v>
      </c>
      <c r="G1444" s="7" t="s">
        <v>9</v>
      </c>
    </row>
    <row r="1445" spans="1:7" x14ac:dyDescent="0.45">
      <c r="A1445" t="s">
        <v>1540</v>
      </c>
      <c r="B1445" s="2" t="s">
        <v>80</v>
      </c>
      <c r="C1445" s="5">
        <f>3466/(60*60*24)</f>
        <v>4.0115740740740743E-2</v>
      </c>
      <c r="D1445" s="4">
        <f>1186/(60*60*24)</f>
        <v>1.3726851851851851E-2</v>
      </c>
      <c r="E1445" s="3">
        <f>2351/(60*60*24)</f>
        <v>2.7210648148148147E-2</v>
      </c>
      <c r="F1445" s="6">
        <f>7895/(60*60*24)</f>
        <v>9.1377314814814814E-2</v>
      </c>
      <c r="G1445" s="7" t="s">
        <v>9</v>
      </c>
    </row>
    <row r="1446" spans="1:7" x14ac:dyDescent="0.45">
      <c r="A1446" t="s">
        <v>1541</v>
      </c>
      <c r="B1446" s="2" t="s">
        <v>84</v>
      </c>
      <c r="C1446" s="5">
        <f>3362/(60*60*24)</f>
        <v>3.8912037037037037E-2</v>
      </c>
      <c r="D1446" s="4">
        <f>1148/(60*60*24)</f>
        <v>1.3287037037037036E-2</v>
      </c>
      <c r="E1446" s="3">
        <f>2109/(60*60*24)</f>
        <v>2.4409722222222222E-2</v>
      </c>
      <c r="F1446" s="6">
        <f>7160/(60*60*24)</f>
        <v>8.2870370370370372E-2</v>
      </c>
      <c r="G1446" s="7" t="s">
        <v>9</v>
      </c>
    </row>
    <row r="1447" spans="1:7" x14ac:dyDescent="0.45">
      <c r="A1447" t="s">
        <v>1542</v>
      </c>
      <c r="B1447" s="2" t="s">
        <v>82</v>
      </c>
      <c r="C1447" s="5">
        <f>3488/(60*60*24)</f>
        <v>4.0370370370370369E-2</v>
      </c>
      <c r="D1447" s="4">
        <f>1082/(60*60*24)</f>
        <v>1.2523148148148148E-2</v>
      </c>
      <c r="E1447" s="3">
        <f>1933/(60*60*24)</f>
        <v>2.2372685185185186E-2</v>
      </c>
      <c r="F1447" s="6">
        <f>6607/(60*60*24)</f>
        <v>7.6469907407407403E-2</v>
      </c>
      <c r="G1447" s="7" t="s">
        <v>9</v>
      </c>
    </row>
    <row r="1448" spans="1:7" x14ac:dyDescent="0.45">
      <c r="A1448" t="s">
        <v>1543</v>
      </c>
      <c r="B1448" s="2" t="s">
        <v>88</v>
      </c>
      <c r="C1448" s="8" t="s">
        <v>12</v>
      </c>
      <c r="D1448" s="4">
        <f>1236/(60*60*24)</f>
        <v>1.4305555555555556E-2</v>
      </c>
      <c r="E1448" s="3">
        <f>1844/(60*60*24)</f>
        <v>2.1342592592592594E-2</v>
      </c>
      <c r="F1448" s="5">
        <f>6060/(60*60*24)</f>
        <v>7.013888888888889E-2</v>
      </c>
      <c r="G1448" s="7" t="s">
        <v>9</v>
      </c>
    </row>
    <row r="1449" spans="1:7" x14ac:dyDescent="0.45">
      <c r="A1449" t="s">
        <v>1544</v>
      </c>
      <c r="B1449" s="2" t="s">
        <v>86</v>
      </c>
      <c r="C1449" s="8" t="s">
        <v>12</v>
      </c>
      <c r="D1449" s="4">
        <f>1195/(60*60*24)</f>
        <v>1.3831018518518519E-2</v>
      </c>
      <c r="E1449" s="3">
        <f>1441/(60*60*24)</f>
        <v>1.667824074074074E-2</v>
      </c>
      <c r="F1449" s="5">
        <f>5044/(60*60*24)</f>
        <v>5.8379629629629629E-2</v>
      </c>
      <c r="G1449" s="7" t="s">
        <v>9</v>
      </c>
    </row>
    <row r="1450" spans="1:7" x14ac:dyDescent="0.45">
      <c r="A1450" t="s">
        <v>1545</v>
      </c>
      <c r="B1450" s="2" t="s">
        <v>92</v>
      </c>
      <c r="C1450" s="5">
        <f>1657/(60*60*24)</f>
        <v>1.9178240740740742E-2</v>
      </c>
      <c r="D1450" s="4">
        <f>738/(60*60*24)</f>
        <v>8.5416666666666662E-3</v>
      </c>
      <c r="E1450" s="3">
        <f>1089/(60*60*24)</f>
        <v>1.2604166666666666E-2</v>
      </c>
      <c r="F1450" s="6">
        <f>3772/(60*60*24)</f>
        <v>4.3657407407407409E-2</v>
      </c>
      <c r="G1450" s="7" t="s">
        <v>9</v>
      </c>
    </row>
    <row r="1451" spans="1:7" x14ac:dyDescent="0.45">
      <c r="A1451" t="s">
        <v>1546</v>
      </c>
      <c r="B1451" s="2" t="s">
        <v>90</v>
      </c>
      <c r="C1451" s="8" t="s">
        <v>12</v>
      </c>
      <c r="D1451" s="4">
        <f>983/(60*60*24)</f>
        <v>1.1377314814814814E-2</v>
      </c>
      <c r="E1451" s="3">
        <f>1416/(60*60*24)</f>
        <v>1.638888888888889E-2</v>
      </c>
      <c r="F1451" s="5">
        <f>4314/(60*60*24)</f>
        <v>4.9930555555555554E-2</v>
      </c>
      <c r="G1451" s="7" t="s">
        <v>9</v>
      </c>
    </row>
    <row r="1452" spans="1:7" x14ac:dyDescent="0.45">
      <c r="A1452" t="s">
        <v>1547</v>
      </c>
      <c r="B1452" s="2" t="s">
        <v>94</v>
      </c>
      <c r="C1452" s="5">
        <f>1417/(60*60*24)</f>
        <v>1.6400462962962964E-2</v>
      </c>
      <c r="D1452" s="4">
        <f>624/(60*60*24)</f>
        <v>7.2222222222222219E-3</v>
      </c>
      <c r="E1452" s="3">
        <f>891/(60*60*24)</f>
        <v>1.03125E-2</v>
      </c>
      <c r="F1452" s="6">
        <f>3035/(60*60*24)</f>
        <v>3.5127314814814813E-2</v>
      </c>
      <c r="G1452" s="7" t="s">
        <v>9</v>
      </c>
    </row>
    <row r="1453" spans="1:7" x14ac:dyDescent="0.45">
      <c r="A1453" t="s">
        <v>1548</v>
      </c>
      <c r="B1453" s="2" t="s">
        <v>96</v>
      </c>
      <c r="C1453" s="5">
        <f>1064/(60*60*24)</f>
        <v>1.2314814814814815E-2</v>
      </c>
      <c r="D1453" s="4">
        <f>573/(60*60*24)</f>
        <v>6.6319444444444446E-3</v>
      </c>
      <c r="E1453" s="3">
        <f>737/(60*60*24)</f>
        <v>8.5300925925925926E-3</v>
      </c>
      <c r="F1453" s="6">
        <f>2461/(60*60*24)</f>
        <v>2.8483796296296295E-2</v>
      </c>
      <c r="G1453" s="7" t="s">
        <v>9</v>
      </c>
    </row>
    <row r="1454" spans="1:7" x14ac:dyDescent="0.45">
      <c r="A1454" t="s">
        <v>1549</v>
      </c>
      <c r="B1454" s="2" t="s">
        <v>98</v>
      </c>
      <c r="C1454" s="6">
        <f>1931/(60*60*24)</f>
        <v>2.2349537037037036E-2</v>
      </c>
      <c r="D1454" s="4">
        <f>477/(60*60*24)</f>
        <v>5.5208333333333333E-3</v>
      </c>
      <c r="E1454" s="3">
        <f>682/(60*60*24)</f>
        <v>7.8935185185185185E-3</v>
      </c>
      <c r="F1454" s="5">
        <f>1550/(60*60*24)</f>
        <v>1.7939814814814815E-2</v>
      </c>
      <c r="G1454" s="7" t="s">
        <v>9</v>
      </c>
    </row>
    <row r="1455" spans="1:7" x14ac:dyDescent="0.45">
      <c r="A1455" t="s">
        <v>1550</v>
      </c>
      <c r="B1455" s="2" t="s">
        <v>100</v>
      </c>
      <c r="C1455" s="5">
        <f>715/(60*60*24)</f>
        <v>8.2754629629629636E-3</v>
      </c>
      <c r="D1455" s="3">
        <f>259/(60*60*24)</f>
        <v>2.9976851851851853E-3</v>
      </c>
      <c r="E1455" s="4">
        <f>244/(60*60*24)</f>
        <v>2.8240740740740739E-3</v>
      </c>
      <c r="F1455" s="6">
        <f>747/(60*60*24)</f>
        <v>8.6458333333333335E-3</v>
      </c>
      <c r="G1455" s="7" t="s">
        <v>9</v>
      </c>
    </row>
    <row r="1456" spans="1:7" x14ac:dyDescent="0.45">
      <c r="A1456" t="s">
        <v>1551</v>
      </c>
      <c r="B1456" s="2" t="s">
        <v>104</v>
      </c>
      <c r="C1456" s="5">
        <f>786/(60*60*24)</f>
        <v>9.0972222222222218E-3</v>
      </c>
      <c r="D1456" s="4">
        <f>230/(60*60*24)</f>
        <v>2.662037037037037E-3</v>
      </c>
      <c r="E1456" s="3">
        <f>267/(60*60*24)</f>
        <v>3.0902777777777777E-3</v>
      </c>
      <c r="F1456" s="6">
        <f>826/(60*60*24)</f>
        <v>9.5601851851851855E-3</v>
      </c>
      <c r="G1456" s="7" t="s">
        <v>9</v>
      </c>
    </row>
    <row r="1457" spans="1:7" x14ac:dyDescent="0.45">
      <c r="A1457" t="s">
        <v>1552</v>
      </c>
      <c r="B1457" s="2" t="s">
        <v>102</v>
      </c>
      <c r="C1457" s="5">
        <f>1229/(60*60*24)</f>
        <v>1.4224537037037037E-2</v>
      </c>
      <c r="D1457" s="4">
        <f>386/(60*60*24)</f>
        <v>4.4675925925925924E-3</v>
      </c>
      <c r="E1457" s="3">
        <f>496/(60*60*24)</f>
        <v>5.7407407407407407E-3</v>
      </c>
      <c r="F1457" s="6">
        <f>1527/(60*60*24)</f>
        <v>1.7673611111111112E-2</v>
      </c>
      <c r="G1457" s="7" t="s">
        <v>9</v>
      </c>
    </row>
    <row r="1458" spans="1:7" x14ac:dyDescent="0.45">
      <c r="A1458" t="s">
        <v>1553</v>
      </c>
      <c r="B1458" s="2" t="s">
        <v>106</v>
      </c>
      <c r="C1458" s="5">
        <f>1119/(60*60*24)</f>
        <v>1.2951388888888889E-2</v>
      </c>
      <c r="D1458" s="4">
        <f>504/(60*60*24)</f>
        <v>5.8333333333333336E-3</v>
      </c>
      <c r="E1458" s="3">
        <f>793/(60*60*24)</f>
        <v>9.1782407407407403E-3</v>
      </c>
      <c r="F1458" s="6">
        <f>2328/(60*60*24)</f>
        <v>2.6944444444444444E-2</v>
      </c>
      <c r="G1458" s="7" t="s">
        <v>9</v>
      </c>
    </row>
    <row r="1459" spans="1:7" x14ac:dyDescent="0.45">
      <c r="A1459" t="s">
        <v>1554</v>
      </c>
      <c r="B1459" s="2" t="s">
        <v>108</v>
      </c>
      <c r="C1459" s="8" t="s">
        <v>12</v>
      </c>
      <c r="D1459" s="4">
        <f>1087/(60*60*24)</f>
        <v>1.2581018518518519E-2</v>
      </c>
      <c r="E1459" s="3">
        <f>1340/(60*60*24)</f>
        <v>1.5509259259259259E-2</v>
      </c>
      <c r="F1459" s="5">
        <f>3725/(60*60*24)</f>
        <v>4.3113425925925923E-2</v>
      </c>
      <c r="G1459" s="7" t="s">
        <v>9</v>
      </c>
    </row>
    <row r="1460" spans="1:7" x14ac:dyDescent="0.45">
      <c r="A1460" t="s">
        <v>1555</v>
      </c>
      <c r="B1460" s="2" t="s">
        <v>110</v>
      </c>
      <c r="C1460" s="5">
        <f>1970/(60*60*24)</f>
        <v>2.2800925925925926E-2</v>
      </c>
      <c r="D1460" s="4">
        <f>687/(60*60*24)</f>
        <v>7.951388888888888E-3</v>
      </c>
      <c r="E1460" s="3">
        <f>1195/(60*60*24)</f>
        <v>1.3831018518518519E-2</v>
      </c>
      <c r="F1460" s="6">
        <f>4345/(60*60*24)</f>
        <v>5.0289351851851849E-2</v>
      </c>
      <c r="G1460" s="7" t="s">
        <v>9</v>
      </c>
    </row>
    <row r="1461" spans="1:7" x14ac:dyDescent="0.45">
      <c r="A1461" t="s">
        <v>1556</v>
      </c>
      <c r="B1461" s="2" t="s">
        <v>112</v>
      </c>
      <c r="C1461" s="5">
        <f>1718/(60*60*24)</f>
        <v>1.9884259259259258E-2</v>
      </c>
      <c r="D1461" s="4">
        <f>877/(60*60*24)</f>
        <v>1.0150462962962964E-2</v>
      </c>
      <c r="E1461" s="3">
        <f>1431/(60*60*24)</f>
        <v>1.6562500000000001E-2</v>
      </c>
      <c r="F1461" s="6">
        <f>4982/(60*60*24)</f>
        <v>5.7662037037037039E-2</v>
      </c>
      <c r="G1461" s="7" t="s">
        <v>9</v>
      </c>
    </row>
    <row r="1462" spans="1:7" x14ac:dyDescent="0.45">
      <c r="A1462" t="s">
        <v>1557</v>
      </c>
      <c r="B1462" s="2" t="s">
        <v>114</v>
      </c>
      <c r="C1462" s="5">
        <f>2043/(60*60*24)</f>
        <v>2.3645833333333335E-2</v>
      </c>
      <c r="D1462" s="4">
        <f>822/(60*60*24)</f>
        <v>9.5138888888888894E-3</v>
      </c>
      <c r="E1462" s="3">
        <f>1435/(60*60*24)</f>
        <v>1.6608796296296295E-2</v>
      </c>
      <c r="F1462" s="6">
        <f>5300/(60*60*24)</f>
        <v>6.1342592592592594E-2</v>
      </c>
      <c r="G1462" s="7" t="s">
        <v>9</v>
      </c>
    </row>
    <row r="1463" spans="1:7" x14ac:dyDescent="0.45">
      <c r="A1463" t="s">
        <v>1558</v>
      </c>
      <c r="B1463" s="2" t="s">
        <v>116</v>
      </c>
      <c r="C1463" s="5">
        <f>3314/(60*60*24)</f>
        <v>3.8356481481481484E-2</v>
      </c>
      <c r="D1463" s="4">
        <f>973/(60*60*24)</f>
        <v>1.1261574074074075E-2</v>
      </c>
      <c r="E1463" s="3">
        <f>1807/(60*60*24)</f>
        <v>2.0914351851851851E-2</v>
      </c>
      <c r="F1463" s="6">
        <f>5950/(60*60*24)</f>
        <v>6.8865740740740741E-2</v>
      </c>
      <c r="G1463" s="7" t="s">
        <v>9</v>
      </c>
    </row>
    <row r="1464" spans="1:7" x14ac:dyDescent="0.45">
      <c r="A1464" t="s">
        <v>1559</v>
      </c>
      <c r="B1464" s="2" t="s">
        <v>118</v>
      </c>
      <c r="C1464" s="5">
        <f>3558/(60*60*24)</f>
        <v>4.1180555555555554E-2</v>
      </c>
      <c r="D1464" s="4">
        <f>840/(60*60*24)</f>
        <v>9.7222222222222224E-3</v>
      </c>
      <c r="E1464" s="3">
        <f>1958/(60*60*24)</f>
        <v>2.2662037037037036E-2</v>
      </c>
      <c r="F1464" s="6">
        <f>6834/(60*60*24)</f>
        <v>7.9097222222222222E-2</v>
      </c>
      <c r="G1464" s="7" t="s">
        <v>9</v>
      </c>
    </row>
    <row r="1465" spans="1:7" x14ac:dyDescent="0.45">
      <c r="A1465" t="s">
        <v>1560</v>
      </c>
      <c r="B1465" s="2" t="s">
        <v>120</v>
      </c>
      <c r="C1465" s="8" t="s">
        <v>12</v>
      </c>
      <c r="D1465" s="4">
        <f>1176/(60*60*24)</f>
        <v>1.361111111111111E-2</v>
      </c>
      <c r="E1465" s="3">
        <f>2161/(60*60*24)</f>
        <v>2.5011574074074075E-2</v>
      </c>
      <c r="F1465" s="5">
        <f>7412/(60*60*24)</f>
        <v>8.5787037037037037E-2</v>
      </c>
      <c r="G1465" s="7" t="s">
        <v>9</v>
      </c>
    </row>
    <row r="1466" spans="1:7" x14ac:dyDescent="0.45">
      <c r="A1466" t="s">
        <v>1561</v>
      </c>
      <c r="B1466" s="2" t="s">
        <v>124</v>
      </c>
      <c r="C1466" s="5">
        <f>3577/(60*60*24)</f>
        <v>4.1400462962962965E-2</v>
      </c>
      <c r="D1466" s="4">
        <f>1211/(60*60*24)</f>
        <v>1.4016203703703704E-2</v>
      </c>
      <c r="E1466" s="3">
        <f>2448/(60*60*24)</f>
        <v>2.8333333333333332E-2</v>
      </c>
      <c r="F1466" s="6">
        <f>8465/(60*60*24)</f>
        <v>9.7974537037037041E-2</v>
      </c>
      <c r="G1466" s="7" t="s">
        <v>9</v>
      </c>
    </row>
    <row r="1467" spans="1:7" x14ac:dyDescent="0.45">
      <c r="A1467" t="s">
        <v>1562</v>
      </c>
      <c r="B1467" s="2" t="s">
        <v>122</v>
      </c>
      <c r="C1467" s="5">
        <f>2965/(60*60*24)</f>
        <v>3.4317129629629628E-2</v>
      </c>
      <c r="D1467" s="4">
        <f>1040/(60*60*24)</f>
        <v>1.2037037037037037E-2</v>
      </c>
      <c r="E1467" s="3">
        <f>2406/(60*60*24)</f>
        <v>2.7847222222222221E-2</v>
      </c>
      <c r="F1467" s="6">
        <f>9746/(60*60*24)</f>
        <v>0.11280092592592593</v>
      </c>
      <c r="G1467" s="7" t="s">
        <v>9</v>
      </c>
    </row>
    <row r="1468" spans="1:7" x14ac:dyDescent="0.45">
      <c r="A1468" t="s">
        <v>1563</v>
      </c>
      <c r="B1468" s="2" t="s">
        <v>126</v>
      </c>
      <c r="C1468" s="5">
        <f>2863/(60*60*24)</f>
        <v>3.3136574074074075E-2</v>
      </c>
      <c r="D1468" s="4">
        <f>1170/(60*60*24)</f>
        <v>1.3541666666666667E-2</v>
      </c>
      <c r="E1468" s="3">
        <f>2619/(60*60*24)</f>
        <v>3.0312499999999999E-2</v>
      </c>
      <c r="F1468" s="6">
        <f>10431/(60*60*24)</f>
        <v>0.12072916666666667</v>
      </c>
      <c r="G1468" s="7" t="s">
        <v>9</v>
      </c>
    </row>
    <row r="1469" spans="1:7" x14ac:dyDescent="0.45">
      <c r="A1469" t="s">
        <v>1564</v>
      </c>
      <c r="B1469" s="2" t="s">
        <v>128</v>
      </c>
      <c r="C1469" s="5">
        <f>3403/(60*60*24)</f>
        <v>3.9386574074074074E-2</v>
      </c>
      <c r="D1469" s="4">
        <f>1285/(60*60*24)</f>
        <v>1.4872685185185185E-2</v>
      </c>
      <c r="E1469" s="3">
        <f>2878/(60*60*24)</f>
        <v>3.3310185185185186E-2</v>
      </c>
      <c r="F1469" s="6">
        <f>10925/(60*60*24)</f>
        <v>0.12644675925925927</v>
      </c>
      <c r="G1469" s="7" t="s">
        <v>9</v>
      </c>
    </row>
    <row r="1470" spans="1:7" x14ac:dyDescent="0.45">
      <c r="A1470" t="s">
        <v>1565</v>
      </c>
      <c r="B1470" s="2" t="s">
        <v>130</v>
      </c>
      <c r="C1470" s="5">
        <f>3626/(60*60*24)</f>
        <v>4.1967592592592591E-2</v>
      </c>
      <c r="D1470" s="4">
        <f>1301/(60*60*24)</f>
        <v>1.5057870370370371E-2</v>
      </c>
      <c r="E1470" s="3">
        <f>3319/(60*60*24)</f>
        <v>3.8414351851851852E-2</v>
      </c>
      <c r="F1470" s="6">
        <f>11451/(60*60*24)</f>
        <v>0.13253472222222223</v>
      </c>
      <c r="G1470" s="7" t="s">
        <v>9</v>
      </c>
    </row>
    <row r="1471" spans="1:7" x14ac:dyDescent="0.45">
      <c r="A1471" t="s">
        <v>1566</v>
      </c>
      <c r="B1471" s="2" t="s">
        <v>132</v>
      </c>
      <c r="C1471" s="5">
        <f>3446/(60*60*24)</f>
        <v>3.9884259259259258E-2</v>
      </c>
      <c r="D1471" s="4">
        <f>1201/(60*60*24)</f>
        <v>1.3900462962962963E-2</v>
      </c>
      <c r="E1471" s="3">
        <f>3344/(60*60*24)</f>
        <v>3.8703703703703705E-2</v>
      </c>
      <c r="F1471" s="6">
        <f>12332/(60*60*24)</f>
        <v>0.14273148148148149</v>
      </c>
      <c r="G1471" s="7" t="s">
        <v>9</v>
      </c>
    </row>
    <row r="1472" spans="1:7" x14ac:dyDescent="0.45">
      <c r="A1472" t="s">
        <v>1567</v>
      </c>
      <c r="B1472" s="2" t="s">
        <v>136</v>
      </c>
      <c r="C1472" s="3">
        <f>3422/(60*60*24)</f>
        <v>3.9606481481481479E-2</v>
      </c>
      <c r="D1472" s="4">
        <f>1273/(60*60*24)</f>
        <v>1.4733796296296297E-2</v>
      </c>
      <c r="E1472" s="5">
        <f>3442/(60*60*24)</f>
        <v>3.9837962962962964E-2</v>
      </c>
      <c r="F1472" s="6">
        <f>12846/(60*60*24)</f>
        <v>0.14868055555555557</v>
      </c>
      <c r="G1472" s="7" t="s">
        <v>9</v>
      </c>
    </row>
    <row r="1473" spans="1:7" x14ac:dyDescent="0.45">
      <c r="A1473" t="s">
        <v>1568</v>
      </c>
      <c r="B1473" s="2" t="s">
        <v>134</v>
      </c>
      <c r="C1473" s="3">
        <f>3647/(60*60*24)</f>
        <v>4.221064814814815E-2</v>
      </c>
      <c r="D1473" s="4">
        <f>1444/(60*60*24)</f>
        <v>1.6712962962962964E-2</v>
      </c>
      <c r="E1473" s="5">
        <f>3814/(60*60*24)</f>
        <v>4.4143518518518519E-2</v>
      </c>
      <c r="F1473" s="6">
        <f>13757/(60*60*24)</f>
        <v>0.15922453703703704</v>
      </c>
      <c r="G1473" s="7" t="s">
        <v>9</v>
      </c>
    </row>
    <row r="1474" spans="1:7" x14ac:dyDescent="0.45">
      <c r="A1474" t="s">
        <v>1569</v>
      </c>
      <c r="B1474" s="2" t="s">
        <v>140</v>
      </c>
      <c r="C1474" s="3">
        <f>3929/(60*60*24)</f>
        <v>4.5474537037037036E-2</v>
      </c>
      <c r="D1474" s="4">
        <f>1561/(60*60*24)</f>
        <v>1.8067129629629631E-2</v>
      </c>
      <c r="E1474" s="5">
        <f>4029/(60*60*24)</f>
        <v>4.6631944444444441E-2</v>
      </c>
      <c r="F1474" s="6">
        <f>14962/(60*60*24)</f>
        <v>0.1731712962962963</v>
      </c>
      <c r="G1474" s="7" t="s">
        <v>9</v>
      </c>
    </row>
    <row r="1475" spans="1:7" x14ac:dyDescent="0.45">
      <c r="A1475" t="s">
        <v>1570</v>
      </c>
      <c r="B1475" s="2" t="s">
        <v>138</v>
      </c>
      <c r="C1475" s="8" t="s">
        <v>12</v>
      </c>
      <c r="D1475" s="4">
        <f>1513/(60*60*24)</f>
        <v>1.7511574074074075E-2</v>
      </c>
      <c r="E1475" s="3">
        <f>4057/(60*60*24)</f>
        <v>4.6956018518518522E-2</v>
      </c>
      <c r="F1475" s="5">
        <f>14528/(60*60*24)</f>
        <v>0.16814814814814816</v>
      </c>
      <c r="G1475" s="7" t="s">
        <v>9</v>
      </c>
    </row>
    <row r="1476" spans="1:7" x14ac:dyDescent="0.45">
      <c r="A1476" t="s">
        <v>1571</v>
      </c>
      <c r="B1476" s="2" t="s">
        <v>142</v>
      </c>
      <c r="C1476" s="3">
        <f>4204/(60*60*24)</f>
        <v>4.8657407407407406E-2</v>
      </c>
      <c r="D1476" s="4">
        <f>1628/(60*60*24)</f>
        <v>1.8842592592592591E-2</v>
      </c>
      <c r="E1476" s="5">
        <f>4318/(60*60*24)</f>
        <v>4.9976851851851849E-2</v>
      </c>
      <c r="F1476" s="6">
        <f>15700/(60*60*24)</f>
        <v>0.18171296296296297</v>
      </c>
      <c r="G1476" s="7" t="s">
        <v>9</v>
      </c>
    </row>
    <row r="1477" spans="1:7" x14ac:dyDescent="0.45">
      <c r="A1477" t="s">
        <v>1572</v>
      </c>
      <c r="B1477" s="2" t="s">
        <v>144</v>
      </c>
      <c r="C1477" s="5">
        <f>6172/(60*60*24)</f>
        <v>7.1435185185185185E-2</v>
      </c>
      <c r="D1477" s="4">
        <f>1718/(60*60*24)</f>
        <v>1.9884259259259258E-2</v>
      </c>
      <c r="E1477" s="3">
        <f>4483/(60*60*24)</f>
        <v>5.1886574074074071E-2</v>
      </c>
      <c r="F1477" s="6">
        <f>16306/(60*60*24)</f>
        <v>0.18872685185185184</v>
      </c>
      <c r="G1477" s="7" t="s">
        <v>9</v>
      </c>
    </row>
    <row r="1478" spans="1:7" x14ac:dyDescent="0.45">
      <c r="A1478" t="s">
        <v>1573</v>
      </c>
      <c r="B1478" s="2" t="s">
        <v>148</v>
      </c>
      <c r="C1478" s="3">
        <f>4841/(60*60*24)</f>
        <v>5.603009259259259E-2</v>
      </c>
      <c r="D1478" s="4">
        <f>1866/(60*60*24)</f>
        <v>2.1597222222222223E-2</v>
      </c>
      <c r="E1478" s="5">
        <f>5072/(60*60*24)</f>
        <v>5.8703703703703702E-2</v>
      </c>
      <c r="F1478" s="6">
        <f>17876/(60*60*24)</f>
        <v>0.20689814814814814</v>
      </c>
      <c r="G1478" s="7" t="s">
        <v>9</v>
      </c>
    </row>
    <row r="1479" spans="1:7" x14ac:dyDescent="0.45">
      <c r="A1479" t="s">
        <v>1574</v>
      </c>
      <c r="B1479" s="2" t="s">
        <v>146</v>
      </c>
      <c r="C1479" s="8" t="s">
        <v>12</v>
      </c>
      <c r="D1479" s="4">
        <f>1718/(60*60*24)</f>
        <v>1.9884259259259258E-2</v>
      </c>
      <c r="E1479" s="3">
        <f>4572/(60*60*24)</f>
        <v>5.2916666666666667E-2</v>
      </c>
      <c r="F1479" s="5">
        <f>17147/(60*60*24)</f>
        <v>0.19846064814814815</v>
      </c>
      <c r="G1479" s="7" t="s">
        <v>9</v>
      </c>
    </row>
    <row r="1480" spans="1:7" x14ac:dyDescent="0.45">
      <c r="A1480" t="s">
        <v>1575</v>
      </c>
      <c r="B1480" s="2" t="s">
        <v>150</v>
      </c>
      <c r="C1480" s="5">
        <f>9611/(60*60*24)</f>
        <v>0.11123842592592592</v>
      </c>
      <c r="D1480" s="4">
        <f>1857/(60*60*24)</f>
        <v>2.1493055555555557E-2</v>
      </c>
      <c r="E1480" s="3">
        <f>5243/(60*60*24)</f>
        <v>6.0682870370370373E-2</v>
      </c>
      <c r="F1480" s="6">
        <f>18618/(60*60*24)</f>
        <v>0.2154861111111111</v>
      </c>
      <c r="G1480" s="7" t="s">
        <v>9</v>
      </c>
    </row>
    <row r="1481" spans="1:7" x14ac:dyDescent="0.45">
      <c r="A1481" t="s">
        <v>1576</v>
      </c>
      <c r="B1481" s="2" t="s">
        <v>152</v>
      </c>
      <c r="C1481" s="5">
        <f>9999/(60*60*24)</f>
        <v>0.11572916666666666</v>
      </c>
      <c r="D1481" s="4">
        <f>2033/(60*60*24)</f>
        <v>2.3530092592592592E-2</v>
      </c>
      <c r="E1481" s="3">
        <f>5526/(60*60*24)</f>
        <v>6.3958333333333339E-2</v>
      </c>
      <c r="F1481" s="6">
        <f>19575/(60*60*24)</f>
        <v>0.2265625</v>
      </c>
      <c r="G1481" s="7" t="s">
        <v>9</v>
      </c>
    </row>
    <row r="1482" spans="1:7" x14ac:dyDescent="0.45">
      <c r="A1482" t="s">
        <v>1577</v>
      </c>
      <c r="B1482" s="2" t="s">
        <v>154</v>
      </c>
      <c r="C1482" s="5">
        <f>9502/(60*60*24)</f>
        <v>0.10997685185185185</v>
      </c>
      <c r="D1482" s="4">
        <f>1945/(60*60*24)</f>
        <v>2.2511574074074073E-2</v>
      </c>
      <c r="E1482" s="3">
        <f>5896/(60*60*24)</f>
        <v>6.8240740740740741E-2</v>
      </c>
      <c r="F1482" s="6">
        <f>21070/(60*60*24)</f>
        <v>0.24386574074074074</v>
      </c>
      <c r="G1482" s="7" t="s">
        <v>9</v>
      </c>
    </row>
    <row r="1483" spans="1:7" x14ac:dyDescent="0.45">
      <c r="A1483" t="s">
        <v>1578</v>
      </c>
      <c r="B1483" s="2" t="s">
        <v>156</v>
      </c>
      <c r="C1483" s="5">
        <f>9748/(60*60*24)</f>
        <v>0.11282407407407408</v>
      </c>
      <c r="D1483" s="4">
        <f>2095/(60*60*24)</f>
        <v>2.4247685185185185E-2</v>
      </c>
      <c r="E1483" s="3">
        <f>6040/(60*60*24)</f>
        <v>6.9907407407407404E-2</v>
      </c>
      <c r="F1483" s="6">
        <f>21138/(60*60*24)</f>
        <v>0.24465277777777777</v>
      </c>
      <c r="G1483" s="7" t="s">
        <v>9</v>
      </c>
    </row>
    <row r="1484" spans="1:7" x14ac:dyDescent="0.45">
      <c r="A1484" t="s">
        <v>1579</v>
      </c>
      <c r="B1484" s="2" t="s">
        <v>160</v>
      </c>
      <c r="C1484" s="5">
        <f>9263/(60*60*24)</f>
        <v>0.10721064814814815</v>
      </c>
      <c r="D1484" s="4">
        <f>2098/(60*60*24)</f>
        <v>2.4282407407407409E-2</v>
      </c>
      <c r="E1484" s="3">
        <f>6221/(60*60*24)</f>
        <v>7.2002314814814811E-2</v>
      </c>
      <c r="F1484" s="6">
        <f>21783/(60*60*24)</f>
        <v>0.25211805555555555</v>
      </c>
      <c r="G1484" s="7" t="s">
        <v>9</v>
      </c>
    </row>
    <row r="1485" spans="1:7" x14ac:dyDescent="0.45">
      <c r="A1485" t="s">
        <v>1580</v>
      </c>
      <c r="B1485" s="2" t="s">
        <v>158</v>
      </c>
      <c r="C1485" s="3">
        <f>6317/(60*60*24)</f>
        <v>7.3113425925925929E-2</v>
      </c>
      <c r="D1485" s="4">
        <f>2042/(60*60*24)</f>
        <v>2.3634259259259258E-2</v>
      </c>
      <c r="E1485" s="5">
        <f>6400/(60*60*24)</f>
        <v>7.407407407407407E-2</v>
      </c>
      <c r="F1485" s="6">
        <f>22736/(60*60*24)</f>
        <v>0.26314814814814813</v>
      </c>
      <c r="G1485" s="7" t="s">
        <v>9</v>
      </c>
    </row>
    <row r="1486" spans="1:7" x14ac:dyDescent="0.45">
      <c r="A1486" t="s">
        <v>1581</v>
      </c>
      <c r="B1486" s="2" t="s">
        <v>162</v>
      </c>
      <c r="C1486" s="3">
        <f>6181/(60*60*24)</f>
        <v>7.1539351851851854E-2</v>
      </c>
      <c r="D1486" s="4">
        <f>2116/(60*60*24)</f>
        <v>2.449074074074074E-2</v>
      </c>
      <c r="E1486" s="5">
        <f>6499/(60*60*24)</f>
        <v>7.5219907407407402E-2</v>
      </c>
      <c r="F1486" s="6">
        <f>23106/(60*60*24)</f>
        <v>0.26743055555555556</v>
      </c>
      <c r="G1486" s="7" t="s">
        <v>9</v>
      </c>
    </row>
    <row r="1487" spans="1:7" x14ac:dyDescent="0.45">
      <c r="A1487" t="s">
        <v>1582</v>
      </c>
      <c r="B1487" s="2" t="s">
        <v>164</v>
      </c>
      <c r="C1487" s="3">
        <f>6769/(60*60*24)</f>
        <v>7.8344907407407405E-2</v>
      </c>
      <c r="D1487" s="4">
        <f>2203/(60*60*24)</f>
        <v>2.5497685185185186E-2</v>
      </c>
      <c r="E1487" s="5">
        <f>6792/(60*60*24)</f>
        <v>7.8611111111111118E-2</v>
      </c>
      <c r="F1487" s="6">
        <f>24022/(60*60*24)</f>
        <v>0.27803240740740742</v>
      </c>
      <c r="G1487" s="7" t="s">
        <v>9</v>
      </c>
    </row>
    <row r="1488" spans="1:7" x14ac:dyDescent="0.45">
      <c r="A1488" t="s">
        <v>1583</v>
      </c>
      <c r="B1488" s="2" t="s">
        <v>168</v>
      </c>
      <c r="C1488" s="5">
        <f>7017/(60*60*24)</f>
        <v>8.1215277777777775E-2</v>
      </c>
      <c r="D1488" s="4">
        <f>2280/(60*60*24)</f>
        <v>2.6388888888888889E-2</v>
      </c>
      <c r="E1488" s="3">
        <f>6990/(60*60*24)</f>
        <v>8.0902777777777782E-2</v>
      </c>
      <c r="F1488" s="6">
        <f>24639/(60*60*24)</f>
        <v>0.28517361111111111</v>
      </c>
      <c r="G1488" s="7" t="s">
        <v>9</v>
      </c>
    </row>
    <row r="1489" spans="1:7" x14ac:dyDescent="0.45">
      <c r="A1489" t="s">
        <v>1584</v>
      </c>
      <c r="B1489" s="2" t="s">
        <v>166</v>
      </c>
      <c r="C1489" s="8" t="s">
        <v>12</v>
      </c>
      <c r="D1489" s="4">
        <f>2292/(60*60*24)</f>
        <v>2.6527777777777779E-2</v>
      </c>
      <c r="E1489" s="3">
        <f>7270/(60*60*24)</f>
        <v>8.414351851851852E-2</v>
      </c>
      <c r="F1489" s="5">
        <f>25567/(60*60*24)</f>
        <v>0.29591435185185183</v>
      </c>
      <c r="G1489" s="7" t="s">
        <v>9</v>
      </c>
    </row>
    <row r="1490" spans="1:7" x14ac:dyDescent="0.45">
      <c r="A1490" t="s">
        <v>1585</v>
      </c>
      <c r="B1490" s="2" t="s">
        <v>170</v>
      </c>
      <c r="C1490" s="3">
        <f>7291/(60*60*24)</f>
        <v>8.4386574074074072E-2</v>
      </c>
      <c r="D1490" s="4">
        <f>2451/(60*60*24)</f>
        <v>2.8368055555555556E-2</v>
      </c>
      <c r="E1490" s="5">
        <f>7364/(60*60*24)</f>
        <v>8.5231481481481478E-2</v>
      </c>
      <c r="F1490" s="6">
        <f>26392/(60*60*24)</f>
        <v>0.30546296296296294</v>
      </c>
      <c r="G1490" s="7" t="s">
        <v>9</v>
      </c>
    </row>
    <row r="1491" spans="1:7" x14ac:dyDescent="0.45">
      <c r="A1491" t="s">
        <v>1586</v>
      </c>
      <c r="B1491" s="2" t="s">
        <v>172</v>
      </c>
      <c r="C1491" s="3">
        <f>6863/(60*60*24)</f>
        <v>7.9432870370370376E-2</v>
      </c>
      <c r="D1491" s="4">
        <f>2411/(60*60*24)</f>
        <v>2.7905092592592592E-2</v>
      </c>
      <c r="E1491" s="5">
        <f>7531/(60*60*24)</f>
        <v>8.7164351851851854E-2</v>
      </c>
      <c r="F1491" s="6">
        <f>26712/(60*60*24)</f>
        <v>0.30916666666666665</v>
      </c>
      <c r="G1491" s="7" t="s">
        <v>9</v>
      </c>
    </row>
    <row r="1492" spans="1:7" x14ac:dyDescent="0.45">
      <c r="A1492" t="s">
        <v>1587</v>
      </c>
      <c r="B1492" s="2" t="s">
        <v>176</v>
      </c>
      <c r="C1492" s="3">
        <f>6967/(60*60*24)</f>
        <v>8.0636574074074069E-2</v>
      </c>
      <c r="D1492" s="4">
        <f>2486/(60*60*24)</f>
        <v>2.8773148148148148E-2</v>
      </c>
      <c r="E1492" s="5">
        <f>7704/(60*60*24)</f>
        <v>8.9166666666666672E-2</v>
      </c>
      <c r="F1492" s="6">
        <f>27287/(60*60*24)</f>
        <v>0.31582175925925926</v>
      </c>
      <c r="G1492" s="7" t="s">
        <v>9</v>
      </c>
    </row>
    <row r="1493" spans="1:7" x14ac:dyDescent="0.45">
      <c r="A1493" t="s">
        <v>1588</v>
      </c>
      <c r="B1493" s="2" t="s">
        <v>174</v>
      </c>
      <c r="C1493" s="3">
        <f>7395/(60*60*24)</f>
        <v>8.5590277777777779E-2</v>
      </c>
      <c r="D1493" s="4">
        <f>2480/(60*60*24)</f>
        <v>2.8703703703703703E-2</v>
      </c>
      <c r="E1493" s="5">
        <f>7820/(60*60*24)</f>
        <v>9.0509259259259262E-2</v>
      </c>
      <c r="F1493" s="6">
        <f>27944/(60*60*24)</f>
        <v>0.32342592592592595</v>
      </c>
      <c r="G1493" s="7" t="s">
        <v>9</v>
      </c>
    </row>
    <row r="1494" spans="1:7" x14ac:dyDescent="0.45">
      <c r="A1494" t="s">
        <v>1589</v>
      </c>
      <c r="B1494" s="2" t="s">
        <v>180</v>
      </c>
      <c r="C1494" s="5">
        <f>8254/(60*60*24)</f>
        <v>9.5532407407407413E-2</v>
      </c>
      <c r="D1494" s="4">
        <f>2525/(60*60*24)</f>
        <v>2.9224537037037038E-2</v>
      </c>
      <c r="E1494" s="3">
        <f>8004/(60*60*24)</f>
        <v>9.2638888888888896E-2</v>
      </c>
      <c r="F1494" s="6">
        <f>28607/(60*60*24)</f>
        <v>0.33109953703703704</v>
      </c>
      <c r="G1494" s="7" t="s">
        <v>9</v>
      </c>
    </row>
    <row r="1495" spans="1:7" x14ac:dyDescent="0.45">
      <c r="A1495" t="s">
        <v>1590</v>
      </c>
      <c r="B1495" s="2" t="s">
        <v>178</v>
      </c>
      <c r="C1495" s="8" t="s">
        <v>12</v>
      </c>
      <c r="D1495" s="4">
        <f>2528/(60*60*24)</f>
        <v>2.9259259259259259E-2</v>
      </c>
      <c r="E1495" s="3">
        <f>8194/(60*60*24)</f>
        <v>9.4837962962962957E-2</v>
      </c>
      <c r="F1495" s="5">
        <f>29289/(60*60*24)</f>
        <v>0.33899305555555553</v>
      </c>
      <c r="G1495" s="7" t="s">
        <v>9</v>
      </c>
    </row>
    <row r="1496" spans="1:7" x14ac:dyDescent="0.45">
      <c r="A1496" t="s">
        <v>1591</v>
      </c>
      <c r="B1496" s="2" t="s">
        <v>182</v>
      </c>
      <c r="C1496" s="3">
        <f>6925/(60*60*24)</f>
        <v>8.0150462962962965E-2</v>
      </c>
      <c r="D1496" s="4">
        <f>2455/(60*60*24)</f>
        <v>2.841435185185185E-2</v>
      </c>
      <c r="E1496" s="5">
        <f>8416/(60*60*24)</f>
        <v>9.7407407407407401E-2</v>
      </c>
      <c r="F1496" s="6">
        <f>30040/(60*60*24)</f>
        <v>0.34768518518518521</v>
      </c>
      <c r="G1496" s="7" t="s">
        <v>9</v>
      </c>
    </row>
    <row r="1497" spans="1:7" x14ac:dyDescent="0.45">
      <c r="A1497" t="s">
        <v>1592</v>
      </c>
      <c r="B1497" s="2" t="s">
        <v>184</v>
      </c>
      <c r="C1497" s="3">
        <f>7953/(60*60*24)</f>
        <v>9.2048611111111109E-2</v>
      </c>
      <c r="D1497" s="4">
        <f>2536/(60*60*24)</f>
        <v>2.9351851851851851E-2</v>
      </c>
      <c r="E1497" s="5">
        <f>8712/(60*60*24)</f>
        <v>0.10083333333333333</v>
      </c>
      <c r="F1497" s="6">
        <f>30991/(60*60*24)</f>
        <v>0.35869212962962965</v>
      </c>
      <c r="G1497" s="7" t="s">
        <v>9</v>
      </c>
    </row>
    <row r="1498" spans="1:7" x14ac:dyDescent="0.45">
      <c r="A1498" t="s">
        <v>1593</v>
      </c>
      <c r="B1498" s="2" t="s">
        <v>11</v>
      </c>
      <c r="C1498" s="3">
        <f>7568/(60*60*24)</f>
        <v>8.7592592592592597E-2</v>
      </c>
      <c r="D1498" s="4">
        <f>2396/(60*60*24)</f>
        <v>2.7731481481481482E-2</v>
      </c>
      <c r="E1498" s="5">
        <f>8849/(60*60*24)</f>
        <v>0.10241898148148149</v>
      </c>
      <c r="F1498" s="6">
        <f>30615/(60*60*24)</f>
        <v>0.35434027777777777</v>
      </c>
      <c r="G1498" s="7" t="s">
        <v>9</v>
      </c>
    </row>
    <row r="1499" spans="1:7" x14ac:dyDescent="0.45">
      <c r="A1499" t="s">
        <v>1594</v>
      </c>
      <c r="B1499" s="2" t="s">
        <v>8</v>
      </c>
      <c r="C1499" s="8" t="s">
        <v>12</v>
      </c>
      <c r="D1499" s="4">
        <f>2073/(60*60*24)</f>
        <v>2.3993055555555556E-2</v>
      </c>
      <c r="E1499" s="3">
        <f>9209/(60*60*24)</f>
        <v>0.10658564814814815</v>
      </c>
      <c r="F1499" s="5">
        <f>31792/(60*60*24)</f>
        <v>0.36796296296296294</v>
      </c>
      <c r="G1499" s="7" t="s">
        <v>9</v>
      </c>
    </row>
    <row r="1500" spans="1:7" x14ac:dyDescent="0.45">
      <c r="A1500" t="s">
        <v>1595</v>
      </c>
      <c r="B1500" s="2" t="s">
        <v>14</v>
      </c>
      <c r="C1500" s="3">
        <f>7146/(60*60*24)</f>
        <v>8.2708333333333328E-2</v>
      </c>
      <c r="D1500" s="4">
        <f>2276/(60*60*24)</f>
        <v>2.6342592592592591E-2</v>
      </c>
      <c r="E1500" s="5">
        <f>8565/(60*60*24)</f>
        <v>9.9131944444444439E-2</v>
      </c>
      <c r="F1500" s="6">
        <f>30011/(60*60*24)</f>
        <v>0.34734953703703703</v>
      </c>
      <c r="G1500" s="7" t="s">
        <v>9</v>
      </c>
    </row>
    <row r="1501" spans="1:7" x14ac:dyDescent="0.45">
      <c r="A1501" t="s">
        <v>1596</v>
      </c>
      <c r="B1501" s="2" t="s">
        <v>16</v>
      </c>
      <c r="C1501" s="3">
        <f>7589/(60*60*24)</f>
        <v>8.7835648148148149E-2</v>
      </c>
      <c r="D1501" s="4">
        <f>2169/(60*60*24)</f>
        <v>2.5104166666666667E-2</v>
      </c>
      <c r="E1501" s="5">
        <f>8342/(60*60*24)</f>
        <v>9.6550925925925929E-2</v>
      </c>
      <c r="F1501" s="6">
        <f>28965/(60*60*24)</f>
        <v>0.33524305555555556</v>
      </c>
      <c r="G1501" s="7" t="s">
        <v>9</v>
      </c>
    </row>
    <row r="1502" spans="1:7" x14ac:dyDescent="0.45">
      <c r="A1502" t="s">
        <v>1597</v>
      </c>
      <c r="B1502" s="2" t="s">
        <v>20</v>
      </c>
      <c r="C1502" s="5">
        <f>21096/(60*60*24)</f>
        <v>0.24416666666666667</v>
      </c>
      <c r="D1502" s="4">
        <f>1985/(60*60*24)</f>
        <v>2.2974537037037036E-2</v>
      </c>
      <c r="E1502" s="3">
        <f>7946/(60*60*24)</f>
        <v>9.1967592592592587E-2</v>
      </c>
      <c r="F1502" s="6">
        <f>27537/(60*60*24)</f>
        <v>0.31871527777777775</v>
      </c>
      <c r="G1502" s="7" t="s">
        <v>9</v>
      </c>
    </row>
    <row r="1503" spans="1:7" x14ac:dyDescent="0.45">
      <c r="A1503" t="s">
        <v>1598</v>
      </c>
      <c r="B1503" s="2" t="s">
        <v>18</v>
      </c>
      <c r="C1503" s="8" t="s">
        <v>12</v>
      </c>
      <c r="D1503" s="4">
        <f>2088/(60*60*24)</f>
        <v>2.4166666666666666E-2</v>
      </c>
      <c r="E1503" s="3">
        <f>8557/(60*60*24)</f>
        <v>9.9039351851851851E-2</v>
      </c>
      <c r="F1503" s="5">
        <f>28376/(60*60*24)</f>
        <v>0.3284259259259259</v>
      </c>
      <c r="G1503" s="7" t="s">
        <v>9</v>
      </c>
    </row>
    <row r="1504" spans="1:7" x14ac:dyDescent="0.45">
      <c r="A1504" t="s">
        <v>1599</v>
      </c>
      <c r="B1504" s="2" t="s">
        <v>22</v>
      </c>
      <c r="C1504" s="3">
        <f>6197/(60*60*24)</f>
        <v>7.1724537037037031E-2</v>
      </c>
      <c r="D1504" s="4">
        <f>1917/(60*60*24)</f>
        <v>2.2187499999999999E-2</v>
      </c>
      <c r="E1504" s="5">
        <f>7928/(60*60*24)</f>
        <v>9.1759259259259263E-2</v>
      </c>
      <c r="F1504" s="6">
        <f>27305/(60*60*24)</f>
        <v>0.31603009259259257</v>
      </c>
      <c r="G1504" s="7" t="s">
        <v>9</v>
      </c>
    </row>
    <row r="1505" spans="1:7" x14ac:dyDescent="0.45">
      <c r="A1505" t="s">
        <v>1600</v>
      </c>
      <c r="B1505" s="2" t="s">
        <v>24</v>
      </c>
      <c r="C1505" s="3">
        <f>5792/(60*60*24)</f>
        <v>6.7037037037037034E-2</v>
      </c>
      <c r="D1505" s="4">
        <f>1881/(60*60*24)</f>
        <v>2.1770833333333333E-2</v>
      </c>
      <c r="E1505" s="5">
        <f>7734/(60*60*24)</f>
        <v>8.9513888888888893E-2</v>
      </c>
      <c r="F1505" s="6">
        <f>26634/(60*60*24)</f>
        <v>0.30826388888888889</v>
      </c>
      <c r="G1505" s="7" t="s">
        <v>9</v>
      </c>
    </row>
    <row r="1506" spans="1:7" x14ac:dyDescent="0.45">
      <c r="A1506" t="s">
        <v>1601</v>
      </c>
      <c r="B1506" s="2" t="s">
        <v>26</v>
      </c>
      <c r="C1506" s="3">
        <f>6416/(60*60*24)</f>
        <v>7.4259259259259261E-2</v>
      </c>
      <c r="D1506" s="4">
        <f>1920/(60*60*24)</f>
        <v>2.2222222222222223E-2</v>
      </c>
      <c r="E1506" s="5">
        <f>7639/(60*60*24)</f>
        <v>8.8414351851851855E-2</v>
      </c>
      <c r="F1506" s="6">
        <f>26121/(60*60*24)</f>
        <v>0.30232638888888891</v>
      </c>
      <c r="G1506" s="7" t="s">
        <v>9</v>
      </c>
    </row>
    <row r="1507" spans="1:7" x14ac:dyDescent="0.45">
      <c r="A1507" t="s">
        <v>1602</v>
      </c>
      <c r="B1507" s="2" t="s">
        <v>28</v>
      </c>
      <c r="C1507" s="3">
        <f>5998/(60*60*24)</f>
        <v>6.94212962962963E-2</v>
      </c>
      <c r="D1507" s="4">
        <f>1795/(60*60*24)</f>
        <v>2.0775462962962964E-2</v>
      </c>
      <c r="E1507" s="5">
        <f>7403/(60*60*24)</f>
        <v>8.5682870370370368E-2</v>
      </c>
      <c r="F1507" s="6">
        <f>25248/(60*60*24)</f>
        <v>0.29222222222222222</v>
      </c>
      <c r="G1507" s="7" t="s">
        <v>9</v>
      </c>
    </row>
    <row r="1508" spans="1:7" x14ac:dyDescent="0.45">
      <c r="A1508" t="s">
        <v>1603</v>
      </c>
      <c r="B1508" s="2" t="s">
        <v>30</v>
      </c>
      <c r="C1508" s="3">
        <f>6230/(60*60*24)</f>
        <v>7.210648148148148E-2</v>
      </c>
      <c r="D1508" s="4">
        <f>1997/(60*60*24)</f>
        <v>2.3113425925925926E-2</v>
      </c>
      <c r="E1508" s="5">
        <f>7309/(60*60*24)</f>
        <v>8.459490740740741E-2</v>
      </c>
      <c r="F1508" s="6">
        <f>24493/(60*60*24)</f>
        <v>0.28348379629629628</v>
      </c>
      <c r="G1508" s="7" t="s">
        <v>9</v>
      </c>
    </row>
    <row r="1509" spans="1:7" x14ac:dyDescent="0.45">
      <c r="A1509" t="s">
        <v>1604</v>
      </c>
      <c r="B1509" s="2" t="s">
        <v>32</v>
      </c>
      <c r="C1509" s="8" t="s">
        <v>12</v>
      </c>
      <c r="D1509" s="4">
        <f>2055/(60*60*24)</f>
        <v>2.3784722222222221E-2</v>
      </c>
      <c r="E1509" s="3">
        <f>7297/(60*60*24)</f>
        <v>8.4456018518518514E-2</v>
      </c>
      <c r="F1509" s="5">
        <f>23708/(60*60*24)</f>
        <v>0.27439814814814817</v>
      </c>
      <c r="G1509" s="7" t="s">
        <v>9</v>
      </c>
    </row>
    <row r="1510" spans="1:7" x14ac:dyDescent="0.45">
      <c r="A1510" t="s">
        <v>1605</v>
      </c>
      <c r="B1510" s="2" t="s">
        <v>36</v>
      </c>
      <c r="C1510" s="8" t="s">
        <v>12</v>
      </c>
      <c r="D1510" s="4">
        <f>1936/(60*60*24)</f>
        <v>2.2407407407407407E-2</v>
      </c>
      <c r="E1510" s="3">
        <f>7303/(60*60*24)</f>
        <v>8.4525462962962969E-2</v>
      </c>
      <c r="F1510" s="5">
        <f>23509/(60*60*24)</f>
        <v>0.27209490740740738</v>
      </c>
      <c r="G1510" s="7" t="s">
        <v>9</v>
      </c>
    </row>
    <row r="1511" spans="1:7" x14ac:dyDescent="0.45">
      <c r="A1511" t="s">
        <v>1606</v>
      </c>
      <c r="B1511" s="2" t="s">
        <v>34</v>
      </c>
      <c r="C1511" s="8" t="s">
        <v>12</v>
      </c>
      <c r="D1511" s="4">
        <f>1898/(60*60*24)</f>
        <v>2.1967592592592594E-2</v>
      </c>
      <c r="E1511" s="3">
        <f>6666/(60*60*24)</f>
        <v>7.7152777777777778E-2</v>
      </c>
      <c r="F1511" s="5">
        <f>22419/(60*60*24)</f>
        <v>0.25947916666666665</v>
      </c>
      <c r="G1511" s="7" t="s">
        <v>9</v>
      </c>
    </row>
    <row r="1512" spans="1:7" x14ac:dyDescent="0.45">
      <c r="A1512" t="s">
        <v>1607</v>
      </c>
      <c r="B1512" s="2" t="s">
        <v>40</v>
      </c>
      <c r="C1512" s="3">
        <f>4639/(60*60*24)</f>
        <v>5.3692129629629631E-2</v>
      </c>
      <c r="D1512" s="4">
        <f>1750/(60*60*24)</f>
        <v>2.0254629629629629E-2</v>
      </c>
      <c r="E1512" s="5">
        <f>6215/(60*60*24)</f>
        <v>7.1932870370370369E-2</v>
      </c>
      <c r="F1512" s="6">
        <f>20647/(60*60*24)</f>
        <v>0.23896990740740739</v>
      </c>
      <c r="G1512" s="7" t="s">
        <v>9</v>
      </c>
    </row>
    <row r="1513" spans="1:7" x14ac:dyDescent="0.45">
      <c r="A1513" t="s">
        <v>1608</v>
      </c>
      <c r="B1513" s="2" t="s">
        <v>38</v>
      </c>
      <c r="C1513" s="8" t="s">
        <v>12</v>
      </c>
      <c r="D1513" s="4">
        <f>1307/(60*60*24)</f>
        <v>1.5127314814814816E-2</v>
      </c>
      <c r="E1513" s="3">
        <f>6645/(60*60*24)</f>
        <v>7.6909722222222227E-2</v>
      </c>
      <c r="F1513" s="5">
        <f>21689/(60*60*24)</f>
        <v>0.25103009259259257</v>
      </c>
      <c r="G1513" s="7" t="s">
        <v>9</v>
      </c>
    </row>
    <row r="1514" spans="1:7" x14ac:dyDescent="0.45">
      <c r="A1514" t="s">
        <v>1609</v>
      </c>
      <c r="B1514" s="2" t="s">
        <v>44</v>
      </c>
      <c r="C1514" s="3">
        <f>4344/(60*60*24)</f>
        <v>5.0277777777777775E-2</v>
      </c>
      <c r="D1514" s="4">
        <f>1740/(60*60*24)</f>
        <v>2.013888888888889E-2</v>
      </c>
      <c r="E1514" s="5">
        <f>6007/(60*60*24)</f>
        <v>6.9525462962962969E-2</v>
      </c>
      <c r="F1514" s="6">
        <f>20073/(60*60*24)</f>
        <v>0.2323263888888889</v>
      </c>
      <c r="G1514" s="7" t="s">
        <v>9</v>
      </c>
    </row>
    <row r="1515" spans="1:7" x14ac:dyDescent="0.45">
      <c r="A1515" t="s">
        <v>1610</v>
      </c>
      <c r="B1515" s="2" t="s">
        <v>42</v>
      </c>
      <c r="C1515" s="3">
        <f>4070/(60*60*24)</f>
        <v>4.7106481481481478E-2</v>
      </c>
      <c r="D1515" s="4">
        <f>1863/(60*60*24)</f>
        <v>2.1562499999999998E-2</v>
      </c>
      <c r="E1515" s="5">
        <f>5850/(60*60*24)</f>
        <v>6.7708333333333329E-2</v>
      </c>
      <c r="F1515" s="6">
        <f>19585/(60*60*24)</f>
        <v>0.22667824074074075</v>
      </c>
      <c r="G1515" s="7" t="s">
        <v>9</v>
      </c>
    </row>
    <row r="1516" spans="1:7" x14ac:dyDescent="0.45">
      <c r="A1516" t="s">
        <v>1611</v>
      </c>
      <c r="B1516" s="2" t="s">
        <v>46</v>
      </c>
      <c r="C1516" s="3">
        <f>4666/(60*60*24)</f>
        <v>5.4004629629629632E-2</v>
      </c>
      <c r="D1516" s="4">
        <f>2078/(60*60*24)</f>
        <v>2.4050925925925927E-2</v>
      </c>
      <c r="E1516" s="5">
        <f>5935/(60*60*24)</f>
        <v>6.8692129629629631E-2</v>
      </c>
      <c r="F1516" s="6">
        <f>19593/(60*60*24)</f>
        <v>0.22677083333333334</v>
      </c>
      <c r="G1516" s="7" t="s">
        <v>9</v>
      </c>
    </row>
    <row r="1517" spans="1:7" x14ac:dyDescent="0.45">
      <c r="A1517" t="s">
        <v>1612</v>
      </c>
      <c r="B1517" s="2" t="s">
        <v>48</v>
      </c>
      <c r="C1517" s="3">
        <f>3828/(60*60*24)</f>
        <v>4.4305555555555556E-2</v>
      </c>
      <c r="D1517" s="4">
        <f>1593/(60*60*24)</f>
        <v>1.8437499999999999E-2</v>
      </c>
      <c r="E1517" s="5">
        <f>5462/(60*60*24)</f>
        <v>6.3217592592592589E-2</v>
      </c>
      <c r="F1517" s="6">
        <f>18255/(60*60*24)</f>
        <v>0.21128472222222222</v>
      </c>
      <c r="G1517" s="7" t="s">
        <v>9</v>
      </c>
    </row>
    <row r="1518" spans="1:7" x14ac:dyDescent="0.45">
      <c r="A1518" t="s">
        <v>1613</v>
      </c>
      <c r="B1518" s="2" t="s">
        <v>50</v>
      </c>
      <c r="C1518" s="3">
        <f>3682/(60*60*24)</f>
        <v>4.2615740740740739E-2</v>
      </c>
      <c r="D1518" s="4">
        <f>1662/(60*60*24)</f>
        <v>1.923611111111111E-2</v>
      </c>
      <c r="E1518" s="5">
        <f>5332/(60*60*24)</f>
        <v>6.1712962962962963E-2</v>
      </c>
      <c r="F1518" s="6">
        <f>17563/(60*60*24)</f>
        <v>0.20327546296296295</v>
      </c>
      <c r="G1518" s="7" t="s">
        <v>9</v>
      </c>
    </row>
    <row r="1519" spans="1:7" x14ac:dyDescent="0.45">
      <c r="A1519" t="s">
        <v>1614</v>
      </c>
      <c r="B1519" s="2" t="s">
        <v>52</v>
      </c>
      <c r="C1519" s="3">
        <f>3895/(60*60*24)</f>
        <v>4.508101851851852E-2</v>
      </c>
      <c r="D1519" s="4">
        <f>1818/(60*60*24)</f>
        <v>2.1041666666666667E-2</v>
      </c>
      <c r="E1519" s="5">
        <f>5128/(60*60*24)</f>
        <v>5.935185185185185E-2</v>
      </c>
      <c r="F1519" s="6">
        <f>16902/(60*60*24)</f>
        <v>0.19562499999999999</v>
      </c>
      <c r="G1519" s="7" t="s">
        <v>9</v>
      </c>
    </row>
    <row r="1520" spans="1:7" x14ac:dyDescent="0.45">
      <c r="A1520" t="s">
        <v>1615</v>
      </c>
      <c r="B1520" s="2" t="s">
        <v>54</v>
      </c>
      <c r="C1520" s="3">
        <f>4146/(60*60*24)</f>
        <v>4.7986111111111111E-2</v>
      </c>
      <c r="D1520" s="4">
        <f>1864/(60*60*24)</f>
        <v>2.1574074074074075E-2</v>
      </c>
      <c r="E1520" s="5">
        <f>4990/(60*60*24)</f>
        <v>5.7754629629629628E-2</v>
      </c>
      <c r="F1520" s="6">
        <f>16337/(60*60*24)</f>
        <v>0.18908564814814816</v>
      </c>
      <c r="G1520" s="7" t="s">
        <v>9</v>
      </c>
    </row>
    <row r="1521" spans="1:7" x14ac:dyDescent="0.45">
      <c r="A1521" t="s">
        <v>1616</v>
      </c>
      <c r="B1521" s="2" t="s">
        <v>56</v>
      </c>
      <c r="C1521" s="3">
        <f>3753/(60*60*24)</f>
        <v>4.3437499999999997E-2</v>
      </c>
      <c r="D1521" s="4">
        <f>1896/(60*60*24)</f>
        <v>2.1944444444444444E-2</v>
      </c>
      <c r="E1521" s="5">
        <f>4685/(60*60*24)</f>
        <v>5.4224537037037036E-2</v>
      </c>
      <c r="F1521" s="6">
        <f>15561/(60*60*24)</f>
        <v>0.18010416666666668</v>
      </c>
      <c r="G1521" s="7" t="s">
        <v>9</v>
      </c>
    </row>
    <row r="1522" spans="1:7" x14ac:dyDescent="0.45">
      <c r="A1522" t="s">
        <v>1617</v>
      </c>
      <c r="B1522" s="2" t="s">
        <v>58</v>
      </c>
      <c r="C1522" s="3">
        <f>3213/(60*60*24)</f>
        <v>3.7187499999999998E-2</v>
      </c>
      <c r="D1522" s="4">
        <f>1783/(60*60*24)</f>
        <v>2.0636574074074075E-2</v>
      </c>
      <c r="E1522" s="5">
        <f>4502/(60*60*24)</f>
        <v>5.2106481481481483E-2</v>
      </c>
      <c r="F1522" s="6">
        <f>14897/(60*60*24)</f>
        <v>0.17241898148148149</v>
      </c>
      <c r="G1522" s="7" t="s">
        <v>9</v>
      </c>
    </row>
    <row r="1523" spans="1:7" x14ac:dyDescent="0.45">
      <c r="A1523" t="s">
        <v>1618</v>
      </c>
      <c r="B1523" s="2" t="s">
        <v>60</v>
      </c>
      <c r="C1523" s="3">
        <f>3512/(60*60*24)</f>
        <v>4.0648148148148149E-2</v>
      </c>
      <c r="D1523" s="4">
        <f>1811/(60*60*24)</f>
        <v>2.0960648148148148E-2</v>
      </c>
      <c r="E1523" s="5">
        <f>4349/(60*60*24)</f>
        <v>5.033564814814815E-2</v>
      </c>
      <c r="F1523" s="6">
        <f>14267/(60*60*24)</f>
        <v>0.16512731481481482</v>
      </c>
      <c r="G1523" s="7" t="s">
        <v>9</v>
      </c>
    </row>
    <row r="1524" spans="1:7" x14ac:dyDescent="0.45">
      <c r="A1524" t="s">
        <v>1619</v>
      </c>
      <c r="B1524" s="2" t="s">
        <v>62</v>
      </c>
      <c r="C1524" s="3">
        <f>3141/(60*60*24)</f>
        <v>3.6354166666666667E-2</v>
      </c>
      <c r="D1524" s="4">
        <f>1589/(60*60*24)</f>
        <v>1.8391203703703705E-2</v>
      </c>
      <c r="E1524" s="5">
        <f>4186/(60*60*24)</f>
        <v>4.8449074074074075E-2</v>
      </c>
      <c r="F1524" s="6">
        <f>13800/(60*60*24)</f>
        <v>0.15972222222222221</v>
      </c>
      <c r="G1524" s="7" t="s">
        <v>9</v>
      </c>
    </row>
    <row r="1525" spans="1:7" x14ac:dyDescent="0.45">
      <c r="A1525" t="s">
        <v>1620</v>
      </c>
      <c r="B1525" s="2" t="s">
        <v>64</v>
      </c>
      <c r="C1525" s="3">
        <f>3389/(60*60*24)</f>
        <v>3.9224537037037037E-2</v>
      </c>
      <c r="D1525" s="4">
        <f>1693/(60*60*24)</f>
        <v>1.9594907407407408E-2</v>
      </c>
      <c r="E1525" s="5">
        <f>4037/(60*60*24)</f>
        <v>4.6724537037037037E-2</v>
      </c>
      <c r="F1525" s="6">
        <f>13047/(60*60*24)</f>
        <v>0.15100694444444446</v>
      </c>
      <c r="G1525" s="7" t="s">
        <v>9</v>
      </c>
    </row>
    <row r="1526" spans="1:7" x14ac:dyDescent="0.45">
      <c r="A1526" t="s">
        <v>1621</v>
      </c>
      <c r="B1526" s="2" t="s">
        <v>66</v>
      </c>
      <c r="C1526" s="3">
        <f>3242/(60*60*24)</f>
        <v>3.7523148148148146E-2</v>
      </c>
      <c r="D1526" s="4">
        <f>1587/(60*60*24)</f>
        <v>1.8368055555555554E-2</v>
      </c>
      <c r="E1526" s="5">
        <f>3787/(60*60*24)</f>
        <v>4.3831018518518519E-2</v>
      </c>
      <c r="F1526" s="6">
        <f>12478/(60*60*24)</f>
        <v>0.1444212962962963</v>
      </c>
      <c r="G1526" s="7" t="s">
        <v>9</v>
      </c>
    </row>
    <row r="1527" spans="1:7" x14ac:dyDescent="0.45">
      <c r="A1527" t="s">
        <v>1622</v>
      </c>
      <c r="B1527" s="2" t="s">
        <v>68</v>
      </c>
      <c r="C1527" s="3">
        <f>3339/(60*60*24)</f>
        <v>3.8645833333333331E-2</v>
      </c>
      <c r="D1527" s="4">
        <f>1513/(60*60*24)</f>
        <v>1.7511574074074075E-2</v>
      </c>
      <c r="E1527" s="5">
        <f>3699/(60*60*24)</f>
        <v>4.2812500000000003E-2</v>
      </c>
      <c r="F1527" s="6">
        <f>11866/(60*60*24)</f>
        <v>0.13733796296296297</v>
      </c>
      <c r="G1527" s="7" t="s">
        <v>9</v>
      </c>
    </row>
    <row r="1528" spans="1:7" x14ac:dyDescent="0.45">
      <c r="A1528" t="s">
        <v>1623</v>
      </c>
      <c r="B1528" s="2" t="s">
        <v>70</v>
      </c>
      <c r="C1528" s="3">
        <f>2920/(60*60*24)</f>
        <v>3.3796296296296297E-2</v>
      </c>
      <c r="D1528" s="4">
        <f>1398/(60*60*24)</f>
        <v>1.6180555555555556E-2</v>
      </c>
      <c r="E1528" s="5">
        <f>3578/(60*60*24)</f>
        <v>4.1412037037037039E-2</v>
      </c>
      <c r="F1528" s="6">
        <f>11242/(60*60*24)</f>
        <v>0.13011574074074075</v>
      </c>
      <c r="G1528" s="7" t="s">
        <v>9</v>
      </c>
    </row>
    <row r="1529" spans="1:7" x14ac:dyDescent="0.45">
      <c r="A1529" t="s">
        <v>1624</v>
      </c>
      <c r="B1529" s="2" t="s">
        <v>72</v>
      </c>
      <c r="C1529" s="3">
        <f>3251/(60*60*24)</f>
        <v>3.7627314814814815E-2</v>
      </c>
      <c r="D1529" s="4">
        <f>1349/(60*60*24)</f>
        <v>1.5613425925925926E-2</v>
      </c>
      <c r="E1529" s="5">
        <f>3305/(60*60*24)</f>
        <v>3.8252314814814815E-2</v>
      </c>
      <c r="F1529" s="6">
        <f>10736/(60*60*24)</f>
        <v>0.12425925925925926</v>
      </c>
      <c r="G1529" s="7" t="s">
        <v>9</v>
      </c>
    </row>
    <row r="1530" spans="1:7" x14ac:dyDescent="0.45">
      <c r="A1530" t="s">
        <v>1625</v>
      </c>
      <c r="B1530" s="2" t="s">
        <v>74</v>
      </c>
      <c r="C1530" s="5">
        <f>3420/(60*60*24)</f>
        <v>3.9583333333333331E-2</v>
      </c>
      <c r="D1530" s="4">
        <f>1373/(60*60*24)</f>
        <v>1.5891203703703703E-2</v>
      </c>
      <c r="E1530" s="3">
        <f>2974/(60*60*24)</f>
        <v>3.4421296296296297E-2</v>
      </c>
      <c r="F1530" s="6">
        <f>10112/(60*60*24)</f>
        <v>0.11703703703703704</v>
      </c>
      <c r="G1530" s="7" t="s">
        <v>9</v>
      </c>
    </row>
    <row r="1531" spans="1:7" x14ac:dyDescent="0.45">
      <c r="A1531" t="s">
        <v>1626</v>
      </c>
      <c r="B1531" s="2" t="s">
        <v>76</v>
      </c>
      <c r="C1531" s="5">
        <f>3127/(60*60*24)</f>
        <v>3.619212962962963E-2</v>
      </c>
      <c r="D1531" s="4">
        <f>1210/(60*60*24)</f>
        <v>1.4004629629629629E-2</v>
      </c>
      <c r="E1531" s="3">
        <f>2753/(60*60*24)</f>
        <v>3.1863425925925927E-2</v>
      </c>
      <c r="F1531" s="6">
        <f>9350/(60*60*24)</f>
        <v>0.10821759259259259</v>
      </c>
      <c r="G1531" s="7" t="s">
        <v>9</v>
      </c>
    </row>
    <row r="1532" spans="1:7" x14ac:dyDescent="0.45">
      <c r="A1532" t="s">
        <v>1627</v>
      </c>
      <c r="B1532" s="2" t="s">
        <v>78</v>
      </c>
      <c r="C1532" s="5">
        <f>3068/(60*60*24)</f>
        <v>3.5509259259259261E-2</v>
      </c>
      <c r="D1532" s="4">
        <f>1199/(60*60*24)</f>
        <v>1.3877314814814815E-2</v>
      </c>
      <c r="E1532" s="3">
        <f>2571/(60*60*24)</f>
        <v>2.9756944444444444E-2</v>
      </c>
      <c r="F1532" s="6">
        <f>8836/(60*60*24)</f>
        <v>0.10226851851851852</v>
      </c>
      <c r="G1532" s="7" t="s">
        <v>9</v>
      </c>
    </row>
    <row r="1533" spans="1:7" x14ac:dyDescent="0.45">
      <c r="A1533" t="s">
        <v>1628</v>
      </c>
      <c r="B1533" s="2" t="s">
        <v>80</v>
      </c>
      <c r="C1533" s="5">
        <f>3299/(60*60*24)</f>
        <v>3.8182870370370367E-2</v>
      </c>
      <c r="D1533" s="4">
        <f>1047/(60*60*24)</f>
        <v>1.2118055555555556E-2</v>
      </c>
      <c r="E1533" s="3">
        <f>2305/(60*60*24)</f>
        <v>2.6678240740740742E-2</v>
      </c>
      <c r="F1533" s="6">
        <f>8132/(60*60*24)</f>
        <v>9.4120370370370368E-2</v>
      </c>
      <c r="G1533" s="7" t="s">
        <v>9</v>
      </c>
    </row>
    <row r="1534" spans="1:7" x14ac:dyDescent="0.45">
      <c r="A1534" t="s">
        <v>1629</v>
      </c>
      <c r="B1534" s="2" t="s">
        <v>84</v>
      </c>
      <c r="C1534" s="5">
        <f>2974/(60*60*24)</f>
        <v>3.4421296296296297E-2</v>
      </c>
      <c r="D1534" s="4">
        <f>1073/(60*60*24)</f>
        <v>1.2418981481481482E-2</v>
      </c>
      <c r="E1534" s="3">
        <f>2074/(60*60*24)</f>
        <v>2.4004629629629629E-2</v>
      </c>
      <c r="F1534" s="6">
        <f>7084/(60*60*24)</f>
        <v>8.1990740740740739E-2</v>
      </c>
      <c r="G1534" s="7" t="s">
        <v>9</v>
      </c>
    </row>
    <row r="1535" spans="1:7" x14ac:dyDescent="0.45">
      <c r="A1535" t="s">
        <v>1630</v>
      </c>
      <c r="B1535" s="2" t="s">
        <v>82</v>
      </c>
      <c r="C1535" s="5">
        <f>4046/(60*60*24)</f>
        <v>4.6828703703703706E-2</v>
      </c>
      <c r="D1535" s="4">
        <f>1072/(60*60*24)</f>
        <v>1.2407407407407407E-2</v>
      </c>
      <c r="E1535" s="3">
        <f>2004/(60*60*24)</f>
        <v>2.3194444444444445E-2</v>
      </c>
      <c r="F1535" s="6">
        <f>6595/(60*60*24)</f>
        <v>7.633101851851852E-2</v>
      </c>
      <c r="G1535" s="7" t="s">
        <v>9</v>
      </c>
    </row>
    <row r="1536" spans="1:7" x14ac:dyDescent="0.45">
      <c r="A1536" t="s">
        <v>1631</v>
      </c>
      <c r="B1536" s="2" t="s">
        <v>88</v>
      </c>
      <c r="C1536" s="5">
        <f>2895/(60*60*24)</f>
        <v>3.3506944444444443E-2</v>
      </c>
      <c r="D1536" s="4">
        <f>1133/(60*60*24)</f>
        <v>1.3113425925925926E-2</v>
      </c>
      <c r="E1536" s="3">
        <f>2194/(60*60*24)</f>
        <v>2.539351851851852E-2</v>
      </c>
      <c r="F1536" s="6">
        <f>6448/(60*60*24)</f>
        <v>7.4629629629629629E-2</v>
      </c>
      <c r="G1536" s="7" t="s">
        <v>9</v>
      </c>
    </row>
    <row r="1537" spans="1:7" x14ac:dyDescent="0.45">
      <c r="A1537" t="s">
        <v>1632</v>
      </c>
      <c r="B1537" s="2" t="s">
        <v>86</v>
      </c>
      <c r="C1537" s="5">
        <f>1549/(60*60*24)</f>
        <v>1.7928240740740741E-2</v>
      </c>
      <c r="D1537" s="4">
        <f>1053/(60*60*24)</f>
        <v>1.21875E-2</v>
      </c>
      <c r="E1537" s="3">
        <f>1489/(60*60*24)</f>
        <v>1.7233796296296296E-2</v>
      </c>
      <c r="F1537" s="6">
        <f>4982/(60*60*24)</f>
        <v>5.7662037037037039E-2</v>
      </c>
      <c r="G1537" s="7" t="s">
        <v>9</v>
      </c>
    </row>
    <row r="1538" spans="1:7" x14ac:dyDescent="0.45">
      <c r="A1538" t="s">
        <v>1633</v>
      </c>
      <c r="B1538" s="2" t="s">
        <v>90</v>
      </c>
      <c r="C1538" s="5">
        <f>1818/(60*60*24)</f>
        <v>2.1041666666666667E-2</v>
      </c>
      <c r="D1538" s="4">
        <f>858/(60*60*24)</f>
        <v>9.9305555555555553E-3</v>
      </c>
      <c r="E1538" s="3">
        <f>1353/(60*60*24)</f>
        <v>1.5659722222222221E-2</v>
      </c>
      <c r="F1538" s="6">
        <f>4208/(60*60*24)</f>
        <v>4.87037037037037E-2</v>
      </c>
      <c r="G1538" s="7" t="s">
        <v>9</v>
      </c>
    </row>
    <row r="1539" spans="1:7" x14ac:dyDescent="0.45">
      <c r="A1539" t="s">
        <v>1634</v>
      </c>
      <c r="B1539" s="2" t="s">
        <v>92</v>
      </c>
      <c r="C1539" s="8" t="s">
        <v>12</v>
      </c>
      <c r="D1539" s="4">
        <f>828/(60*60*24)</f>
        <v>9.5833333333333326E-3</v>
      </c>
      <c r="E1539" s="3">
        <f>1155/(60*60*24)</f>
        <v>1.3368055555555555E-2</v>
      </c>
      <c r="F1539" s="5">
        <f>3632/(60*60*24)</f>
        <v>4.2037037037037039E-2</v>
      </c>
      <c r="G1539" s="7" t="s">
        <v>9</v>
      </c>
    </row>
    <row r="1540" spans="1:7" x14ac:dyDescent="0.45">
      <c r="A1540" t="s">
        <v>1635</v>
      </c>
      <c r="B1540" s="2" t="s">
        <v>94</v>
      </c>
      <c r="C1540" s="5">
        <f>2044/(60*60*24)</f>
        <v>2.3657407407407408E-2</v>
      </c>
      <c r="D1540" s="4">
        <f>691/(60*60*24)</f>
        <v>7.9976851851851858E-3</v>
      </c>
      <c r="E1540" s="3">
        <f>875/(60*60*24)</f>
        <v>1.0127314814814815E-2</v>
      </c>
      <c r="F1540" s="6">
        <f>2745/(60*60*24)</f>
        <v>3.1770833333333331E-2</v>
      </c>
      <c r="G1540" s="7" t="s">
        <v>9</v>
      </c>
    </row>
    <row r="1541" spans="1:7" x14ac:dyDescent="0.45">
      <c r="A1541" t="s">
        <v>1636</v>
      </c>
      <c r="B1541" s="2" t="s">
        <v>96</v>
      </c>
      <c r="C1541" s="6">
        <f>2096/(60*60*24)</f>
        <v>2.4259259259259258E-2</v>
      </c>
      <c r="D1541" s="3">
        <f>672/(60*60*24)</f>
        <v>7.7777777777777776E-3</v>
      </c>
      <c r="E1541" s="4">
        <f>651/(60*60*24)</f>
        <v>7.5347222222222222E-3</v>
      </c>
      <c r="F1541" s="5">
        <f>2046/(60*60*24)</f>
        <v>2.3680555555555555E-2</v>
      </c>
      <c r="G1541" s="7" t="s">
        <v>9</v>
      </c>
    </row>
    <row r="1542" spans="1:7" x14ac:dyDescent="0.45">
      <c r="A1542" t="s">
        <v>1637</v>
      </c>
      <c r="B1542" s="2" t="s">
        <v>98</v>
      </c>
      <c r="C1542" s="5">
        <f>1004/(60*60*24)</f>
        <v>1.1620370370370371E-2</v>
      </c>
      <c r="D1542" s="4">
        <f>539/(60*60*24)</f>
        <v>6.2384259259259259E-3</v>
      </c>
      <c r="E1542" s="3">
        <f>565/(60*60*24)</f>
        <v>6.5393518518518517E-3</v>
      </c>
      <c r="F1542" s="6">
        <f>1795/(60*60*24)</f>
        <v>2.0775462962962964E-2</v>
      </c>
      <c r="G1542" s="7" t="s">
        <v>9</v>
      </c>
    </row>
    <row r="1543" spans="1:7" x14ac:dyDescent="0.45">
      <c r="A1543" t="s">
        <v>1638</v>
      </c>
      <c r="B1543" s="2" t="s">
        <v>100</v>
      </c>
      <c r="C1543" s="5">
        <f>1123/(60*60*24)</f>
        <v>1.2997685185185185E-2</v>
      </c>
      <c r="D1543" s="4">
        <f>435/(60*60*24)</f>
        <v>5.0347222222222225E-3</v>
      </c>
      <c r="E1543" s="3">
        <f>517/(60*60*24)</f>
        <v>5.9837962962962961E-3</v>
      </c>
      <c r="F1543" s="6">
        <f>1598/(60*60*24)</f>
        <v>1.849537037037037E-2</v>
      </c>
      <c r="G1543" s="7" t="s">
        <v>9</v>
      </c>
    </row>
    <row r="1544" spans="1:7" x14ac:dyDescent="0.45">
      <c r="A1544" t="s">
        <v>1639</v>
      </c>
      <c r="B1544" s="2" t="s">
        <v>104</v>
      </c>
      <c r="C1544" s="5">
        <f>973/(60*60*24)</f>
        <v>1.1261574074074075E-2</v>
      </c>
      <c r="D1544" s="4">
        <f>330/(60*60*24)</f>
        <v>3.8194444444444443E-3</v>
      </c>
      <c r="E1544" s="3">
        <f>536/(60*60*24)</f>
        <v>6.2037037037037035E-3</v>
      </c>
      <c r="F1544" s="6">
        <f>1503/(60*60*24)</f>
        <v>1.7395833333333333E-2</v>
      </c>
      <c r="G1544" s="7" t="s">
        <v>9</v>
      </c>
    </row>
    <row r="1545" spans="1:7" x14ac:dyDescent="0.45">
      <c r="A1545" t="s">
        <v>1640</v>
      </c>
      <c r="B1545" s="2" t="s">
        <v>102</v>
      </c>
      <c r="C1545" s="6">
        <f>3103/(60*60*24)</f>
        <v>3.591435185185185E-2</v>
      </c>
      <c r="D1545" s="4">
        <f>601/(60*60*24)</f>
        <v>6.9560185185185185E-3</v>
      </c>
      <c r="E1545" s="3">
        <f>719/(60*60*24)</f>
        <v>8.3217592592592596E-3</v>
      </c>
      <c r="F1545" s="5">
        <f>2433/(60*60*24)</f>
        <v>2.8159722222222221E-2</v>
      </c>
      <c r="G1545" s="7" t="s">
        <v>9</v>
      </c>
    </row>
    <row r="1546" spans="1:7" x14ac:dyDescent="0.45">
      <c r="A1546" t="s">
        <v>1641</v>
      </c>
      <c r="B1546" s="2" t="s">
        <v>106</v>
      </c>
      <c r="C1546" s="8" t="s">
        <v>12</v>
      </c>
      <c r="D1546" s="4">
        <f>688/(60*60*24)</f>
        <v>7.9629629629629634E-3</v>
      </c>
      <c r="E1546" s="3">
        <f>916/(60*60*24)</f>
        <v>1.0601851851851852E-2</v>
      </c>
      <c r="F1546" s="5">
        <f>2942/(60*60*24)</f>
        <v>3.4050925925925929E-2</v>
      </c>
      <c r="G1546" s="7" t="s">
        <v>9</v>
      </c>
    </row>
    <row r="1547" spans="1:7" x14ac:dyDescent="0.45">
      <c r="A1547" t="s">
        <v>1642</v>
      </c>
      <c r="B1547" s="2" t="s">
        <v>108</v>
      </c>
      <c r="C1547" s="8" t="s">
        <v>12</v>
      </c>
      <c r="D1547" s="4">
        <f>943/(60*60*24)</f>
        <v>1.0914351851851852E-2</v>
      </c>
      <c r="E1547" s="3">
        <f>1174/(60*60*24)</f>
        <v>1.3587962962962963E-2</v>
      </c>
      <c r="F1547" s="5">
        <f>3461/(60*60*24)</f>
        <v>4.0057870370370369E-2</v>
      </c>
      <c r="G1547" s="7" t="s">
        <v>9</v>
      </c>
    </row>
    <row r="1548" spans="1:7" x14ac:dyDescent="0.45">
      <c r="A1548" t="s">
        <v>1643</v>
      </c>
      <c r="B1548" s="2" t="s">
        <v>110</v>
      </c>
      <c r="C1548" s="5">
        <f>2062/(60*60*24)</f>
        <v>2.3865740740740739E-2</v>
      </c>
      <c r="D1548" s="4">
        <f>836/(60*60*24)</f>
        <v>9.6759259259259264E-3</v>
      </c>
      <c r="E1548" s="3">
        <f>1302/(60*60*24)</f>
        <v>1.5069444444444444E-2</v>
      </c>
      <c r="F1548" s="6">
        <f>4109/(60*60*24)</f>
        <v>4.7557870370370368E-2</v>
      </c>
      <c r="G1548" s="7" t="s">
        <v>9</v>
      </c>
    </row>
    <row r="1549" spans="1:7" x14ac:dyDescent="0.45">
      <c r="A1549" t="s">
        <v>1644</v>
      </c>
      <c r="B1549" s="2" t="s">
        <v>112</v>
      </c>
      <c r="C1549" s="5">
        <f>1995/(60*60*24)</f>
        <v>2.3090277777777779E-2</v>
      </c>
      <c r="D1549" s="4">
        <f>827/(60*60*24)</f>
        <v>9.571759259259259E-3</v>
      </c>
      <c r="E1549" s="3">
        <f>1495/(60*60*24)</f>
        <v>1.7303240740740741E-2</v>
      </c>
      <c r="F1549" s="6">
        <f>4775/(60*60*24)</f>
        <v>5.5266203703703706E-2</v>
      </c>
      <c r="G1549" s="7" t="s">
        <v>9</v>
      </c>
    </row>
    <row r="1550" spans="1:7" x14ac:dyDescent="0.45">
      <c r="A1550" t="s">
        <v>1645</v>
      </c>
      <c r="B1550" s="2" t="s">
        <v>114</v>
      </c>
      <c r="C1550" s="5">
        <f>3049/(60*60*24)</f>
        <v>3.528935185185185E-2</v>
      </c>
      <c r="D1550" s="4">
        <f>959/(60*60*24)</f>
        <v>1.1099537037037036E-2</v>
      </c>
      <c r="E1550" s="3">
        <f>1740/(60*60*24)</f>
        <v>2.013888888888889E-2</v>
      </c>
      <c r="F1550" s="6">
        <f>5516/(60*60*24)</f>
        <v>6.384259259259259E-2</v>
      </c>
      <c r="G1550" s="7" t="s">
        <v>9</v>
      </c>
    </row>
    <row r="1551" spans="1:7" x14ac:dyDescent="0.45">
      <c r="A1551" t="s">
        <v>1646</v>
      </c>
      <c r="B1551" s="2" t="s">
        <v>116</v>
      </c>
      <c r="C1551" s="5">
        <f>2994/(60*60*24)</f>
        <v>3.4652777777777775E-2</v>
      </c>
      <c r="D1551" s="4">
        <f>1040/(60*60*24)</f>
        <v>1.2037037037037037E-2</v>
      </c>
      <c r="E1551" s="3">
        <f>1772/(60*60*24)</f>
        <v>2.0509259259259258E-2</v>
      </c>
      <c r="F1551" s="6">
        <f>6381/(60*60*24)</f>
        <v>7.3854166666666665E-2</v>
      </c>
      <c r="G1551" s="7" t="s">
        <v>9</v>
      </c>
    </row>
    <row r="1552" spans="1:7" x14ac:dyDescent="0.45">
      <c r="A1552" t="s">
        <v>1647</v>
      </c>
      <c r="B1552" s="2" t="s">
        <v>118</v>
      </c>
      <c r="C1552" s="5">
        <f>3237/(60*60*24)</f>
        <v>3.7465277777777778E-2</v>
      </c>
      <c r="D1552" s="4">
        <f>1074/(60*60*24)</f>
        <v>1.2430555555555556E-2</v>
      </c>
      <c r="E1552" s="3">
        <f>1851/(60*60*24)</f>
        <v>2.1423611111111112E-2</v>
      </c>
      <c r="F1552" s="6">
        <f>6856/(60*60*24)</f>
        <v>7.9351851851851854E-2</v>
      </c>
      <c r="G1552" s="7" t="s">
        <v>9</v>
      </c>
    </row>
    <row r="1553" spans="1:7" x14ac:dyDescent="0.45">
      <c r="A1553" t="s">
        <v>1648</v>
      </c>
      <c r="B1553" s="2" t="s">
        <v>120</v>
      </c>
      <c r="C1553" s="5">
        <f>3752/(60*60*24)</f>
        <v>4.3425925925925923E-2</v>
      </c>
      <c r="D1553" s="4">
        <f>1109/(60*60*24)</f>
        <v>1.2835648148148148E-2</v>
      </c>
      <c r="E1553" s="3">
        <f>2033/(60*60*24)</f>
        <v>2.3530092592592592E-2</v>
      </c>
      <c r="F1553" s="6">
        <f>7471/(60*60*24)</f>
        <v>8.6469907407407412E-2</v>
      </c>
      <c r="G1553" s="7" t="s">
        <v>9</v>
      </c>
    </row>
    <row r="1554" spans="1:7" x14ac:dyDescent="0.45">
      <c r="A1554" t="s">
        <v>1649</v>
      </c>
      <c r="B1554" s="2" t="s">
        <v>122</v>
      </c>
      <c r="C1554" s="5">
        <f>6622/(60*60*24)</f>
        <v>7.6643518518518514E-2</v>
      </c>
      <c r="D1554" s="4">
        <f>1168/(60*60*24)</f>
        <v>1.3518518518518518E-2</v>
      </c>
      <c r="E1554" s="3">
        <f>2803/(60*60*24)</f>
        <v>3.2442129629629626E-2</v>
      </c>
      <c r="F1554" s="6">
        <f>9677/(60*60*24)</f>
        <v>0.11200231481481482</v>
      </c>
      <c r="G1554" s="7" t="s">
        <v>9</v>
      </c>
    </row>
    <row r="1555" spans="1:7" x14ac:dyDescent="0.45">
      <c r="A1555" t="s">
        <v>1650</v>
      </c>
      <c r="B1555" s="2" t="s">
        <v>124</v>
      </c>
      <c r="C1555" s="8" t="s">
        <v>12</v>
      </c>
      <c r="D1555" s="4">
        <f>1267/(60*60*24)</f>
        <v>1.4664351851851852E-2</v>
      </c>
      <c r="E1555" s="3">
        <f>2251/(60*60*24)</f>
        <v>2.6053240740740741E-2</v>
      </c>
      <c r="F1555" s="5">
        <f>8595/(60*60*24)</f>
        <v>9.947916666666666E-2</v>
      </c>
      <c r="G1555" s="7" t="s">
        <v>9</v>
      </c>
    </row>
    <row r="1556" spans="1:7" x14ac:dyDescent="0.45">
      <c r="A1556" t="s">
        <v>1651</v>
      </c>
      <c r="B1556" s="2" t="s">
        <v>126</v>
      </c>
      <c r="C1556" s="5">
        <f>4081/(60*60*24)</f>
        <v>4.7233796296296295E-2</v>
      </c>
      <c r="D1556" s="4">
        <f>1131/(60*60*24)</f>
        <v>1.3090277777777777E-2</v>
      </c>
      <c r="E1556" s="3">
        <f>2765/(60*60*24)</f>
        <v>3.2002314814814817E-2</v>
      </c>
      <c r="F1556" s="6">
        <f>10360/(60*60*24)</f>
        <v>0.11990740740740741</v>
      </c>
      <c r="G1556" s="7" t="s">
        <v>9</v>
      </c>
    </row>
    <row r="1557" spans="1:7" x14ac:dyDescent="0.45">
      <c r="A1557" t="s">
        <v>1652</v>
      </c>
      <c r="B1557" s="2" t="s">
        <v>128</v>
      </c>
      <c r="C1557" s="8" t="s">
        <v>12</v>
      </c>
      <c r="D1557" s="4">
        <f>1219/(60*60*24)</f>
        <v>1.4108796296296296E-2</v>
      </c>
      <c r="E1557" s="3">
        <f>2830/(60*60*24)</f>
        <v>3.2754629629629627E-2</v>
      </c>
      <c r="F1557" s="5">
        <f>11034/(60*60*24)</f>
        <v>0.12770833333333334</v>
      </c>
      <c r="G1557" s="7" t="s">
        <v>9</v>
      </c>
    </row>
    <row r="1558" spans="1:7" x14ac:dyDescent="0.45">
      <c r="A1558" t="s">
        <v>1653</v>
      </c>
      <c r="B1558" s="2" t="s">
        <v>130</v>
      </c>
      <c r="C1558" s="8" t="s">
        <v>12</v>
      </c>
      <c r="D1558" s="4">
        <f>1347/(60*60*24)</f>
        <v>1.5590277777777778E-2</v>
      </c>
      <c r="E1558" s="3">
        <f>3201/(60*60*24)</f>
        <v>3.7048611111111109E-2</v>
      </c>
      <c r="F1558" s="5">
        <f>11638/(60*60*24)</f>
        <v>0.13469907407407408</v>
      </c>
      <c r="G1558" s="7" t="s">
        <v>9</v>
      </c>
    </row>
    <row r="1559" spans="1:7" x14ac:dyDescent="0.45">
      <c r="A1559" t="s">
        <v>1654</v>
      </c>
      <c r="B1559" s="2" t="s">
        <v>132</v>
      </c>
      <c r="C1559" s="8" t="s">
        <v>12</v>
      </c>
      <c r="D1559" s="4">
        <f>1741/(60*60*24)</f>
        <v>2.0150462962962964E-2</v>
      </c>
      <c r="E1559" s="3">
        <f>3590/(60*60*24)</f>
        <v>4.1550925925925929E-2</v>
      </c>
      <c r="F1559" s="5">
        <f>12195/(60*60*24)</f>
        <v>0.14114583333333333</v>
      </c>
      <c r="G1559" s="7" t="s">
        <v>9</v>
      </c>
    </row>
    <row r="1560" spans="1:7" x14ac:dyDescent="0.45">
      <c r="A1560" t="s">
        <v>1655</v>
      </c>
      <c r="B1560" s="2" t="s">
        <v>136</v>
      </c>
      <c r="C1560" s="3">
        <f>3677/(60*60*24)</f>
        <v>4.2557870370370371E-2</v>
      </c>
      <c r="D1560" s="4">
        <f>1652/(60*60*24)</f>
        <v>1.9120370370370371E-2</v>
      </c>
      <c r="E1560" s="5">
        <f>3739/(60*60*24)</f>
        <v>4.327546296296296E-2</v>
      </c>
      <c r="F1560" s="6">
        <f>13192/(60*60*24)</f>
        <v>0.15268518518518517</v>
      </c>
      <c r="G1560" s="7" t="s">
        <v>9</v>
      </c>
    </row>
    <row r="1561" spans="1:7" x14ac:dyDescent="0.45">
      <c r="A1561" t="s">
        <v>1656</v>
      </c>
      <c r="B1561" s="2" t="s">
        <v>134</v>
      </c>
      <c r="C1561" s="5">
        <f>3883/(60*60*24)</f>
        <v>4.494212962962963E-2</v>
      </c>
      <c r="D1561" s="4">
        <f>1359/(60*60*24)</f>
        <v>1.5729166666666666E-2</v>
      </c>
      <c r="E1561" s="3">
        <f>3879/(60*60*24)</f>
        <v>4.4895833333333336E-2</v>
      </c>
      <c r="F1561" s="6">
        <f>14057/(60*60*24)</f>
        <v>0.16269675925925925</v>
      </c>
      <c r="G1561" s="7" t="s">
        <v>9</v>
      </c>
    </row>
    <row r="1562" spans="1:7" x14ac:dyDescent="0.45">
      <c r="A1562" t="s">
        <v>1657</v>
      </c>
      <c r="B1562" s="2" t="s">
        <v>138</v>
      </c>
      <c r="C1562" s="5">
        <f>4588/(60*60*24)</f>
        <v>5.3101851851851851E-2</v>
      </c>
      <c r="D1562" s="4">
        <f>1421/(60*60*24)</f>
        <v>1.6446759259259258E-2</v>
      </c>
      <c r="E1562" s="3">
        <f>3962/(60*60*24)</f>
        <v>4.5856481481481484E-2</v>
      </c>
      <c r="F1562" s="6">
        <f>14600/(60*60*24)</f>
        <v>0.16898148148148148</v>
      </c>
      <c r="G1562" s="7" t="s">
        <v>9</v>
      </c>
    </row>
    <row r="1563" spans="1:7" x14ac:dyDescent="0.45">
      <c r="A1563" t="s">
        <v>1658</v>
      </c>
      <c r="B1563" s="2" t="s">
        <v>140</v>
      </c>
      <c r="C1563" s="5">
        <f>4133/(60*60*24)</f>
        <v>4.7835648148148148E-2</v>
      </c>
      <c r="D1563" s="4">
        <f>1565/(60*60*24)</f>
        <v>1.8113425925925925E-2</v>
      </c>
      <c r="E1563" s="3">
        <f>4097/(60*60*24)</f>
        <v>4.7418981481481479E-2</v>
      </c>
      <c r="F1563" s="6">
        <f>14933/(60*60*24)</f>
        <v>0.17283564814814814</v>
      </c>
      <c r="G1563" s="7" t="s">
        <v>9</v>
      </c>
    </row>
    <row r="1564" spans="1:7" x14ac:dyDescent="0.45">
      <c r="A1564" t="s">
        <v>1659</v>
      </c>
      <c r="B1564" s="2" t="s">
        <v>142</v>
      </c>
      <c r="C1564" s="3">
        <f>4171/(60*60*24)</f>
        <v>4.8275462962962964E-2</v>
      </c>
      <c r="D1564" s="4">
        <f>1688/(60*60*24)</f>
        <v>1.9537037037037037E-2</v>
      </c>
      <c r="E1564" s="5">
        <f>4219/(60*60*24)</f>
        <v>4.8831018518518517E-2</v>
      </c>
      <c r="F1564" s="6">
        <f>15619/(60*60*24)</f>
        <v>0.18077546296296296</v>
      </c>
      <c r="G1564" s="7" t="s">
        <v>9</v>
      </c>
    </row>
    <row r="1565" spans="1:7" x14ac:dyDescent="0.45">
      <c r="A1565" t="s">
        <v>1660</v>
      </c>
      <c r="B1565" s="2" t="s">
        <v>144</v>
      </c>
      <c r="C1565" s="5">
        <f>5898/(60*60*24)</f>
        <v>6.8263888888888888E-2</v>
      </c>
      <c r="D1565" s="4">
        <f>1783/(60*60*24)</f>
        <v>2.0636574074074075E-2</v>
      </c>
      <c r="E1565" s="3">
        <f>4433/(60*60*24)</f>
        <v>5.1307870370370372E-2</v>
      </c>
      <c r="F1565" s="6">
        <f>16346/(60*60*24)</f>
        <v>0.18918981481481481</v>
      </c>
      <c r="G1565" s="7" t="s">
        <v>9</v>
      </c>
    </row>
    <row r="1566" spans="1:7" x14ac:dyDescent="0.45">
      <c r="A1566" t="s">
        <v>1661</v>
      </c>
      <c r="B1566" s="2" t="s">
        <v>146</v>
      </c>
      <c r="C1566" s="8" t="s">
        <v>12</v>
      </c>
      <c r="D1566" s="4">
        <f>1855/(60*60*24)</f>
        <v>2.1469907407407406E-2</v>
      </c>
      <c r="E1566" s="3">
        <f>4623/(60*60*24)</f>
        <v>5.3506944444444447E-2</v>
      </c>
      <c r="F1566" s="5">
        <f>16922/(60*60*24)</f>
        <v>0.19585648148148149</v>
      </c>
      <c r="G1566" s="7" t="s">
        <v>9</v>
      </c>
    </row>
    <row r="1567" spans="1:7" x14ac:dyDescent="0.45">
      <c r="A1567" t="s">
        <v>1662</v>
      </c>
      <c r="B1567" s="2" t="s">
        <v>148</v>
      </c>
      <c r="C1567" s="8" t="s">
        <v>12</v>
      </c>
      <c r="D1567" s="4">
        <f>1978/(60*60*24)</f>
        <v>2.2893518518518518E-2</v>
      </c>
      <c r="E1567" s="3">
        <f>4906/(60*60*24)</f>
        <v>5.6782407407407406E-2</v>
      </c>
      <c r="F1567" s="5">
        <f>17942/(60*60*24)</f>
        <v>0.20766203703703703</v>
      </c>
      <c r="G1567" s="7" t="s">
        <v>9</v>
      </c>
    </row>
    <row r="1568" spans="1:7" x14ac:dyDescent="0.45">
      <c r="A1568" t="s">
        <v>1663</v>
      </c>
      <c r="B1568" s="2" t="s">
        <v>150</v>
      </c>
      <c r="C1568" s="5">
        <f>10256/(60*60*24)</f>
        <v>0.1187037037037037</v>
      </c>
      <c r="D1568" s="4">
        <f>1937/(60*60*24)</f>
        <v>2.2418981481481481E-2</v>
      </c>
      <c r="E1568" s="3">
        <f>5141/(60*60*24)</f>
        <v>5.9502314814814813E-2</v>
      </c>
      <c r="F1568" s="6">
        <f>18692/(60*60*24)</f>
        <v>0.21634259259259259</v>
      </c>
      <c r="G1568" s="7" t="s">
        <v>9</v>
      </c>
    </row>
    <row r="1569" spans="1:7" x14ac:dyDescent="0.45">
      <c r="A1569" t="s">
        <v>1664</v>
      </c>
      <c r="B1569" s="2" t="s">
        <v>152</v>
      </c>
      <c r="C1569" s="5">
        <f>10183/(60*60*24)</f>
        <v>0.11785879629629629</v>
      </c>
      <c r="D1569" s="4">
        <f>2084/(60*60*24)</f>
        <v>2.4120370370370372E-2</v>
      </c>
      <c r="E1569" s="3">
        <f>5362/(60*60*24)</f>
        <v>6.2060185185185184E-2</v>
      </c>
      <c r="F1569" s="6">
        <f>19415/(60*60*24)</f>
        <v>0.22471064814814815</v>
      </c>
      <c r="G1569" s="7" t="s">
        <v>9</v>
      </c>
    </row>
    <row r="1570" spans="1:7" x14ac:dyDescent="0.45">
      <c r="A1570" t="s">
        <v>1665</v>
      </c>
      <c r="B1570" s="2" t="s">
        <v>156</v>
      </c>
      <c r="C1570" s="5">
        <f>6629/(60*60*24)</f>
        <v>7.6724537037037036E-2</v>
      </c>
      <c r="D1570" s="4">
        <f>2170/(60*60*24)</f>
        <v>2.5115740740740741E-2</v>
      </c>
      <c r="E1570" s="3">
        <f>5914/(60*60*24)</f>
        <v>6.8449074074074079E-2</v>
      </c>
      <c r="F1570" s="6">
        <f>20832/(60*60*24)</f>
        <v>0.24111111111111111</v>
      </c>
      <c r="G1570" s="7" t="s">
        <v>9</v>
      </c>
    </row>
    <row r="1571" spans="1:7" x14ac:dyDescent="0.45">
      <c r="A1571" t="s">
        <v>1666</v>
      </c>
      <c r="B1571" s="2" t="s">
        <v>154</v>
      </c>
      <c r="C1571" s="8" t="s">
        <v>12</v>
      </c>
      <c r="D1571" s="4">
        <f>2066/(60*60*24)</f>
        <v>2.3912037037037037E-2</v>
      </c>
      <c r="E1571" s="3">
        <f>5785/(60*60*24)</f>
        <v>6.6956018518518512E-2</v>
      </c>
      <c r="F1571" s="5">
        <f>20782/(60*60*24)</f>
        <v>0.24053240740740742</v>
      </c>
      <c r="G1571" s="7" t="s">
        <v>9</v>
      </c>
    </row>
    <row r="1572" spans="1:7" x14ac:dyDescent="0.45">
      <c r="A1572" t="s">
        <v>1667</v>
      </c>
      <c r="B1572" s="2" t="s">
        <v>160</v>
      </c>
      <c r="C1572" s="5">
        <f>6128/(60*60*24)</f>
        <v>7.092592592592592E-2</v>
      </c>
      <c r="D1572" s="4">
        <f>2082/(60*60*24)</f>
        <v>2.4097222222222221E-2</v>
      </c>
      <c r="E1572" s="3">
        <f>6086/(60*60*24)</f>
        <v>7.0439814814814816E-2</v>
      </c>
      <c r="F1572" s="6">
        <f>21709/(60*60*24)</f>
        <v>0.25126157407407407</v>
      </c>
      <c r="G1572" s="7" t="s">
        <v>9</v>
      </c>
    </row>
    <row r="1573" spans="1:7" x14ac:dyDescent="0.45">
      <c r="A1573" t="s">
        <v>1668</v>
      </c>
      <c r="B1573" s="2" t="s">
        <v>158</v>
      </c>
      <c r="C1573" s="5">
        <f>6676/(60*60*24)</f>
        <v>7.7268518518518514E-2</v>
      </c>
      <c r="D1573" s="4">
        <f>2127/(60*60*24)</f>
        <v>2.4618055555555556E-2</v>
      </c>
      <c r="E1573" s="3">
        <f>6253/(60*60*24)</f>
        <v>7.2372685185185179E-2</v>
      </c>
      <c r="F1573" s="6">
        <f>22372/(60*60*24)</f>
        <v>0.25893518518518521</v>
      </c>
      <c r="G1573" s="7" t="s">
        <v>9</v>
      </c>
    </row>
    <row r="1574" spans="1:7" x14ac:dyDescent="0.45">
      <c r="A1574" t="s">
        <v>1669</v>
      </c>
      <c r="B1574" s="2" t="s">
        <v>162</v>
      </c>
      <c r="C1574" s="5">
        <f>8794/(60*60*24)</f>
        <v>0.1017824074074074</v>
      </c>
      <c r="D1574" s="4">
        <f>2159/(60*60*24)</f>
        <v>2.4988425925925924E-2</v>
      </c>
      <c r="E1574" s="3">
        <f>6499/(60*60*24)</f>
        <v>7.5219907407407402E-2</v>
      </c>
      <c r="F1574" s="6">
        <f>23016/(60*60*24)</f>
        <v>0.2663888888888889</v>
      </c>
      <c r="G1574" s="7" t="s">
        <v>9</v>
      </c>
    </row>
    <row r="1575" spans="1:7" x14ac:dyDescent="0.45">
      <c r="A1575" t="s">
        <v>1670</v>
      </c>
      <c r="B1575" s="2" t="s">
        <v>164</v>
      </c>
      <c r="C1575" s="8" t="s">
        <v>12</v>
      </c>
      <c r="D1575" s="4">
        <f>2311/(60*60*24)</f>
        <v>2.6747685185185187E-2</v>
      </c>
      <c r="E1575" s="3">
        <f>6666/(60*60*24)</f>
        <v>7.7152777777777778E-2</v>
      </c>
      <c r="F1575" s="5">
        <f>23714/(60*60*24)</f>
        <v>0.27446759259259257</v>
      </c>
      <c r="G1575" s="7" t="s">
        <v>9</v>
      </c>
    </row>
    <row r="1576" spans="1:7" x14ac:dyDescent="0.45">
      <c r="A1576" t="s">
        <v>1671</v>
      </c>
      <c r="B1576" s="2" t="s">
        <v>168</v>
      </c>
      <c r="C1576" s="8" t="s">
        <v>12</v>
      </c>
      <c r="D1576" s="4">
        <f>2298/(60*60*24)</f>
        <v>2.6597222222222223E-2</v>
      </c>
      <c r="E1576" s="3">
        <f>7005/(60*60*24)</f>
        <v>8.1076388888888892E-2</v>
      </c>
      <c r="F1576" s="5">
        <f>24727/(60*60*24)</f>
        <v>0.28619212962962964</v>
      </c>
      <c r="G1576" s="7" t="s">
        <v>9</v>
      </c>
    </row>
    <row r="1577" spans="1:7" x14ac:dyDescent="0.45">
      <c r="A1577" t="s">
        <v>1672</v>
      </c>
      <c r="B1577" s="2" t="s">
        <v>166</v>
      </c>
      <c r="C1577" s="8" t="s">
        <v>12</v>
      </c>
      <c r="D1577" s="4">
        <f>2301/(60*60*24)</f>
        <v>2.6631944444444444E-2</v>
      </c>
      <c r="E1577" s="3">
        <f>7063/(60*60*24)</f>
        <v>8.1747685185185187E-2</v>
      </c>
      <c r="F1577" s="5">
        <f>25298/(60*60*24)</f>
        <v>0.29280092592592594</v>
      </c>
      <c r="G1577" s="7" t="s">
        <v>9</v>
      </c>
    </row>
    <row r="1578" spans="1:7" x14ac:dyDescent="0.45">
      <c r="A1578" t="s">
        <v>1673</v>
      </c>
      <c r="B1578" s="2" t="s">
        <v>172</v>
      </c>
      <c r="C1578" s="5">
        <f>9095/(60*60*24)</f>
        <v>0.10526620370370371</v>
      </c>
      <c r="D1578" s="4">
        <f>2475/(60*60*24)</f>
        <v>2.8645833333333332E-2</v>
      </c>
      <c r="E1578" s="3">
        <f>7699/(60*60*24)</f>
        <v>8.9108796296296297E-2</v>
      </c>
      <c r="F1578" s="6">
        <f>26907/(60*60*24)</f>
        <v>0.31142361111111111</v>
      </c>
      <c r="G1578" s="7" t="s">
        <v>9</v>
      </c>
    </row>
    <row r="1579" spans="1:7" x14ac:dyDescent="0.45">
      <c r="A1579" t="s">
        <v>1674</v>
      </c>
      <c r="B1579" s="2" t="s">
        <v>170</v>
      </c>
      <c r="C1579" s="8" t="s">
        <v>12</v>
      </c>
      <c r="D1579" s="4">
        <f>2431/(60*60*24)</f>
        <v>2.8136574074074074E-2</v>
      </c>
      <c r="E1579" s="3">
        <f>7327/(60*60*24)</f>
        <v>8.4803240740740735E-2</v>
      </c>
      <c r="F1579" s="5">
        <f>26148/(60*60*24)</f>
        <v>0.3026388888888889</v>
      </c>
      <c r="G1579" s="7" t="s">
        <v>9</v>
      </c>
    </row>
    <row r="1580" spans="1:7" x14ac:dyDescent="0.45">
      <c r="A1580" t="s">
        <v>1675</v>
      </c>
      <c r="B1580" s="2" t="s">
        <v>176</v>
      </c>
      <c r="C1580" s="5">
        <f>8208/(60*60*24)</f>
        <v>9.5000000000000001E-2</v>
      </c>
      <c r="D1580" s="4">
        <f>2513/(60*60*24)</f>
        <v>2.9085648148148149E-2</v>
      </c>
      <c r="E1580" s="3">
        <f>7850/(60*60*24)</f>
        <v>9.0856481481481483E-2</v>
      </c>
      <c r="F1580" s="6">
        <f>27833/(60*60*24)</f>
        <v>0.32214120370370369</v>
      </c>
      <c r="G1580" s="7" t="s">
        <v>9</v>
      </c>
    </row>
    <row r="1581" spans="1:7" x14ac:dyDescent="0.45">
      <c r="A1581" t="s">
        <v>1676</v>
      </c>
      <c r="B1581" s="2" t="s">
        <v>174</v>
      </c>
      <c r="C1581" s="5">
        <f>8322/(60*60*24)</f>
        <v>9.6319444444444444E-2</v>
      </c>
      <c r="D1581" s="4">
        <f>2552/(60*60*24)</f>
        <v>2.9537037037037039E-2</v>
      </c>
      <c r="E1581" s="3">
        <f>8041/(60*60*24)</f>
        <v>9.3067129629629625E-2</v>
      </c>
      <c r="F1581" s="6">
        <f>28413/(60*60*24)</f>
        <v>0.32885416666666667</v>
      </c>
      <c r="G1581" s="7" t="s">
        <v>9</v>
      </c>
    </row>
    <row r="1582" spans="1:7" x14ac:dyDescent="0.45">
      <c r="A1582" t="s">
        <v>1677</v>
      </c>
      <c r="B1582" s="2" t="s">
        <v>180</v>
      </c>
      <c r="C1582" s="5">
        <f>8518/(60*60*24)</f>
        <v>9.8587962962962961E-2</v>
      </c>
      <c r="D1582" s="4">
        <f>2536/(60*60*24)</f>
        <v>2.9351851851851851E-2</v>
      </c>
      <c r="E1582" s="3">
        <f>8258/(60*60*24)</f>
        <v>9.5578703703703707E-2</v>
      </c>
      <c r="F1582" s="6">
        <f>28881/(60*60*24)</f>
        <v>0.33427083333333335</v>
      </c>
      <c r="G1582" s="7" t="s">
        <v>9</v>
      </c>
    </row>
    <row r="1583" spans="1:7" x14ac:dyDescent="0.45">
      <c r="A1583" t="s">
        <v>1678</v>
      </c>
      <c r="B1583" s="2" t="s">
        <v>178</v>
      </c>
      <c r="C1583" s="3">
        <f>8007/(60*60*24)</f>
        <v>9.2673611111111109E-2</v>
      </c>
      <c r="D1583" s="4">
        <f>2556/(60*60*24)</f>
        <v>2.9583333333333333E-2</v>
      </c>
      <c r="E1583" s="5">
        <f>8350/(60*60*24)</f>
        <v>9.6643518518518517E-2</v>
      </c>
      <c r="F1583" s="6">
        <f>29758/(60*60*24)</f>
        <v>0.34442129629629631</v>
      </c>
      <c r="G1583" s="7" t="s">
        <v>9</v>
      </c>
    </row>
    <row r="1584" spans="1:7" x14ac:dyDescent="0.45">
      <c r="A1584" t="s">
        <v>1679</v>
      </c>
      <c r="B1584" s="2" t="s">
        <v>182</v>
      </c>
      <c r="C1584" s="3">
        <f>6830/(60*60*24)</f>
        <v>7.9050925925925927E-2</v>
      </c>
      <c r="D1584" s="4">
        <f>2663/(60*60*24)</f>
        <v>3.0821759259259261E-2</v>
      </c>
      <c r="E1584" s="5">
        <f>8575/(60*60*24)</f>
        <v>9.9247685185185189E-2</v>
      </c>
      <c r="F1584" s="6">
        <f>30289/(60*60*24)</f>
        <v>0.3505671296296296</v>
      </c>
      <c r="G1584" s="7" t="s">
        <v>9</v>
      </c>
    </row>
    <row r="1585" spans="1:7" x14ac:dyDescent="0.45">
      <c r="A1585" t="s">
        <v>1680</v>
      </c>
      <c r="B1585" s="2" t="s">
        <v>184</v>
      </c>
      <c r="C1585" s="3">
        <f>6959/(60*60*24)</f>
        <v>8.054398148148148E-2</v>
      </c>
      <c r="D1585" s="4">
        <f>2599/(60*60*24)</f>
        <v>3.0081018518518517E-2</v>
      </c>
      <c r="E1585" s="5">
        <f>8741/(60*60*24)</f>
        <v>0.10116898148148148</v>
      </c>
      <c r="F1585" s="6">
        <f>31286/(60*60*24)</f>
        <v>0.3621064814814815</v>
      </c>
      <c r="G1585" s="7" t="s">
        <v>9</v>
      </c>
    </row>
    <row r="1586" spans="1:7" x14ac:dyDescent="0.45">
      <c r="A1586" t="s">
        <v>1681</v>
      </c>
      <c r="B1586" s="2" t="s">
        <v>11</v>
      </c>
      <c r="C1586" s="3">
        <f>7795/(60*60*24)</f>
        <v>9.0219907407407401E-2</v>
      </c>
      <c r="D1586" s="4">
        <f>2448/(60*60*24)</f>
        <v>2.8333333333333332E-2</v>
      </c>
      <c r="E1586" s="5">
        <f>8745/(60*60*24)</f>
        <v>0.10121527777777778</v>
      </c>
      <c r="F1586" s="6">
        <f>30561/(60*60*24)</f>
        <v>0.35371527777777778</v>
      </c>
      <c r="G1586" s="7" t="s">
        <v>9</v>
      </c>
    </row>
    <row r="1587" spans="1:7" x14ac:dyDescent="0.45">
      <c r="A1587" t="s">
        <v>1682</v>
      </c>
      <c r="B1587" s="2" t="s">
        <v>8</v>
      </c>
      <c r="C1587" s="8" t="s">
        <v>12</v>
      </c>
      <c r="D1587" s="4">
        <f>2511/(60*60*24)</f>
        <v>2.9062500000000002E-2</v>
      </c>
      <c r="E1587" s="3">
        <f>9313/(60*60*24)</f>
        <v>0.10778935185185186</v>
      </c>
      <c r="F1587" s="5">
        <f>31729/(60*60*24)</f>
        <v>0.36723379629629632</v>
      </c>
      <c r="G1587" s="7" t="s">
        <v>9</v>
      </c>
    </row>
    <row r="1588" spans="1:7" x14ac:dyDescent="0.45">
      <c r="A1588" t="s">
        <v>1683</v>
      </c>
      <c r="B1588" s="2" t="s">
        <v>14</v>
      </c>
      <c r="C1588" s="3">
        <f>7428/(60*60*24)</f>
        <v>8.5972222222222228E-2</v>
      </c>
      <c r="D1588" s="4">
        <f>2319/(60*60*24)</f>
        <v>2.6840277777777779E-2</v>
      </c>
      <c r="E1588" s="5">
        <f>9085/(60*60*24)</f>
        <v>0.10515046296296296</v>
      </c>
      <c r="F1588" s="6">
        <f>29721/(60*60*24)</f>
        <v>0.34399305555555554</v>
      </c>
      <c r="G1588" s="7" t="s">
        <v>9</v>
      </c>
    </row>
    <row r="1589" spans="1:7" x14ac:dyDescent="0.45">
      <c r="A1589" t="s">
        <v>1684</v>
      </c>
      <c r="B1589" s="2" t="s">
        <v>16</v>
      </c>
      <c r="C1589" s="5">
        <f>20681/(60*60*24)</f>
        <v>0.23936342592592594</v>
      </c>
      <c r="D1589" s="4">
        <f>2431/(60*60*24)</f>
        <v>2.8136574074074074E-2</v>
      </c>
      <c r="E1589" s="3">
        <f>8599/(60*60*24)</f>
        <v>9.9525462962962968E-2</v>
      </c>
      <c r="F1589" s="6">
        <f>29208/(60*60*24)</f>
        <v>0.33805555555555555</v>
      </c>
      <c r="G1589" s="7" t="s">
        <v>9</v>
      </c>
    </row>
    <row r="1590" spans="1:7" x14ac:dyDescent="0.45">
      <c r="A1590" t="s">
        <v>1685</v>
      </c>
      <c r="B1590" s="2" t="s">
        <v>18</v>
      </c>
      <c r="C1590" s="5">
        <f>21143/(60*60*24)</f>
        <v>0.24471064814814814</v>
      </c>
      <c r="D1590" s="4">
        <f>2401/(60*60*24)</f>
        <v>2.7789351851851853E-2</v>
      </c>
      <c r="E1590" s="3">
        <f>8392/(60*60*24)</f>
        <v>9.7129629629629635E-2</v>
      </c>
      <c r="F1590" s="6">
        <f>28354/(60*60*24)</f>
        <v>0.32817129629629632</v>
      </c>
      <c r="G1590" s="7" t="s">
        <v>9</v>
      </c>
    </row>
    <row r="1591" spans="1:7" x14ac:dyDescent="0.45">
      <c r="A1591" t="s">
        <v>1686</v>
      </c>
      <c r="B1591" s="2" t="s">
        <v>20</v>
      </c>
      <c r="C1591" s="3">
        <f>6463/(60*60*24)</f>
        <v>7.480324074074074E-2</v>
      </c>
      <c r="D1591" s="4">
        <f>2074/(60*60*24)</f>
        <v>2.4004629629629629E-2</v>
      </c>
      <c r="E1591" s="5">
        <f>8037/(60*60*24)</f>
        <v>9.302083333333333E-2</v>
      </c>
      <c r="F1591" s="6">
        <f>27918/(60*60*24)</f>
        <v>0.323125</v>
      </c>
      <c r="G1591" s="7" t="s">
        <v>9</v>
      </c>
    </row>
    <row r="1592" spans="1:7" x14ac:dyDescent="0.45">
      <c r="A1592" t="s">
        <v>1687</v>
      </c>
      <c r="B1592" s="2" t="s">
        <v>22</v>
      </c>
      <c r="C1592" s="3">
        <f>6167/(60*60*24)</f>
        <v>7.137731481481481E-2</v>
      </c>
      <c r="D1592" s="4">
        <f>1980/(60*60*24)</f>
        <v>2.2916666666666665E-2</v>
      </c>
      <c r="E1592" s="5">
        <f>7842/(60*60*24)</f>
        <v>9.0763888888888894E-2</v>
      </c>
      <c r="F1592" s="6">
        <f>27003/(60*60*24)</f>
        <v>0.31253472222222223</v>
      </c>
      <c r="G1592" s="7" t="s">
        <v>9</v>
      </c>
    </row>
    <row r="1593" spans="1:7" x14ac:dyDescent="0.45">
      <c r="A1593" t="s">
        <v>1688</v>
      </c>
      <c r="B1593" s="2" t="s">
        <v>24</v>
      </c>
      <c r="C1593" s="8" t="s">
        <v>12</v>
      </c>
      <c r="D1593" s="4">
        <f>1831/(60*60*24)</f>
        <v>2.119212962962963E-2</v>
      </c>
      <c r="E1593" s="3">
        <f>7719/(60*60*24)</f>
        <v>8.9340277777777782E-2</v>
      </c>
      <c r="F1593" s="5">
        <f>26475/(60*60*24)</f>
        <v>0.3064236111111111</v>
      </c>
      <c r="G1593" s="7" t="s">
        <v>9</v>
      </c>
    </row>
    <row r="1594" spans="1:7" x14ac:dyDescent="0.45">
      <c r="A1594" t="s">
        <v>1689</v>
      </c>
      <c r="B1594" s="2" t="s">
        <v>28</v>
      </c>
      <c r="C1594" s="3">
        <f>5569/(60*60*24)</f>
        <v>6.4456018518518524E-2</v>
      </c>
      <c r="D1594" s="4">
        <f>1724/(60*60*24)</f>
        <v>1.9953703703703703E-2</v>
      </c>
      <c r="E1594" s="5">
        <f>7234/(60*60*24)</f>
        <v>8.3726851851851858E-2</v>
      </c>
      <c r="F1594" s="6">
        <f>24775/(60*60*24)</f>
        <v>0.28674768518518517</v>
      </c>
      <c r="G1594" s="7" t="s">
        <v>9</v>
      </c>
    </row>
    <row r="1595" spans="1:7" x14ac:dyDescent="0.45">
      <c r="A1595" t="s">
        <v>1690</v>
      </c>
      <c r="B1595" s="2" t="s">
        <v>26</v>
      </c>
      <c r="C1595" s="8" t="s">
        <v>12</v>
      </c>
      <c r="D1595" s="4">
        <f>1797/(60*60*24)</f>
        <v>2.0798611111111111E-2</v>
      </c>
      <c r="E1595" s="3">
        <f>7551/(60*60*24)</f>
        <v>8.7395833333333339E-2</v>
      </c>
      <c r="F1595" s="5">
        <f>25691/(60*60*24)</f>
        <v>0.29734953703703704</v>
      </c>
      <c r="G1595" s="7" t="s">
        <v>9</v>
      </c>
    </row>
    <row r="1596" spans="1:7" x14ac:dyDescent="0.45">
      <c r="A1596" t="s">
        <v>1691</v>
      </c>
      <c r="B1596" s="2" t="s">
        <v>30</v>
      </c>
      <c r="C1596" s="3">
        <f>5720/(60*60*24)</f>
        <v>6.6203703703703709E-2</v>
      </c>
      <c r="D1596" s="4">
        <f>1746/(60*60*24)</f>
        <v>2.0208333333333332E-2</v>
      </c>
      <c r="E1596" s="5">
        <f>7089/(60*60*24)</f>
        <v>8.2048611111111114E-2</v>
      </c>
      <c r="F1596" s="6">
        <f>24197/(60*60*24)</f>
        <v>0.28005787037037039</v>
      </c>
      <c r="G1596" s="7" t="s">
        <v>9</v>
      </c>
    </row>
    <row r="1597" spans="1:7" x14ac:dyDescent="0.45">
      <c r="A1597" t="s">
        <v>1692</v>
      </c>
      <c r="B1597" s="2" t="s">
        <v>32</v>
      </c>
      <c r="C1597" s="8" t="s">
        <v>12</v>
      </c>
      <c r="D1597" s="4">
        <f>1549/(60*60*24)</f>
        <v>1.7928240740740741E-2</v>
      </c>
      <c r="E1597" s="3">
        <f>7038/(60*60*24)</f>
        <v>8.1458333333333327E-2</v>
      </c>
      <c r="F1597" s="5">
        <f>23861/(60*60*24)</f>
        <v>0.2761689814814815</v>
      </c>
      <c r="G1597" s="7" t="s">
        <v>9</v>
      </c>
    </row>
    <row r="1598" spans="1:7" x14ac:dyDescent="0.45">
      <c r="A1598" t="s">
        <v>1693</v>
      </c>
      <c r="B1598" s="2" t="s">
        <v>36</v>
      </c>
      <c r="C1598" s="8" t="s">
        <v>12</v>
      </c>
      <c r="D1598" s="4">
        <f>1468/(60*60*24)</f>
        <v>1.699074074074074E-2</v>
      </c>
      <c r="E1598" s="3">
        <f>7058/(60*60*24)</f>
        <v>8.1689814814814812E-2</v>
      </c>
      <c r="F1598" s="5">
        <f>22996/(60*60*24)</f>
        <v>0.2661574074074074</v>
      </c>
      <c r="G1598" s="7" t="s">
        <v>9</v>
      </c>
    </row>
    <row r="1599" spans="1:7" x14ac:dyDescent="0.45">
      <c r="A1599" t="s">
        <v>1694</v>
      </c>
      <c r="B1599" s="2" t="s">
        <v>34</v>
      </c>
      <c r="C1599" s="8" t="s">
        <v>12</v>
      </c>
      <c r="D1599" s="4">
        <f>1421/(60*60*24)</f>
        <v>1.6446759259259258E-2</v>
      </c>
      <c r="E1599" s="3">
        <f>6631/(60*60*24)</f>
        <v>7.6747685185185183E-2</v>
      </c>
      <c r="F1599" s="5">
        <f>22192/(60*60*24)</f>
        <v>0.25685185185185183</v>
      </c>
      <c r="G1599" s="7" t="s">
        <v>9</v>
      </c>
    </row>
    <row r="1600" spans="1:7" x14ac:dyDescent="0.45">
      <c r="A1600" t="s">
        <v>1695</v>
      </c>
      <c r="B1600" s="2" t="s">
        <v>38</v>
      </c>
      <c r="C1600" s="3">
        <f>5289/(60*60*24)</f>
        <v>6.1215277777777778E-2</v>
      </c>
      <c r="D1600" s="4">
        <f>1427/(60*60*24)</f>
        <v>1.6516203703703703E-2</v>
      </c>
      <c r="E1600" s="5">
        <f>6406/(60*60*24)</f>
        <v>7.4143518518518525E-2</v>
      </c>
      <c r="F1600" s="6">
        <f>21331/(60*60*24)</f>
        <v>0.24688657407407408</v>
      </c>
      <c r="G1600" s="7" t="s">
        <v>9</v>
      </c>
    </row>
    <row r="1601" spans="1:7" x14ac:dyDescent="0.45">
      <c r="A1601" t="s">
        <v>1696</v>
      </c>
      <c r="B1601" s="2" t="s">
        <v>40</v>
      </c>
      <c r="C1601" s="3">
        <f>4616/(60*60*24)</f>
        <v>5.3425925925925925E-2</v>
      </c>
      <c r="D1601" s="4">
        <f>1791/(60*60*24)</f>
        <v>2.0729166666666667E-2</v>
      </c>
      <c r="E1601" s="5">
        <f>6132/(60*60*24)</f>
        <v>7.0972222222222228E-2</v>
      </c>
      <c r="F1601" s="6">
        <f>20525/(60*60*24)</f>
        <v>0.23755787037037038</v>
      </c>
      <c r="G1601" s="7" t="s">
        <v>9</v>
      </c>
    </row>
    <row r="1602" spans="1:7" x14ac:dyDescent="0.45">
      <c r="A1602" t="s">
        <v>1697</v>
      </c>
      <c r="B1602" s="2" t="s">
        <v>44</v>
      </c>
      <c r="C1602" s="3">
        <f>4156/(60*60*24)</f>
        <v>4.8101851851851854E-2</v>
      </c>
      <c r="D1602" s="4">
        <f>1817/(60*60*24)</f>
        <v>2.1030092592592593E-2</v>
      </c>
      <c r="E1602" s="5">
        <f>5933/(60*60*24)</f>
        <v>6.8668981481481484E-2</v>
      </c>
      <c r="F1602" s="6">
        <f>19893/(60*60*24)</f>
        <v>0.23024305555555555</v>
      </c>
      <c r="G1602" s="7" t="s">
        <v>9</v>
      </c>
    </row>
    <row r="1603" spans="1:7" x14ac:dyDescent="0.45">
      <c r="A1603" t="s">
        <v>1698</v>
      </c>
      <c r="B1603" s="2" t="s">
        <v>42</v>
      </c>
      <c r="C1603" s="3">
        <f>3890/(60*60*24)</f>
        <v>4.5023148148148145E-2</v>
      </c>
      <c r="D1603" s="4">
        <f>1898/(60*60*24)</f>
        <v>2.1967592592592594E-2</v>
      </c>
      <c r="E1603" s="5">
        <f>5721/(60*60*24)</f>
        <v>6.6215277777777776E-2</v>
      </c>
      <c r="F1603" s="6">
        <f>19222/(60*60*24)</f>
        <v>0.22247685185185184</v>
      </c>
      <c r="G1603" s="7" t="s">
        <v>9</v>
      </c>
    </row>
    <row r="1604" spans="1:7" x14ac:dyDescent="0.45">
      <c r="A1604" t="s">
        <v>1699</v>
      </c>
      <c r="B1604" s="2" t="s">
        <v>46</v>
      </c>
      <c r="C1604" s="3">
        <f>3607/(60*60*24)</f>
        <v>4.1747685185185186E-2</v>
      </c>
      <c r="D1604" s="4">
        <f>1782/(60*60*24)</f>
        <v>2.0625000000000001E-2</v>
      </c>
      <c r="E1604" s="5">
        <f>5607/(60*60*24)</f>
        <v>6.4895833333333333E-2</v>
      </c>
      <c r="F1604" s="6">
        <f>18572/(60*60*24)</f>
        <v>0.2149537037037037</v>
      </c>
      <c r="G1604" s="7" t="s">
        <v>9</v>
      </c>
    </row>
    <row r="1605" spans="1:7" x14ac:dyDescent="0.45">
      <c r="A1605" t="s">
        <v>1700</v>
      </c>
      <c r="B1605" s="2" t="s">
        <v>48</v>
      </c>
      <c r="C1605" s="3">
        <f>3499/(60*60*24)</f>
        <v>4.0497685185185185E-2</v>
      </c>
      <c r="D1605" s="4">
        <f>1735/(60*60*24)</f>
        <v>2.0081018518518519E-2</v>
      </c>
      <c r="E1605" s="5">
        <f>5334/(60*60*24)</f>
        <v>6.173611111111111E-2</v>
      </c>
      <c r="F1605" s="6">
        <f>17913/(60*60*24)</f>
        <v>0.20732638888888888</v>
      </c>
      <c r="G1605" s="7" t="s">
        <v>9</v>
      </c>
    </row>
    <row r="1606" spans="1:7" x14ac:dyDescent="0.45">
      <c r="A1606" t="s">
        <v>1701</v>
      </c>
      <c r="B1606" s="2" t="s">
        <v>50</v>
      </c>
      <c r="C1606" s="3">
        <f>3434/(60*60*24)</f>
        <v>3.9745370370370368E-2</v>
      </c>
      <c r="D1606" s="4">
        <f>1773/(60*60*24)</f>
        <v>2.0520833333333332E-2</v>
      </c>
      <c r="E1606" s="5">
        <f>5120/(60*60*24)</f>
        <v>5.9259259259259262E-2</v>
      </c>
      <c r="F1606" s="6">
        <f>17321/(60*60*24)</f>
        <v>0.20047453703703705</v>
      </c>
      <c r="G1606" s="7" t="s">
        <v>9</v>
      </c>
    </row>
    <row r="1607" spans="1:7" x14ac:dyDescent="0.45">
      <c r="A1607" t="s">
        <v>1702</v>
      </c>
      <c r="B1607" s="2" t="s">
        <v>52</v>
      </c>
      <c r="C1607" s="3">
        <f>3965/(60*60*24)</f>
        <v>4.5891203703703705E-2</v>
      </c>
      <c r="D1607" s="4">
        <f>1967/(60*60*24)</f>
        <v>2.2766203703703705E-2</v>
      </c>
      <c r="E1607" s="5">
        <f>5375/(60*60*24)</f>
        <v>6.2210648148148147E-2</v>
      </c>
      <c r="F1607" s="6">
        <f>17710/(60*60*24)</f>
        <v>0.20497685185185185</v>
      </c>
      <c r="G1607" s="7" t="s">
        <v>9</v>
      </c>
    </row>
    <row r="1608" spans="1:7" x14ac:dyDescent="0.45">
      <c r="A1608" t="s">
        <v>1703</v>
      </c>
      <c r="B1608" s="2" t="s">
        <v>54</v>
      </c>
      <c r="C1608" s="3">
        <f>3900/(60*60*24)</f>
        <v>4.5138888888888888E-2</v>
      </c>
      <c r="D1608" s="4">
        <f>2306/(60*60*24)</f>
        <v>2.6689814814814816E-2</v>
      </c>
      <c r="E1608" s="5">
        <f>4823/(60*60*24)</f>
        <v>5.5821759259259258E-2</v>
      </c>
      <c r="F1608" s="6">
        <f>16140/(60*60*24)</f>
        <v>0.18680555555555556</v>
      </c>
      <c r="G1608" s="7" t="s">
        <v>9</v>
      </c>
    </row>
    <row r="1609" spans="1:7" x14ac:dyDescent="0.45">
      <c r="A1609" t="s">
        <v>1704</v>
      </c>
      <c r="B1609" s="2" t="s">
        <v>56</v>
      </c>
      <c r="C1609" s="3">
        <f>3276/(60*60*24)</f>
        <v>3.7916666666666668E-2</v>
      </c>
      <c r="D1609" s="4">
        <f>1900/(60*60*24)</f>
        <v>2.1990740740740741E-2</v>
      </c>
      <c r="E1609" s="5">
        <f>4652/(60*60*24)</f>
        <v>5.3842592592592595E-2</v>
      </c>
      <c r="F1609" s="6">
        <f>15537/(60*60*24)</f>
        <v>0.17982638888888888</v>
      </c>
      <c r="G1609" s="7" t="s">
        <v>9</v>
      </c>
    </row>
    <row r="1610" spans="1:7" x14ac:dyDescent="0.45">
      <c r="A1610" t="s">
        <v>1705</v>
      </c>
      <c r="B1610" s="2" t="s">
        <v>58</v>
      </c>
      <c r="C1610" s="3">
        <f>3457/(60*60*24)</f>
        <v>4.0011574074074074E-2</v>
      </c>
      <c r="D1610" s="4">
        <f>2037/(60*60*24)</f>
        <v>2.357638888888889E-2</v>
      </c>
      <c r="E1610" s="5">
        <f>4450/(60*60*24)</f>
        <v>5.1504629629629629E-2</v>
      </c>
      <c r="F1610" s="6">
        <f>14834/(60*60*24)</f>
        <v>0.17168981481481482</v>
      </c>
      <c r="G1610" s="7" t="s">
        <v>9</v>
      </c>
    </row>
    <row r="1611" spans="1:7" x14ac:dyDescent="0.45">
      <c r="A1611" t="s">
        <v>1706</v>
      </c>
      <c r="B1611" s="2" t="s">
        <v>60</v>
      </c>
      <c r="C1611" s="3">
        <f>3032/(60*60*24)</f>
        <v>3.5092592592592592E-2</v>
      </c>
      <c r="D1611" s="4">
        <f>1833/(60*60*24)</f>
        <v>2.1215277777777777E-2</v>
      </c>
      <c r="E1611" s="5">
        <f>4329/(60*60*24)</f>
        <v>5.0104166666666665E-2</v>
      </c>
      <c r="F1611" s="6">
        <f>14131/(60*60*24)</f>
        <v>0.16355324074074074</v>
      </c>
      <c r="G1611" s="7" t="s">
        <v>9</v>
      </c>
    </row>
    <row r="1612" spans="1:7" x14ac:dyDescent="0.45">
      <c r="A1612" t="s">
        <v>1707</v>
      </c>
      <c r="B1612" s="2" t="s">
        <v>62</v>
      </c>
      <c r="C1612" s="3">
        <f>2951/(60*60*24)</f>
        <v>3.4155092592592591E-2</v>
      </c>
      <c r="D1612" s="4">
        <f>1691/(60*60*24)</f>
        <v>1.9571759259259261E-2</v>
      </c>
      <c r="E1612" s="5">
        <f>4136/(60*60*24)</f>
        <v>4.7870370370370369E-2</v>
      </c>
      <c r="F1612" s="6">
        <f>13553/(60*60*24)</f>
        <v>0.15686342592592592</v>
      </c>
      <c r="G1612" s="7" t="s">
        <v>9</v>
      </c>
    </row>
    <row r="1613" spans="1:7" x14ac:dyDescent="0.45">
      <c r="A1613" t="s">
        <v>1708</v>
      </c>
      <c r="B1613" s="2" t="s">
        <v>64</v>
      </c>
      <c r="C1613" s="3">
        <f>2977/(60*60*24)</f>
        <v>3.4456018518518518E-2</v>
      </c>
      <c r="D1613" s="4">
        <f>1775/(60*60*24)</f>
        <v>2.0543981481481483E-2</v>
      </c>
      <c r="E1613" s="5">
        <f>3944/(60*60*24)</f>
        <v>4.5648148148148146E-2</v>
      </c>
      <c r="F1613" s="6">
        <f>12935/(60*60*24)</f>
        <v>0.14971064814814813</v>
      </c>
      <c r="G1613" s="7" t="s">
        <v>9</v>
      </c>
    </row>
    <row r="1614" spans="1:7" x14ac:dyDescent="0.45">
      <c r="A1614" t="s">
        <v>1709</v>
      </c>
      <c r="B1614" s="2" t="s">
        <v>66</v>
      </c>
      <c r="C1614" s="3">
        <f>3098/(60*60*24)</f>
        <v>3.5856481481481482E-2</v>
      </c>
      <c r="D1614" s="4">
        <f>1629/(60*60*24)</f>
        <v>1.8854166666666668E-2</v>
      </c>
      <c r="E1614" s="5">
        <f>3849/(60*60*24)</f>
        <v>4.4548611111111108E-2</v>
      </c>
      <c r="F1614" s="6">
        <f>12212/(60*60*24)</f>
        <v>0.1413425925925926</v>
      </c>
      <c r="G1614" s="7" t="s">
        <v>9</v>
      </c>
    </row>
    <row r="1615" spans="1:7" x14ac:dyDescent="0.45">
      <c r="A1615" t="s">
        <v>1710</v>
      </c>
      <c r="B1615" s="2" t="s">
        <v>68</v>
      </c>
      <c r="C1615" s="3">
        <f>3074/(60*60*24)</f>
        <v>3.5578703703703703E-2</v>
      </c>
      <c r="D1615" s="4">
        <f>1480/(60*60*24)</f>
        <v>1.712962962962963E-2</v>
      </c>
      <c r="E1615" s="5">
        <f>3576/(60*60*24)</f>
        <v>4.1388888888888892E-2</v>
      </c>
      <c r="F1615" s="6">
        <f>11567/(60*60*24)</f>
        <v>0.13387731481481482</v>
      </c>
      <c r="G1615" s="7" t="s">
        <v>9</v>
      </c>
    </row>
    <row r="1616" spans="1:7" x14ac:dyDescent="0.45">
      <c r="A1616" t="s">
        <v>1711</v>
      </c>
      <c r="B1616" s="2" t="s">
        <v>70</v>
      </c>
      <c r="C1616" s="3">
        <f>2915/(60*60*24)</f>
        <v>3.3738425925925929E-2</v>
      </c>
      <c r="D1616" s="4">
        <f>1464/(60*60*24)</f>
        <v>1.6944444444444446E-2</v>
      </c>
      <c r="E1616" s="5">
        <f>3391/(60*60*24)</f>
        <v>3.9247685185185184E-2</v>
      </c>
      <c r="F1616" s="6">
        <f>11075/(60*60*24)</f>
        <v>0.12818287037037038</v>
      </c>
      <c r="G1616" s="7" t="s">
        <v>9</v>
      </c>
    </row>
    <row r="1617" spans="1:7" x14ac:dyDescent="0.45">
      <c r="A1617" t="s">
        <v>1712</v>
      </c>
      <c r="B1617" s="2" t="s">
        <v>72</v>
      </c>
      <c r="C1617" s="3">
        <f>2998/(60*60*24)</f>
        <v>3.4699074074074077E-2</v>
      </c>
      <c r="D1617" s="4">
        <f>1345/(60*60*24)</f>
        <v>1.556712962962963E-2</v>
      </c>
      <c r="E1617" s="5">
        <f>3256/(60*60*24)</f>
        <v>3.7685185185185183E-2</v>
      </c>
      <c r="F1617" s="6">
        <f>10449/(60*60*24)</f>
        <v>0.1209375</v>
      </c>
      <c r="G1617" s="7" t="s">
        <v>9</v>
      </c>
    </row>
    <row r="1618" spans="1:7" x14ac:dyDescent="0.45">
      <c r="A1618" t="s">
        <v>1713</v>
      </c>
      <c r="B1618" s="2" t="s">
        <v>74</v>
      </c>
      <c r="C1618" s="3">
        <f>2786/(60*60*24)</f>
        <v>3.2245370370370369E-2</v>
      </c>
      <c r="D1618" s="4">
        <f>1133/(60*60*24)</f>
        <v>1.3113425925925926E-2</v>
      </c>
      <c r="E1618" s="5">
        <f>2935/(60*60*24)</f>
        <v>3.3969907407407407E-2</v>
      </c>
      <c r="F1618" s="6">
        <f>9661/(60*60*24)</f>
        <v>0.11181712962962963</v>
      </c>
      <c r="G1618" s="7" t="s">
        <v>9</v>
      </c>
    </row>
    <row r="1619" spans="1:7" x14ac:dyDescent="0.45">
      <c r="A1619" t="s">
        <v>1714</v>
      </c>
      <c r="B1619" s="2" t="s">
        <v>76</v>
      </c>
      <c r="C1619" s="3">
        <f>2727/(60*60*24)</f>
        <v>3.15625E-2</v>
      </c>
      <c r="D1619" s="4">
        <f>1055/(60*60*24)</f>
        <v>1.2210648148148148E-2</v>
      </c>
      <c r="E1619" s="5">
        <f>2773/(60*60*24)</f>
        <v>3.2094907407407405E-2</v>
      </c>
      <c r="F1619" s="6">
        <f>9107/(60*60*24)</f>
        <v>0.10540509259259259</v>
      </c>
      <c r="G1619" s="7" t="s">
        <v>9</v>
      </c>
    </row>
    <row r="1620" spans="1:7" x14ac:dyDescent="0.45">
      <c r="A1620" t="s">
        <v>1715</v>
      </c>
      <c r="B1620" s="2" t="s">
        <v>78</v>
      </c>
      <c r="C1620" s="5">
        <f>2654/(60*60*24)</f>
        <v>3.0717592592592591E-2</v>
      </c>
      <c r="D1620" s="4">
        <f>943/(60*60*24)</f>
        <v>1.0914351851851852E-2</v>
      </c>
      <c r="E1620" s="3">
        <f>2569/(60*60*24)</f>
        <v>2.9733796296296296E-2</v>
      </c>
      <c r="F1620" s="6">
        <f>8501/(60*60*24)</f>
        <v>9.8391203703703703E-2</v>
      </c>
      <c r="G1620" s="7" t="s">
        <v>9</v>
      </c>
    </row>
    <row r="1621" spans="1:7" x14ac:dyDescent="0.45">
      <c r="A1621" t="s">
        <v>1716</v>
      </c>
      <c r="B1621" s="2" t="s">
        <v>80</v>
      </c>
      <c r="C1621" s="5">
        <f>2643/(60*60*24)</f>
        <v>3.0590277777777779E-2</v>
      </c>
      <c r="D1621" s="4">
        <f>954/(60*60*24)</f>
        <v>1.1041666666666667E-2</v>
      </c>
      <c r="E1621" s="3">
        <f>2358/(60*60*24)</f>
        <v>2.7291666666666665E-2</v>
      </c>
      <c r="F1621" s="6">
        <f>7753/(60*60*24)</f>
        <v>8.9733796296296298E-2</v>
      </c>
      <c r="G1621" s="7" t="s">
        <v>9</v>
      </c>
    </row>
    <row r="1622" spans="1:7" x14ac:dyDescent="0.45">
      <c r="A1622" t="s">
        <v>1717</v>
      </c>
      <c r="B1622" s="2" t="s">
        <v>84</v>
      </c>
      <c r="C1622" s="5">
        <f>2886/(60*60*24)</f>
        <v>3.3402777777777781E-2</v>
      </c>
      <c r="D1622" s="4">
        <f>1067/(60*60*24)</f>
        <v>1.2349537037037037E-2</v>
      </c>
      <c r="E1622" s="3">
        <f>2169/(60*60*24)</f>
        <v>2.5104166666666667E-2</v>
      </c>
      <c r="F1622" s="6">
        <f>6986/(60*60*24)</f>
        <v>8.0856481481481488E-2</v>
      </c>
      <c r="G1622" s="7" t="s">
        <v>9</v>
      </c>
    </row>
    <row r="1623" spans="1:7" x14ac:dyDescent="0.45">
      <c r="A1623" t="s">
        <v>1718</v>
      </c>
      <c r="B1623" s="2" t="s">
        <v>82</v>
      </c>
      <c r="C1623" s="5">
        <f>3289/(60*60*24)</f>
        <v>3.8067129629629631E-2</v>
      </c>
      <c r="D1623" s="4">
        <f>976/(60*60*24)</f>
        <v>1.1296296296296296E-2</v>
      </c>
      <c r="E1623" s="3">
        <f>1998/(60*60*24)</f>
        <v>2.3125E-2</v>
      </c>
      <c r="F1623" s="6">
        <f>6339/(60*60*24)</f>
        <v>7.3368055555555561E-2</v>
      </c>
      <c r="G1623" s="7" t="s">
        <v>9</v>
      </c>
    </row>
    <row r="1624" spans="1:7" x14ac:dyDescent="0.45">
      <c r="A1624" t="s">
        <v>1719</v>
      </c>
      <c r="B1624" s="2" t="s">
        <v>86</v>
      </c>
      <c r="C1624" s="3">
        <f>1371/(60*60*24)</f>
        <v>1.5868055555555555E-2</v>
      </c>
      <c r="D1624" s="4">
        <f>806/(60*60*24)</f>
        <v>9.3287037037037036E-3</v>
      </c>
      <c r="E1624" s="5">
        <f>1544/(60*60*24)</f>
        <v>1.787037037037037E-2</v>
      </c>
      <c r="F1624" s="6">
        <f>4902/(60*60*24)</f>
        <v>5.6736111111111112E-2</v>
      </c>
      <c r="G1624" s="7" t="s">
        <v>9</v>
      </c>
    </row>
    <row r="1625" spans="1:7" x14ac:dyDescent="0.45">
      <c r="A1625" t="s">
        <v>1720</v>
      </c>
      <c r="B1625" s="2" t="s">
        <v>88</v>
      </c>
      <c r="C1625" s="8" t="s">
        <v>12</v>
      </c>
      <c r="D1625" s="4">
        <f>1017/(60*60*24)</f>
        <v>1.1770833333333333E-2</v>
      </c>
      <c r="E1625" s="3">
        <f>1909/(60*60*24)</f>
        <v>2.2094907407407407E-2</v>
      </c>
      <c r="F1625" s="5">
        <f>5809/(60*60*24)</f>
        <v>6.7233796296296292E-2</v>
      </c>
      <c r="G1625" s="7" t="s">
        <v>9</v>
      </c>
    </row>
    <row r="1626" spans="1:7" x14ac:dyDescent="0.45">
      <c r="A1626" t="s">
        <v>1721</v>
      </c>
      <c r="B1626" s="2" t="s">
        <v>90</v>
      </c>
      <c r="C1626" s="5">
        <f>1955/(60*60*24)</f>
        <v>2.2627314814814815E-2</v>
      </c>
      <c r="D1626" s="4">
        <f>1036/(60*60*24)</f>
        <v>1.1990740740740741E-2</v>
      </c>
      <c r="E1626" s="3">
        <f>1313/(60*60*24)</f>
        <v>1.5196759259259259E-2</v>
      </c>
      <c r="F1626" s="6">
        <f>4148/(60*60*24)</f>
        <v>4.8009259259259258E-2</v>
      </c>
      <c r="G1626" s="7" t="s">
        <v>9</v>
      </c>
    </row>
    <row r="1627" spans="1:7" x14ac:dyDescent="0.45">
      <c r="A1627" t="s">
        <v>1722</v>
      </c>
      <c r="B1627" s="2" t="s">
        <v>92</v>
      </c>
      <c r="C1627" s="6">
        <f>4050/(60*60*24)</f>
        <v>4.6875E-2</v>
      </c>
      <c r="D1627" s="4">
        <f>684/(60*60*24)</f>
        <v>7.9166666666666673E-3</v>
      </c>
      <c r="E1627" s="3">
        <f>1155/(60*60*24)</f>
        <v>1.3368055555555555E-2</v>
      </c>
      <c r="F1627" s="5">
        <f>3759/(60*60*24)</f>
        <v>4.3506944444444445E-2</v>
      </c>
      <c r="G1627" s="7" t="s">
        <v>9</v>
      </c>
    </row>
    <row r="1628" spans="1:7" x14ac:dyDescent="0.45">
      <c r="A1628" t="s">
        <v>1723</v>
      </c>
      <c r="B1628" s="2" t="s">
        <v>94</v>
      </c>
      <c r="C1628" s="5">
        <f>1938/(60*60*24)</f>
        <v>2.2430555555555554E-2</v>
      </c>
      <c r="D1628" s="4">
        <f>783/(60*60*24)</f>
        <v>9.0624999999999994E-3</v>
      </c>
      <c r="E1628" s="3">
        <f>965/(60*60*24)</f>
        <v>1.1168981481481481E-2</v>
      </c>
      <c r="F1628" s="6">
        <f>3247/(60*60*24)</f>
        <v>3.7581018518518521E-2</v>
      </c>
      <c r="G1628" s="7" t="s">
        <v>9</v>
      </c>
    </row>
    <row r="1629" spans="1:7" x14ac:dyDescent="0.45">
      <c r="A1629" t="s">
        <v>1724</v>
      </c>
      <c r="B1629" s="2" t="s">
        <v>96</v>
      </c>
      <c r="C1629" s="5">
        <f>1290/(60*60*24)</f>
        <v>1.4930555555555556E-2</v>
      </c>
      <c r="D1629" s="4">
        <f>583/(60*60*24)</f>
        <v>6.7476851851851856E-3</v>
      </c>
      <c r="E1629" s="3">
        <f>795/(60*60*24)</f>
        <v>9.2013888888888892E-3</v>
      </c>
      <c r="F1629" s="6">
        <f>2740/(60*60*24)</f>
        <v>3.1712962962962964E-2</v>
      </c>
      <c r="G1629" s="7" t="s">
        <v>9</v>
      </c>
    </row>
    <row r="1630" spans="1:7" x14ac:dyDescent="0.45">
      <c r="A1630" t="s">
        <v>1725</v>
      </c>
      <c r="B1630" s="2" t="s">
        <v>98</v>
      </c>
      <c r="C1630" s="5">
        <f>1123/(60*60*24)</f>
        <v>1.2997685185185185E-2</v>
      </c>
      <c r="D1630" s="4">
        <f>569/(60*60*24)</f>
        <v>6.5856481481481478E-3</v>
      </c>
      <c r="E1630" s="3">
        <f>763/(60*60*24)</f>
        <v>8.8310185185185193E-3</v>
      </c>
      <c r="F1630" s="6">
        <f>2682/(60*60*24)</f>
        <v>3.1041666666666665E-2</v>
      </c>
      <c r="G1630" s="7" t="s">
        <v>9</v>
      </c>
    </row>
    <row r="1631" spans="1:7" x14ac:dyDescent="0.45">
      <c r="A1631" t="s">
        <v>1726</v>
      </c>
      <c r="B1631" s="2" t="s">
        <v>100</v>
      </c>
      <c r="C1631" s="8" t="s">
        <v>12</v>
      </c>
      <c r="D1631" s="4">
        <f>467/(60*60*24)</f>
        <v>5.4050925925925924E-3</v>
      </c>
      <c r="E1631" s="3">
        <f>916/(60*60*24)</f>
        <v>1.0601851851851852E-2</v>
      </c>
      <c r="F1631" s="5">
        <f>3139/(60*60*24)</f>
        <v>3.6331018518518519E-2</v>
      </c>
      <c r="G1631" s="7" t="s">
        <v>9</v>
      </c>
    </row>
    <row r="1632" spans="1:7" x14ac:dyDescent="0.45">
      <c r="A1632" t="s">
        <v>1727</v>
      </c>
      <c r="B1632" s="2" t="s">
        <v>102</v>
      </c>
      <c r="C1632" s="5">
        <f>2477/(60*60*24)</f>
        <v>2.8668981481481483E-2</v>
      </c>
      <c r="D1632" s="4">
        <f>631/(60*60*24)</f>
        <v>7.3032407407407404E-3</v>
      </c>
      <c r="E1632" s="3">
        <f>872/(60*60*24)</f>
        <v>1.0092592592592592E-2</v>
      </c>
      <c r="F1632" s="6">
        <f>2887/(60*60*24)</f>
        <v>3.3414351851851855E-2</v>
      </c>
      <c r="G1632" s="7" t="s">
        <v>9</v>
      </c>
    </row>
    <row r="1633" spans="1:7" x14ac:dyDescent="0.45">
      <c r="A1633" t="s">
        <v>1728</v>
      </c>
      <c r="B1633" s="2" t="s">
        <v>104</v>
      </c>
      <c r="C1633" s="8" t="s">
        <v>12</v>
      </c>
      <c r="D1633" s="4">
        <f>532/(60*60*24)</f>
        <v>6.1574074074074074E-3</v>
      </c>
      <c r="E1633" s="3">
        <f>993/(60*60*24)</f>
        <v>1.1493055555555555E-2</v>
      </c>
      <c r="F1633" s="5">
        <f>3026/(60*60*24)</f>
        <v>3.502314814814815E-2</v>
      </c>
      <c r="G1633" s="7" t="s">
        <v>9</v>
      </c>
    </row>
    <row r="1634" spans="1:7" x14ac:dyDescent="0.45">
      <c r="A1634" t="s">
        <v>1729</v>
      </c>
      <c r="B1634" s="2" t="s">
        <v>106</v>
      </c>
      <c r="C1634" s="5">
        <f>1983/(60*60*24)</f>
        <v>2.2951388888888889E-2</v>
      </c>
      <c r="D1634" s="4">
        <f>780/(60*60*24)</f>
        <v>9.0277777777777769E-3</v>
      </c>
      <c r="E1634" s="3">
        <f>999/(60*60*24)</f>
        <v>1.15625E-2</v>
      </c>
      <c r="F1634" s="6">
        <f>3390/(60*60*24)</f>
        <v>3.923611111111111E-2</v>
      </c>
      <c r="G1634" s="7" t="s">
        <v>9</v>
      </c>
    </row>
    <row r="1635" spans="1:7" x14ac:dyDescent="0.45">
      <c r="A1635" t="s">
        <v>1730</v>
      </c>
      <c r="B1635" s="2" t="s">
        <v>108</v>
      </c>
      <c r="C1635" s="5">
        <f>2460/(60*60*24)</f>
        <v>2.8472222222222222E-2</v>
      </c>
      <c r="D1635" s="4">
        <f>829/(60*60*24)</f>
        <v>9.5949074074074079E-3</v>
      </c>
      <c r="E1635" s="3">
        <f>1173/(60*60*24)</f>
        <v>1.357638888888889E-2</v>
      </c>
      <c r="F1635" s="6">
        <f>3987/(60*60*24)</f>
        <v>4.614583333333333E-2</v>
      </c>
      <c r="G1635" s="7" t="s">
        <v>9</v>
      </c>
    </row>
    <row r="1636" spans="1:7" x14ac:dyDescent="0.45">
      <c r="A1636" t="s">
        <v>1731</v>
      </c>
      <c r="B1636" s="2" t="s">
        <v>110</v>
      </c>
      <c r="C1636" s="5">
        <f>1865/(60*60*24)</f>
        <v>2.1585648148148149E-2</v>
      </c>
      <c r="D1636" s="4">
        <f>845/(60*60*24)</f>
        <v>9.780092592592592E-3</v>
      </c>
      <c r="E1636" s="3">
        <f>1316/(60*60*24)</f>
        <v>1.5231481481481481E-2</v>
      </c>
      <c r="F1636" s="6">
        <f>4778/(60*60*24)</f>
        <v>5.5300925925925927E-2</v>
      </c>
      <c r="G1636" s="7" t="s">
        <v>9</v>
      </c>
    </row>
    <row r="1637" spans="1:7" x14ac:dyDescent="0.45">
      <c r="A1637" t="s">
        <v>1732</v>
      </c>
      <c r="B1637" s="2" t="s">
        <v>112</v>
      </c>
      <c r="C1637" s="5">
        <f>1928/(60*60*24)</f>
        <v>2.2314814814814815E-2</v>
      </c>
      <c r="D1637" s="4">
        <f>900/(60*60*24)</f>
        <v>1.0416666666666666E-2</v>
      </c>
      <c r="E1637" s="3">
        <f>1516/(60*60*24)</f>
        <v>1.7546296296296296E-2</v>
      </c>
      <c r="F1637" s="6">
        <f>5285/(60*60*24)</f>
        <v>6.1168981481481484E-2</v>
      </c>
      <c r="G1637" s="7" t="s">
        <v>9</v>
      </c>
    </row>
    <row r="1638" spans="1:7" x14ac:dyDescent="0.45">
      <c r="A1638" t="s">
        <v>1733</v>
      </c>
      <c r="B1638" s="2" t="s">
        <v>114</v>
      </c>
      <c r="C1638" s="5">
        <f>3063/(60*60*24)</f>
        <v>3.5451388888888886E-2</v>
      </c>
      <c r="D1638" s="4">
        <f>1071/(60*60*24)</f>
        <v>1.2395833333333333E-2</v>
      </c>
      <c r="E1638" s="3">
        <f>1795/(60*60*24)</f>
        <v>2.0775462962962964E-2</v>
      </c>
      <c r="F1638" s="6">
        <f>6153/(60*60*24)</f>
        <v>7.121527777777778E-2</v>
      </c>
      <c r="G1638" s="7" t="s">
        <v>9</v>
      </c>
    </row>
    <row r="1639" spans="1:7" x14ac:dyDescent="0.45">
      <c r="A1639" t="s">
        <v>1734</v>
      </c>
      <c r="B1639" s="2" t="s">
        <v>116</v>
      </c>
      <c r="C1639" s="5">
        <f>3601/(60*60*24)</f>
        <v>4.1678240740740738E-2</v>
      </c>
      <c r="D1639" s="4">
        <f>1126/(60*60*24)</f>
        <v>1.3032407407407407E-2</v>
      </c>
      <c r="E1639" s="3">
        <f>1985/(60*60*24)</f>
        <v>2.2974537037037036E-2</v>
      </c>
      <c r="F1639" s="6">
        <f>7177/(60*60*24)</f>
        <v>8.306712962962963E-2</v>
      </c>
      <c r="G1639" s="7" t="s">
        <v>9</v>
      </c>
    </row>
    <row r="1640" spans="1:7" x14ac:dyDescent="0.45">
      <c r="A1640" t="s">
        <v>1735</v>
      </c>
      <c r="B1640" s="2" t="s">
        <v>118</v>
      </c>
      <c r="C1640" s="5">
        <f>3073/(60*60*24)</f>
        <v>3.5567129629629629E-2</v>
      </c>
      <c r="D1640" s="4">
        <f>1111/(60*60*24)</f>
        <v>1.2858796296296297E-2</v>
      </c>
      <c r="E1640" s="3">
        <f>1970/(60*60*24)</f>
        <v>2.2800925925925926E-2</v>
      </c>
      <c r="F1640" s="6">
        <f>7276/(60*60*24)</f>
        <v>8.4212962962962962E-2</v>
      </c>
      <c r="G1640" s="7" t="s">
        <v>9</v>
      </c>
    </row>
    <row r="1641" spans="1:7" x14ac:dyDescent="0.45">
      <c r="A1641" t="s">
        <v>1736</v>
      </c>
      <c r="B1641" s="2" t="s">
        <v>120</v>
      </c>
      <c r="C1641" s="8" t="s">
        <v>12</v>
      </c>
      <c r="D1641" s="4">
        <f>1228/(60*60*24)</f>
        <v>1.4212962962962964E-2</v>
      </c>
      <c r="E1641" s="3">
        <f>2204/(60*60*24)</f>
        <v>2.5509259259259259E-2</v>
      </c>
      <c r="F1641" s="5">
        <f>7959/(60*60*24)</f>
        <v>9.211805555555555E-2</v>
      </c>
      <c r="G1641" s="7" t="s">
        <v>9</v>
      </c>
    </row>
    <row r="1642" spans="1:7" x14ac:dyDescent="0.45">
      <c r="A1642" t="s">
        <v>1737</v>
      </c>
      <c r="B1642" s="2" t="s">
        <v>124</v>
      </c>
      <c r="C1642" s="8" t="s">
        <v>12</v>
      </c>
      <c r="D1642" s="4">
        <f>1268/(60*60*24)</f>
        <v>1.4675925925925926E-2</v>
      </c>
      <c r="E1642" s="3">
        <f>2656/(60*60*24)</f>
        <v>3.0740740740740742E-2</v>
      </c>
      <c r="F1642" s="5">
        <f>8649/(60*60*24)</f>
        <v>0.10010416666666666</v>
      </c>
      <c r="G1642" s="7" t="s">
        <v>9</v>
      </c>
    </row>
    <row r="1643" spans="1:7" x14ac:dyDescent="0.45">
      <c r="A1643" t="s">
        <v>1738</v>
      </c>
      <c r="B1643" s="2" t="s">
        <v>122</v>
      </c>
      <c r="C1643" s="8" t="s">
        <v>12</v>
      </c>
      <c r="D1643" s="4">
        <f>1158/(60*60*24)</f>
        <v>1.3402777777777777E-2</v>
      </c>
      <c r="E1643" s="3">
        <f>2855/(60*60*24)</f>
        <v>3.304398148148148E-2</v>
      </c>
      <c r="F1643" s="5">
        <f>9480/(60*60*24)</f>
        <v>0.10972222222222222</v>
      </c>
      <c r="G1643" s="7" t="s">
        <v>9</v>
      </c>
    </row>
    <row r="1644" spans="1:7" x14ac:dyDescent="0.45">
      <c r="A1644" t="s">
        <v>1739</v>
      </c>
      <c r="B1644" s="2" t="s">
        <v>126</v>
      </c>
      <c r="C1644" s="8" t="s">
        <v>12</v>
      </c>
      <c r="D1644" s="4">
        <f>1154/(60*60*24)</f>
        <v>1.3356481481481481E-2</v>
      </c>
      <c r="E1644" s="3">
        <f>2896/(60*60*24)</f>
        <v>3.3518518518518517E-2</v>
      </c>
      <c r="F1644" s="5">
        <f>10259/(60*60*24)</f>
        <v>0.11873842592592593</v>
      </c>
      <c r="G1644" s="7" t="s">
        <v>9</v>
      </c>
    </row>
    <row r="1645" spans="1:7" x14ac:dyDescent="0.45">
      <c r="A1645" t="s">
        <v>1740</v>
      </c>
      <c r="B1645" s="2" t="s">
        <v>128</v>
      </c>
      <c r="C1645" s="8" t="s">
        <v>12</v>
      </c>
      <c r="D1645" s="4">
        <f>1180/(60*60*24)</f>
        <v>1.3657407407407408E-2</v>
      </c>
      <c r="E1645" s="3">
        <f>2916/(60*60*24)</f>
        <v>3.3750000000000002E-2</v>
      </c>
      <c r="F1645" s="5">
        <f>10751/(60*60*24)</f>
        <v>0.12443287037037037</v>
      </c>
      <c r="G1645" s="7" t="s">
        <v>9</v>
      </c>
    </row>
    <row r="1646" spans="1:7" x14ac:dyDescent="0.45">
      <c r="A1646" t="s">
        <v>1741</v>
      </c>
      <c r="B1646" s="2" t="s">
        <v>130</v>
      </c>
      <c r="C1646" s="8" t="s">
        <v>12</v>
      </c>
      <c r="D1646" s="4">
        <f>1204/(60*60*24)</f>
        <v>1.3935185185185186E-2</v>
      </c>
      <c r="E1646" s="3">
        <f>3085/(60*60*24)</f>
        <v>3.5706018518518519E-2</v>
      </c>
      <c r="F1646" s="5">
        <f>11659/(60*60*24)</f>
        <v>0.13494212962962962</v>
      </c>
      <c r="G1646" s="7" t="s">
        <v>9</v>
      </c>
    </row>
    <row r="1647" spans="1:7" x14ac:dyDescent="0.45">
      <c r="A1647" t="s">
        <v>1742</v>
      </c>
      <c r="B1647" s="2" t="s">
        <v>132</v>
      </c>
      <c r="C1647" s="8" t="s">
        <v>12</v>
      </c>
      <c r="D1647" s="4">
        <f>1532/(60*60*24)</f>
        <v>1.773148148148148E-2</v>
      </c>
      <c r="E1647" s="3">
        <f>3387/(60*60*24)</f>
        <v>3.920138888888889E-2</v>
      </c>
      <c r="F1647" s="5">
        <f>12427/(60*60*24)</f>
        <v>0.14383101851851851</v>
      </c>
      <c r="G1647" s="7" t="s">
        <v>9</v>
      </c>
    </row>
    <row r="1648" spans="1:7" x14ac:dyDescent="0.45">
      <c r="A1648" t="s">
        <v>1743</v>
      </c>
      <c r="B1648" s="2" t="s">
        <v>136</v>
      </c>
      <c r="C1648" s="8" t="s">
        <v>12</v>
      </c>
      <c r="D1648" s="4">
        <f>2070/(60*60*24)</f>
        <v>2.3958333333333335E-2</v>
      </c>
      <c r="E1648" s="3">
        <f>3566/(60*60*24)</f>
        <v>4.1273148148148149E-2</v>
      </c>
      <c r="F1648" s="5">
        <f>13108/(60*60*24)</f>
        <v>0.15171296296296297</v>
      </c>
      <c r="G1648" s="7" t="s">
        <v>9</v>
      </c>
    </row>
    <row r="1649" spans="1:7" x14ac:dyDescent="0.45">
      <c r="A1649" t="s">
        <v>1744</v>
      </c>
      <c r="B1649" s="2" t="s">
        <v>134</v>
      </c>
      <c r="C1649" s="8" t="s">
        <v>12</v>
      </c>
      <c r="D1649" s="4">
        <f>1920/(60*60*24)</f>
        <v>2.2222222222222223E-2</v>
      </c>
      <c r="E1649" s="3">
        <f>3908/(60*60*24)</f>
        <v>4.5231481481481484E-2</v>
      </c>
      <c r="F1649" s="5">
        <f>13826/(60*60*24)</f>
        <v>0.16002314814814814</v>
      </c>
      <c r="G1649" s="7" t="s">
        <v>9</v>
      </c>
    </row>
    <row r="1650" spans="1:7" x14ac:dyDescent="0.45">
      <c r="A1650" t="s">
        <v>1745</v>
      </c>
      <c r="B1650" s="2" t="s">
        <v>140</v>
      </c>
      <c r="C1650" s="5">
        <f>6422/(60*60*24)</f>
        <v>7.4328703703703702E-2</v>
      </c>
      <c r="D1650" s="4">
        <f>1589/(60*60*24)</f>
        <v>1.8391203703703705E-2</v>
      </c>
      <c r="E1650" s="3">
        <f>4361/(60*60*24)</f>
        <v>5.047453703703704E-2</v>
      </c>
      <c r="F1650" s="6">
        <f>15091/(60*60*24)</f>
        <v>0.17466435185185186</v>
      </c>
      <c r="G1650" s="7" t="s">
        <v>9</v>
      </c>
    </row>
    <row r="1651" spans="1:7" x14ac:dyDescent="0.45">
      <c r="A1651" t="s">
        <v>1746</v>
      </c>
      <c r="B1651" s="2" t="s">
        <v>138</v>
      </c>
      <c r="C1651" s="8" t="s">
        <v>12</v>
      </c>
      <c r="D1651" s="4">
        <f>1769/(60*60*24)</f>
        <v>2.0474537037037038E-2</v>
      </c>
      <c r="E1651" s="3">
        <f>4208/(60*60*24)</f>
        <v>4.87037037037037E-2</v>
      </c>
      <c r="F1651" s="5">
        <f>14526/(60*60*24)</f>
        <v>0.168125</v>
      </c>
      <c r="G1651" s="7" t="s">
        <v>9</v>
      </c>
    </row>
    <row r="1652" spans="1:7" x14ac:dyDescent="0.45">
      <c r="A1652" t="s">
        <v>1747</v>
      </c>
      <c r="B1652" s="2" t="s">
        <v>144</v>
      </c>
      <c r="C1652" s="5">
        <f>6366/(60*60*24)</f>
        <v>7.3680555555555555E-2</v>
      </c>
      <c r="D1652" s="4">
        <f>1717/(60*60*24)</f>
        <v>1.9872685185185184E-2</v>
      </c>
      <c r="E1652" s="3">
        <f>4761/(60*60*24)</f>
        <v>5.5104166666666669E-2</v>
      </c>
      <c r="F1652" s="6">
        <f>17228/(60*60*24)</f>
        <v>0.19939814814814816</v>
      </c>
      <c r="G1652" s="7" t="s">
        <v>9</v>
      </c>
    </row>
    <row r="1653" spans="1:7" x14ac:dyDescent="0.45">
      <c r="A1653" t="s">
        <v>1748</v>
      </c>
      <c r="B1653" s="2" t="s">
        <v>142</v>
      </c>
      <c r="C1653" s="8" t="s">
        <v>12</v>
      </c>
      <c r="D1653" s="4">
        <f>1655/(60*60*24)</f>
        <v>1.9155092592592592E-2</v>
      </c>
      <c r="E1653" s="3">
        <f>4510/(60*60*24)</f>
        <v>5.2199074074074071E-2</v>
      </c>
      <c r="F1653" s="5">
        <f>15807/(60*60*24)</f>
        <v>0.1829513888888889</v>
      </c>
      <c r="G1653" s="7" t="s">
        <v>9</v>
      </c>
    </row>
    <row r="1654" spans="1:7" x14ac:dyDescent="0.45">
      <c r="A1654" t="s">
        <v>1749</v>
      </c>
      <c r="B1654" s="2" t="s">
        <v>146</v>
      </c>
      <c r="C1654" s="5">
        <f>5783/(60*60*24)</f>
        <v>6.6932870370370365E-2</v>
      </c>
      <c r="D1654" s="4">
        <f>1787/(60*60*24)</f>
        <v>2.0682870370370369E-2</v>
      </c>
      <c r="E1654" s="3">
        <f>4653/(60*60*24)</f>
        <v>5.3854166666666668E-2</v>
      </c>
      <c r="F1654" s="6">
        <f>17113/(60*60*24)</f>
        <v>0.19806712962962963</v>
      </c>
      <c r="G1654" s="7" t="s">
        <v>9</v>
      </c>
    </row>
    <row r="1655" spans="1:7" x14ac:dyDescent="0.45">
      <c r="A1655" t="s">
        <v>1750</v>
      </c>
      <c r="B1655" s="2" t="s">
        <v>148</v>
      </c>
      <c r="C1655" s="8" t="s">
        <v>12</v>
      </c>
      <c r="D1655" s="4">
        <f>1993/(60*60*24)</f>
        <v>2.3067129629629628E-2</v>
      </c>
      <c r="E1655" s="3">
        <f>4909/(60*60*24)</f>
        <v>5.6817129629629627E-2</v>
      </c>
      <c r="F1655" s="5">
        <f>17854/(60*60*24)</f>
        <v>0.20664351851851853</v>
      </c>
      <c r="G1655" s="7" t="s">
        <v>9</v>
      </c>
    </row>
    <row r="1656" spans="1:7" x14ac:dyDescent="0.45">
      <c r="A1656" t="s">
        <v>1751</v>
      </c>
      <c r="B1656" s="2" t="s">
        <v>150</v>
      </c>
      <c r="C1656" s="5">
        <f>6566/(60*60*24)</f>
        <v>7.5995370370370366E-2</v>
      </c>
      <c r="D1656" s="4">
        <f>2074/(60*60*24)</f>
        <v>2.4004629629629629E-2</v>
      </c>
      <c r="E1656" s="3">
        <f>5238/(60*60*24)</f>
        <v>6.0624999999999998E-2</v>
      </c>
      <c r="F1656" s="6">
        <f>19137/(60*60*24)</f>
        <v>0.22149305555555557</v>
      </c>
      <c r="G1656" s="7" t="s">
        <v>9</v>
      </c>
    </row>
    <row r="1657" spans="1:7" x14ac:dyDescent="0.45">
      <c r="A1657" t="s">
        <v>1752</v>
      </c>
      <c r="B1657" s="2" t="s">
        <v>152</v>
      </c>
      <c r="C1657" s="5">
        <f>6125/(60*60*24)</f>
        <v>7.0891203703703706E-2</v>
      </c>
      <c r="D1657" s="4">
        <f>1930/(60*60*24)</f>
        <v>2.2337962962962962E-2</v>
      </c>
      <c r="E1657" s="3">
        <f>5321/(60*60*24)</f>
        <v>6.1585648148148146E-2</v>
      </c>
      <c r="F1657" s="6">
        <f>19411/(60*60*24)</f>
        <v>0.22466435185185185</v>
      </c>
      <c r="G1657" s="7" t="s">
        <v>9</v>
      </c>
    </row>
    <row r="1658" spans="1:7" x14ac:dyDescent="0.45">
      <c r="A1658" t="s">
        <v>1753</v>
      </c>
      <c r="B1658" s="2" t="s">
        <v>154</v>
      </c>
      <c r="C1658" s="8" t="s">
        <v>12</v>
      </c>
      <c r="D1658" s="4">
        <f>1983/(60*60*24)</f>
        <v>2.2951388888888889E-2</v>
      </c>
      <c r="E1658" s="3">
        <f>5446/(60*60*24)</f>
        <v>6.3032407407407412E-2</v>
      </c>
      <c r="F1658" s="5">
        <f>20898/(60*60*24)</f>
        <v>0.24187500000000001</v>
      </c>
      <c r="G1658" s="7" t="s">
        <v>9</v>
      </c>
    </row>
    <row r="1659" spans="1:7" x14ac:dyDescent="0.45">
      <c r="A1659" t="s">
        <v>1754</v>
      </c>
      <c r="B1659" s="2" t="s">
        <v>156</v>
      </c>
      <c r="C1659" s="8" t="s">
        <v>12</v>
      </c>
      <c r="D1659" s="4">
        <f>1998/(60*60*24)</f>
        <v>2.3125E-2</v>
      </c>
      <c r="E1659" s="3">
        <f>5755/(60*60*24)</f>
        <v>6.6608796296296291E-2</v>
      </c>
      <c r="F1659" s="5">
        <f>20774/(60*60*24)</f>
        <v>0.24043981481481483</v>
      </c>
      <c r="G1659" s="7" t="s">
        <v>9</v>
      </c>
    </row>
    <row r="1660" spans="1:7" x14ac:dyDescent="0.45">
      <c r="A1660" t="s">
        <v>1755</v>
      </c>
      <c r="B1660" s="2" t="s">
        <v>160</v>
      </c>
      <c r="C1660" s="5">
        <f>6659/(60*60*24)</f>
        <v>7.7071759259259257E-2</v>
      </c>
      <c r="D1660" s="4">
        <f>2224/(60*60*24)</f>
        <v>2.5740740740740741E-2</v>
      </c>
      <c r="E1660" s="3">
        <f>6017/(60*60*24)</f>
        <v>6.9641203703703705E-2</v>
      </c>
      <c r="F1660" s="6">
        <f>21611/(60*60*24)</f>
        <v>0.25012731481481482</v>
      </c>
      <c r="G1660" s="7" t="s">
        <v>9</v>
      </c>
    </row>
    <row r="1661" spans="1:7" x14ac:dyDescent="0.45">
      <c r="A1661" t="s">
        <v>1756</v>
      </c>
      <c r="B1661" s="2" t="s">
        <v>158</v>
      </c>
      <c r="C1661" s="5">
        <f>9071/(60*60*24)</f>
        <v>0.10498842592592593</v>
      </c>
      <c r="D1661" s="4">
        <f>2281/(60*60*24)</f>
        <v>2.6400462962962962E-2</v>
      </c>
      <c r="E1661" s="3">
        <f>6263/(60*60*24)</f>
        <v>7.2488425925925928E-2</v>
      </c>
      <c r="F1661" s="6">
        <f>22351/(60*60*24)</f>
        <v>0.25869212962962962</v>
      </c>
      <c r="G1661" s="7" t="s">
        <v>9</v>
      </c>
    </row>
    <row r="1662" spans="1:7" x14ac:dyDescent="0.45">
      <c r="A1662" t="s">
        <v>1757</v>
      </c>
      <c r="B1662" s="2" t="s">
        <v>162</v>
      </c>
      <c r="C1662" s="5">
        <f>9154/(60*60*24)</f>
        <v>0.10594907407407407</v>
      </c>
      <c r="D1662" s="4">
        <f>2197/(60*60*24)</f>
        <v>2.5428240740740741E-2</v>
      </c>
      <c r="E1662" s="3">
        <f>6414/(60*60*24)</f>
        <v>7.4236111111111114E-2</v>
      </c>
      <c r="F1662" s="6">
        <f>23128/(60*60*24)</f>
        <v>0.26768518518518519</v>
      </c>
      <c r="G1662" s="7" t="s">
        <v>9</v>
      </c>
    </row>
    <row r="1663" spans="1:7" x14ac:dyDescent="0.45">
      <c r="A1663" t="s">
        <v>1758</v>
      </c>
      <c r="B1663" s="2" t="s">
        <v>164</v>
      </c>
      <c r="C1663" s="5">
        <f>8987/(60*60*24)</f>
        <v>0.10401620370370371</v>
      </c>
      <c r="D1663" s="4">
        <f>2188/(60*60*24)</f>
        <v>2.5324074074074075E-2</v>
      </c>
      <c r="E1663" s="3">
        <f>6609/(60*60*24)</f>
        <v>7.649305555555555E-2</v>
      </c>
      <c r="F1663" s="6">
        <f>23776/(60*60*24)</f>
        <v>0.2751851851851852</v>
      </c>
      <c r="G1663" s="7" t="s">
        <v>9</v>
      </c>
    </row>
    <row r="1664" spans="1:7" x14ac:dyDescent="0.45">
      <c r="A1664" t="s">
        <v>1759</v>
      </c>
      <c r="B1664" s="2" t="s">
        <v>168</v>
      </c>
      <c r="C1664" s="5">
        <f>12910/(60*60*24)</f>
        <v>0.1494212962962963</v>
      </c>
      <c r="D1664" s="4">
        <f>2336/(60*60*24)</f>
        <v>2.7037037037037037E-2</v>
      </c>
      <c r="E1664" s="3">
        <f>6930/(60*60*24)</f>
        <v>8.020833333333334E-2</v>
      </c>
      <c r="F1664" s="6">
        <f>24939/(60*60*24)</f>
        <v>0.28864583333333332</v>
      </c>
      <c r="G1664" s="7" t="s">
        <v>9</v>
      </c>
    </row>
    <row r="1665" spans="1:7" x14ac:dyDescent="0.45">
      <c r="A1665" t="s">
        <v>1760</v>
      </c>
      <c r="B1665" s="2" t="s">
        <v>166</v>
      </c>
      <c r="C1665" s="8" t="s">
        <v>12</v>
      </c>
      <c r="D1665" s="4">
        <f>2395/(60*60*24)</f>
        <v>2.7719907407407408E-2</v>
      </c>
      <c r="E1665" s="3">
        <f>7305/(60*60*24)</f>
        <v>8.4548611111111116E-2</v>
      </c>
      <c r="F1665" s="5">
        <f>25283/(60*60*24)</f>
        <v>0.2926273148148148</v>
      </c>
      <c r="G1665" s="7" t="s">
        <v>9</v>
      </c>
    </row>
    <row r="1666" spans="1:7" x14ac:dyDescent="0.45">
      <c r="A1666" t="s">
        <v>1761</v>
      </c>
      <c r="B1666" s="2" t="s">
        <v>170</v>
      </c>
      <c r="C1666" s="3">
        <f>7250/(60*60*24)</f>
        <v>8.3912037037037035E-2</v>
      </c>
      <c r="D1666" s="4">
        <f>2488/(60*60*24)</f>
        <v>2.8796296296296296E-2</v>
      </c>
      <c r="E1666" s="5">
        <f>7388/(60*60*24)</f>
        <v>8.5509259259259257E-2</v>
      </c>
      <c r="F1666" s="6">
        <f>25976/(60*60*24)</f>
        <v>0.30064814814814816</v>
      </c>
      <c r="G1666" s="7" t="s">
        <v>9</v>
      </c>
    </row>
    <row r="1667" spans="1:7" x14ac:dyDescent="0.45">
      <c r="A1667" t="s">
        <v>1762</v>
      </c>
      <c r="B1667" s="2" t="s">
        <v>172</v>
      </c>
      <c r="C1667" s="3">
        <f>6629/(60*60*24)</f>
        <v>7.6724537037037036E-2</v>
      </c>
      <c r="D1667" s="4">
        <f>2542/(60*60*24)</f>
        <v>2.9421296296296296E-2</v>
      </c>
      <c r="E1667" s="5">
        <f>7592/(60*60*24)</f>
        <v>8.7870370370370376E-2</v>
      </c>
      <c r="F1667" s="6">
        <f>26701/(60*60*24)</f>
        <v>0.30903935185185183</v>
      </c>
      <c r="G1667" s="7" t="s">
        <v>9</v>
      </c>
    </row>
    <row r="1668" spans="1:7" x14ac:dyDescent="0.45">
      <c r="A1668" t="s">
        <v>1763</v>
      </c>
      <c r="B1668" s="2" t="s">
        <v>176</v>
      </c>
      <c r="C1668" s="5">
        <f>8607/(60*60*24)</f>
        <v>9.9618055555555557E-2</v>
      </c>
      <c r="D1668" s="4">
        <f>2606/(60*60*24)</f>
        <v>3.0162037037037036E-2</v>
      </c>
      <c r="E1668" s="3">
        <f>8082/(60*60*24)</f>
        <v>9.3541666666666662E-2</v>
      </c>
      <c r="F1668" s="6">
        <f>27517/(60*60*24)</f>
        <v>0.31848379629629631</v>
      </c>
      <c r="G1668" s="7" t="s">
        <v>9</v>
      </c>
    </row>
    <row r="1669" spans="1:7" x14ac:dyDescent="0.45">
      <c r="A1669" t="s">
        <v>1764</v>
      </c>
      <c r="B1669" s="2" t="s">
        <v>174</v>
      </c>
      <c r="C1669" s="5">
        <f>10278/(60*60*24)</f>
        <v>0.11895833333333333</v>
      </c>
      <c r="D1669" s="4">
        <f>2637/(60*60*24)</f>
        <v>3.0520833333333334E-2</v>
      </c>
      <c r="E1669" s="3">
        <f>8180/(60*60*24)</f>
        <v>9.4675925925925927E-2</v>
      </c>
      <c r="F1669" s="6">
        <f>28863/(60*60*24)</f>
        <v>0.33406249999999998</v>
      </c>
      <c r="G1669" s="7" t="s">
        <v>9</v>
      </c>
    </row>
    <row r="1670" spans="1:7" x14ac:dyDescent="0.45">
      <c r="A1670" t="s">
        <v>1765</v>
      </c>
      <c r="B1670" s="2" t="s">
        <v>178</v>
      </c>
      <c r="C1670" s="3">
        <f>7695/(60*60*24)</f>
        <v>8.9062500000000003E-2</v>
      </c>
      <c r="D1670" s="4">
        <f>2576/(60*60*24)</f>
        <v>2.9814814814814815E-2</v>
      </c>
      <c r="E1670" s="5">
        <f>8639/(60*60*24)</f>
        <v>9.9988425925925925E-2</v>
      </c>
      <c r="F1670" s="6">
        <f>30025/(60*60*24)</f>
        <v>0.34751157407407407</v>
      </c>
      <c r="G1670" s="7" t="s">
        <v>9</v>
      </c>
    </row>
    <row r="1671" spans="1:7" x14ac:dyDescent="0.45">
      <c r="A1671" t="s">
        <v>1766</v>
      </c>
      <c r="B1671" s="2" t="s">
        <v>180</v>
      </c>
      <c r="C1671" s="8" t="s">
        <v>12</v>
      </c>
      <c r="D1671" s="4">
        <f>2513/(60*60*24)</f>
        <v>2.9085648148148149E-2</v>
      </c>
      <c r="E1671" s="3">
        <f>8261/(60*60*24)</f>
        <v>9.5613425925925921E-2</v>
      </c>
      <c r="F1671" s="5">
        <f>29367/(60*60*24)</f>
        <v>0.33989583333333334</v>
      </c>
      <c r="G1671" s="7" t="s">
        <v>9</v>
      </c>
    </row>
    <row r="1672" spans="1:7" x14ac:dyDescent="0.45">
      <c r="A1672" t="s">
        <v>1767</v>
      </c>
      <c r="B1672" s="2" t="s">
        <v>182</v>
      </c>
      <c r="C1672" s="3">
        <f>7210/(60*60*24)</f>
        <v>8.3449074074074078E-2</v>
      </c>
      <c r="D1672" s="4">
        <f>2600/(60*60*24)</f>
        <v>3.0092592592592591E-2</v>
      </c>
      <c r="E1672" s="5">
        <f>8694/(60*60*24)</f>
        <v>0.10062500000000001</v>
      </c>
      <c r="F1672" s="6">
        <f>30713/(60*60*24)</f>
        <v>0.35547453703703702</v>
      </c>
      <c r="G1672" s="7" t="s">
        <v>9</v>
      </c>
    </row>
    <row r="1673" spans="1:7" x14ac:dyDescent="0.45">
      <c r="A1673" t="s">
        <v>1768</v>
      </c>
      <c r="B1673" s="2" t="s">
        <v>184</v>
      </c>
      <c r="C1673" s="3">
        <f>7639/(60*60*24)</f>
        <v>8.8414351851851855E-2</v>
      </c>
      <c r="D1673" s="4">
        <f>2701/(60*60*24)</f>
        <v>3.1261574074074074E-2</v>
      </c>
      <c r="E1673" s="5">
        <f>8954/(60*60*24)</f>
        <v>0.10363425925925926</v>
      </c>
      <c r="F1673" s="6">
        <f>31620/(60*60*24)</f>
        <v>0.3659722222222222</v>
      </c>
      <c r="G1673" s="7" t="s">
        <v>9</v>
      </c>
    </row>
    <row r="1674" spans="1:7" x14ac:dyDescent="0.45">
      <c r="A1674" t="s">
        <v>1769</v>
      </c>
      <c r="B1674" s="2" t="s">
        <v>8</v>
      </c>
      <c r="C1674" s="5">
        <f>20671/(60*60*24)</f>
        <v>0.23924768518518519</v>
      </c>
      <c r="D1674" s="4">
        <f>2369/(60*60*24)</f>
        <v>2.7418981481481482E-2</v>
      </c>
      <c r="E1674" s="3">
        <f>9772/(60*60*24)</f>
        <v>0.11310185185185186</v>
      </c>
      <c r="F1674" s="6">
        <f>31425/(60*60*24)</f>
        <v>0.36371527777777779</v>
      </c>
      <c r="G1674" s="7" t="s">
        <v>9</v>
      </c>
    </row>
    <row r="1675" spans="1:7" x14ac:dyDescent="0.45">
      <c r="A1675" t="s">
        <v>1770</v>
      </c>
      <c r="B1675" s="2" t="s">
        <v>11</v>
      </c>
      <c r="C1675" s="5">
        <f>21285/(60*60*24)</f>
        <v>0.24635416666666668</v>
      </c>
      <c r="D1675" s="4">
        <f>2390/(60*60*24)</f>
        <v>2.7662037037037037E-2</v>
      </c>
      <c r="E1675" s="3">
        <f>9217/(60*60*24)</f>
        <v>0.10667824074074074</v>
      </c>
      <c r="F1675" s="6">
        <f>30444/(60*60*24)</f>
        <v>0.35236111111111112</v>
      </c>
      <c r="G1675" s="7" t="s">
        <v>9</v>
      </c>
    </row>
    <row r="1676" spans="1:7" x14ac:dyDescent="0.45">
      <c r="A1676" t="s">
        <v>1771</v>
      </c>
      <c r="B1676" s="2" t="s">
        <v>16</v>
      </c>
      <c r="C1676" s="3">
        <f>7617/(60*60*24)</f>
        <v>8.8159722222222223E-2</v>
      </c>
      <c r="D1676" s="4">
        <f>2328/(60*60*24)</f>
        <v>2.6944444444444444E-2</v>
      </c>
      <c r="E1676" s="5">
        <f>8489/(60*60*24)</f>
        <v>9.825231481481482E-2</v>
      </c>
      <c r="F1676" s="6">
        <f>28838/(60*60*24)</f>
        <v>0.33377314814814812</v>
      </c>
      <c r="G1676" s="7" t="s">
        <v>9</v>
      </c>
    </row>
    <row r="1677" spans="1:7" x14ac:dyDescent="0.45">
      <c r="A1677" t="s">
        <v>1772</v>
      </c>
      <c r="B1677" s="2" t="s">
        <v>14</v>
      </c>
      <c r="C1677" s="8" t="s">
        <v>12</v>
      </c>
      <c r="D1677" s="4">
        <f>2301/(60*60*24)</f>
        <v>2.6631944444444444E-2</v>
      </c>
      <c r="E1677" s="3">
        <f>9144/(60*60*24)</f>
        <v>0.10583333333333333</v>
      </c>
      <c r="F1677" s="5">
        <f>30215/(60*60*24)</f>
        <v>0.34971064814814817</v>
      </c>
      <c r="G1677" s="7" t="s">
        <v>9</v>
      </c>
    </row>
    <row r="1678" spans="1:7" x14ac:dyDescent="0.45">
      <c r="A1678" t="s">
        <v>1773</v>
      </c>
      <c r="B1678" s="2" t="s">
        <v>20</v>
      </c>
      <c r="C1678" s="3">
        <f>6211/(60*60*24)</f>
        <v>7.1886574074074075E-2</v>
      </c>
      <c r="D1678" s="4">
        <f>2165/(60*60*24)</f>
        <v>2.5057870370370369E-2</v>
      </c>
      <c r="E1678" s="5">
        <f>8013/(60*60*24)</f>
        <v>9.2743055555555551E-2</v>
      </c>
      <c r="F1678" s="6">
        <f>27586/(60*60*24)</f>
        <v>0.31928240740740743</v>
      </c>
      <c r="G1678" s="7" t="s">
        <v>9</v>
      </c>
    </row>
    <row r="1679" spans="1:7" x14ac:dyDescent="0.45">
      <c r="A1679" t="s">
        <v>1774</v>
      </c>
      <c r="B1679" s="2" t="s">
        <v>18</v>
      </c>
      <c r="C1679" s="8" t="s">
        <v>12</v>
      </c>
      <c r="D1679" s="4">
        <f>2168/(60*60*24)</f>
        <v>2.5092592592592593E-2</v>
      </c>
      <c r="E1679" s="3">
        <f>8212/(60*60*24)</f>
        <v>9.5046296296296295E-2</v>
      </c>
      <c r="F1679" s="5">
        <f>28277/(60*60*24)</f>
        <v>0.32728009259259261</v>
      </c>
      <c r="G1679" s="7" t="s">
        <v>9</v>
      </c>
    </row>
    <row r="1680" spans="1:7" x14ac:dyDescent="0.45">
      <c r="A1680" t="s">
        <v>1775</v>
      </c>
      <c r="B1680" s="2" t="s">
        <v>22</v>
      </c>
      <c r="C1680" s="3">
        <f>6024/(60*60*24)</f>
        <v>6.9722222222222227E-2</v>
      </c>
      <c r="D1680" s="4">
        <f>2097/(60*60*24)</f>
        <v>2.4270833333333332E-2</v>
      </c>
      <c r="E1680" s="5">
        <f>7809/(60*60*24)</f>
        <v>9.0381944444444445E-2</v>
      </c>
      <c r="F1680" s="6">
        <f>26857/(60*60*24)</f>
        <v>0.31084490740740739</v>
      </c>
      <c r="G1680" s="7" t="s">
        <v>9</v>
      </c>
    </row>
    <row r="1681" spans="1:7" x14ac:dyDescent="0.45">
      <c r="A1681" t="s">
        <v>1776</v>
      </c>
      <c r="B1681" s="2" t="s">
        <v>24</v>
      </c>
      <c r="C1681" s="5">
        <f>7925/(60*60*24)</f>
        <v>9.1724537037037035E-2</v>
      </c>
      <c r="D1681" s="4">
        <f>2254/(60*60*24)</f>
        <v>2.6087962962962962E-2</v>
      </c>
      <c r="E1681" s="3">
        <f>7865/(60*60*24)</f>
        <v>9.1030092592592593E-2</v>
      </c>
      <c r="F1681" s="6">
        <f>26300/(60*60*24)</f>
        <v>0.30439814814814814</v>
      </c>
      <c r="G1681" s="7" t="s">
        <v>9</v>
      </c>
    </row>
    <row r="1682" spans="1:7" x14ac:dyDescent="0.45">
      <c r="A1682" t="s">
        <v>1777</v>
      </c>
      <c r="B1682" s="2" t="s">
        <v>28</v>
      </c>
      <c r="C1682" s="3">
        <f>6295/(60*60*24)</f>
        <v>7.2858796296296297E-2</v>
      </c>
      <c r="D1682" s="4">
        <f>2436/(60*60*24)</f>
        <v>2.8194444444444446E-2</v>
      </c>
      <c r="E1682" s="5">
        <f>7359/(60*60*24)</f>
        <v>8.5173611111111117E-2</v>
      </c>
      <c r="F1682" s="6">
        <f>24778/(60*60*24)</f>
        <v>0.2867824074074074</v>
      </c>
      <c r="G1682" s="7" t="s">
        <v>9</v>
      </c>
    </row>
    <row r="1683" spans="1:7" x14ac:dyDescent="0.45">
      <c r="A1683" t="s">
        <v>1778</v>
      </c>
      <c r="B1683" s="2" t="s">
        <v>26</v>
      </c>
      <c r="C1683" s="8" t="s">
        <v>12</v>
      </c>
      <c r="D1683" s="4">
        <f>2307/(60*60*24)</f>
        <v>2.6701388888888889E-2</v>
      </c>
      <c r="E1683" s="3">
        <f>7583/(60*60*24)</f>
        <v>8.7766203703703707E-2</v>
      </c>
      <c r="F1683" s="5">
        <f>25442/(60*60*24)</f>
        <v>0.29446759259259259</v>
      </c>
      <c r="G1683" s="7" t="s">
        <v>9</v>
      </c>
    </row>
    <row r="1684" spans="1:7" x14ac:dyDescent="0.45">
      <c r="A1684" t="s">
        <v>1779</v>
      </c>
      <c r="B1684" s="2" t="s">
        <v>30</v>
      </c>
      <c r="C1684" s="3">
        <f>5955/(60*60*24)</f>
        <v>6.8923611111111116E-2</v>
      </c>
      <c r="D1684" s="4">
        <f>1819/(60*60*24)</f>
        <v>2.105324074074074E-2</v>
      </c>
      <c r="E1684" s="5">
        <f>7045/(60*60*24)</f>
        <v>8.1539351851851849E-2</v>
      </c>
      <c r="F1684" s="6">
        <f>23998/(60*60*24)</f>
        <v>0.27775462962962966</v>
      </c>
      <c r="G1684" s="7" t="s">
        <v>9</v>
      </c>
    </row>
    <row r="1685" spans="1:7" x14ac:dyDescent="0.45">
      <c r="A1685" t="s">
        <v>1780</v>
      </c>
      <c r="B1685" s="2" t="s">
        <v>32</v>
      </c>
      <c r="C1685" s="3">
        <f>5534/(60*60*24)</f>
        <v>6.4050925925925928E-2</v>
      </c>
      <c r="D1685" s="4">
        <f>1740/(60*60*24)</f>
        <v>2.013888888888889E-2</v>
      </c>
      <c r="E1685" s="5">
        <f>6866/(60*60*24)</f>
        <v>7.946759259259259E-2</v>
      </c>
      <c r="F1685" s="6">
        <f>23344/(60*60*24)</f>
        <v>0.27018518518518519</v>
      </c>
      <c r="G1685" s="7" t="s">
        <v>9</v>
      </c>
    </row>
    <row r="1686" spans="1:7" x14ac:dyDescent="0.45">
      <c r="A1686" t="s">
        <v>1781</v>
      </c>
      <c r="B1686" s="2" t="s">
        <v>36</v>
      </c>
      <c r="C1686" s="3">
        <f>4976/(60*60*24)</f>
        <v>5.7592592592592591E-2</v>
      </c>
      <c r="D1686" s="4">
        <f>1659/(60*60*24)</f>
        <v>1.9201388888888889E-2</v>
      </c>
      <c r="E1686" s="5">
        <f>6596/(60*60*24)</f>
        <v>7.6342592592592587E-2</v>
      </c>
      <c r="F1686" s="6">
        <f>22492/(60*60*24)</f>
        <v>0.2603240740740741</v>
      </c>
      <c r="G1686" s="7" t="s">
        <v>9</v>
      </c>
    </row>
    <row r="1687" spans="1:7" x14ac:dyDescent="0.45">
      <c r="A1687" t="s">
        <v>1782</v>
      </c>
      <c r="B1687" s="2" t="s">
        <v>34</v>
      </c>
      <c r="C1687" s="3">
        <f>4763/(60*60*24)</f>
        <v>5.5127314814814816E-2</v>
      </c>
      <c r="D1687" s="4">
        <f>1635/(60*60*24)</f>
        <v>1.892361111111111E-2</v>
      </c>
      <c r="E1687" s="5">
        <f>6427/(60*60*24)</f>
        <v>7.4386574074074077E-2</v>
      </c>
      <c r="F1687" s="6">
        <f>21739/(60*60*24)</f>
        <v>0.25160879629629629</v>
      </c>
      <c r="G1687" s="7" t="s">
        <v>9</v>
      </c>
    </row>
    <row r="1688" spans="1:7" x14ac:dyDescent="0.45">
      <c r="A1688" t="s">
        <v>1783</v>
      </c>
      <c r="B1688" s="2" t="s">
        <v>38</v>
      </c>
      <c r="C1688" s="3">
        <f>5019/(60*60*24)</f>
        <v>5.8090277777777775E-2</v>
      </c>
      <c r="D1688" s="4">
        <f>1470/(60*60*24)</f>
        <v>1.7013888888888887E-2</v>
      </c>
      <c r="E1688" s="5">
        <f>6218/(60*60*24)</f>
        <v>7.1967592592592597E-2</v>
      </c>
      <c r="F1688" s="6">
        <f>20997/(60*60*24)</f>
        <v>0.24302083333333332</v>
      </c>
      <c r="G1688" s="7" t="s">
        <v>9</v>
      </c>
    </row>
    <row r="1689" spans="1:7" x14ac:dyDescent="0.45">
      <c r="A1689" t="s">
        <v>1784</v>
      </c>
      <c r="B1689" s="2" t="s">
        <v>40</v>
      </c>
      <c r="C1689" s="3">
        <f>4046/(60*60*24)</f>
        <v>4.6828703703703706E-2</v>
      </c>
      <c r="D1689" s="4">
        <f>1543/(60*60*24)</f>
        <v>1.7858796296296296E-2</v>
      </c>
      <c r="E1689" s="5">
        <f>5998/(60*60*24)</f>
        <v>6.94212962962963E-2</v>
      </c>
      <c r="F1689" s="6">
        <f>20329/(60*60*24)</f>
        <v>0.23528935185185185</v>
      </c>
      <c r="G1689" s="7" t="s">
        <v>9</v>
      </c>
    </row>
    <row r="1690" spans="1:7" x14ac:dyDescent="0.45">
      <c r="A1690" t="s">
        <v>1785</v>
      </c>
      <c r="B1690" s="2" t="s">
        <v>44</v>
      </c>
      <c r="C1690" s="3">
        <f>4253/(60*60*24)</f>
        <v>4.9224537037037039E-2</v>
      </c>
      <c r="D1690" s="4">
        <f>1739/(60*60*24)</f>
        <v>2.0127314814814813E-2</v>
      </c>
      <c r="E1690" s="5">
        <f>5874/(60*60*24)</f>
        <v>6.7986111111111108E-2</v>
      </c>
      <c r="F1690" s="6">
        <f>19851/(60*60*24)</f>
        <v>0.22975694444444444</v>
      </c>
      <c r="G1690" s="7" t="s">
        <v>9</v>
      </c>
    </row>
    <row r="1691" spans="1:7" x14ac:dyDescent="0.45">
      <c r="A1691" t="s">
        <v>1786</v>
      </c>
      <c r="B1691" s="2" t="s">
        <v>42</v>
      </c>
      <c r="C1691" s="3">
        <f>4175/(60*60*24)</f>
        <v>4.8321759259259259E-2</v>
      </c>
      <c r="D1691" s="4">
        <f>1820/(60*60*24)</f>
        <v>2.1064814814814814E-2</v>
      </c>
      <c r="E1691" s="5">
        <f>5736/(60*60*24)</f>
        <v>6.6388888888888886E-2</v>
      </c>
      <c r="F1691" s="6">
        <f>19363/(60*60*24)</f>
        <v>0.22410879629629629</v>
      </c>
      <c r="G1691" s="7" t="s">
        <v>9</v>
      </c>
    </row>
    <row r="1692" spans="1:7" x14ac:dyDescent="0.45">
      <c r="A1692" t="s">
        <v>1787</v>
      </c>
      <c r="B1692" s="2" t="s">
        <v>46</v>
      </c>
      <c r="C1692" s="3">
        <f>4132/(60*60*24)</f>
        <v>4.7824074074074074E-2</v>
      </c>
      <c r="D1692" s="4">
        <f>1910/(60*60*24)</f>
        <v>2.210648148148148E-2</v>
      </c>
      <c r="E1692" s="5">
        <f>5581/(60*60*24)</f>
        <v>6.4594907407407406E-2</v>
      </c>
      <c r="F1692" s="6">
        <f>18774/(60*60*24)</f>
        <v>0.21729166666666666</v>
      </c>
      <c r="G1692" s="7" t="s">
        <v>9</v>
      </c>
    </row>
    <row r="1693" spans="1:7" x14ac:dyDescent="0.45">
      <c r="A1693" t="s">
        <v>1788</v>
      </c>
      <c r="B1693" s="2" t="s">
        <v>48</v>
      </c>
      <c r="C1693" s="3">
        <f>3808/(60*60*24)</f>
        <v>4.4074074074074071E-2</v>
      </c>
      <c r="D1693" s="4">
        <f>1845/(60*60*24)</f>
        <v>2.1354166666666667E-2</v>
      </c>
      <c r="E1693" s="5">
        <f>5640/(60*60*24)</f>
        <v>6.5277777777777782E-2</v>
      </c>
      <c r="F1693" s="6">
        <f>17985/(60*60*24)</f>
        <v>0.20815972222222223</v>
      </c>
      <c r="G1693" s="7" t="s">
        <v>9</v>
      </c>
    </row>
    <row r="1694" spans="1:7" x14ac:dyDescent="0.45">
      <c r="A1694" t="s">
        <v>1789</v>
      </c>
      <c r="B1694" s="2" t="s">
        <v>50</v>
      </c>
      <c r="C1694" s="3">
        <f>3980/(60*60*24)</f>
        <v>4.6064814814814815E-2</v>
      </c>
      <c r="D1694" s="4">
        <f>1878/(60*60*24)</f>
        <v>2.1736111111111112E-2</v>
      </c>
      <c r="E1694" s="5">
        <f>5478/(60*60*24)</f>
        <v>6.340277777777778E-2</v>
      </c>
      <c r="F1694" s="6">
        <f>17335/(60*60*24)</f>
        <v>0.20063657407407406</v>
      </c>
      <c r="G1694" s="7" t="s">
        <v>9</v>
      </c>
    </row>
    <row r="1695" spans="1:7" x14ac:dyDescent="0.45">
      <c r="A1695" t="s">
        <v>1790</v>
      </c>
      <c r="B1695" s="2" t="s">
        <v>52</v>
      </c>
      <c r="C1695" s="3">
        <f>3988/(60*60*24)</f>
        <v>4.6157407407407404E-2</v>
      </c>
      <c r="D1695" s="4">
        <f>1917/(60*60*24)</f>
        <v>2.2187499999999999E-2</v>
      </c>
      <c r="E1695" s="5">
        <f>5346/(60*60*24)</f>
        <v>6.1874999999999999E-2</v>
      </c>
      <c r="F1695" s="6">
        <f>16868/(60*60*24)</f>
        <v>0.19523148148148148</v>
      </c>
      <c r="G1695" s="7" t="s">
        <v>9</v>
      </c>
    </row>
    <row r="1696" spans="1:7" x14ac:dyDescent="0.45">
      <c r="A1696" t="s">
        <v>1791</v>
      </c>
      <c r="B1696" s="2" t="s">
        <v>54</v>
      </c>
      <c r="C1696" s="3">
        <f>3478/(60*60*24)</f>
        <v>4.0254629629629626E-2</v>
      </c>
      <c r="D1696" s="4">
        <f>1924/(60*60*24)</f>
        <v>2.2268518518518517E-2</v>
      </c>
      <c r="E1696" s="5">
        <f>5150/(60*60*24)</f>
        <v>5.9606481481481483E-2</v>
      </c>
      <c r="F1696" s="6">
        <f>16063/(60*60*24)</f>
        <v>0.18591435185185184</v>
      </c>
      <c r="G1696" s="7" t="s">
        <v>9</v>
      </c>
    </row>
    <row r="1697" spans="1:7" x14ac:dyDescent="0.45">
      <c r="A1697" t="s">
        <v>1792</v>
      </c>
      <c r="B1697" s="2" t="s">
        <v>56</v>
      </c>
      <c r="C1697" s="3">
        <f>3209/(60*60*24)</f>
        <v>3.7141203703703704E-2</v>
      </c>
      <c r="D1697" s="4">
        <f>1993/(60*60*24)</f>
        <v>2.3067129629629628E-2</v>
      </c>
      <c r="E1697" s="5">
        <f>4640/(60*60*24)</f>
        <v>5.3703703703703705E-2</v>
      </c>
      <c r="F1697" s="6">
        <f>15384/(60*60*24)</f>
        <v>0.17805555555555555</v>
      </c>
      <c r="G1697" s="7" t="s">
        <v>9</v>
      </c>
    </row>
    <row r="1698" spans="1:7" x14ac:dyDescent="0.45">
      <c r="A1698" t="s">
        <v>1793</v>
      </c>
      <c r="B1698" s="2" t="s">
        <v>58</v>
      </c>
      <c r="C1698" s="3">
        <f>3239/(60*60*24)</f>
        <v>3.7488425925925925E-2</v>
      </c>
      <c r="D1698" s="4">
        <f>1969/(60*60*24)</f>
        <v>2.2789351851851852E-2</v>
      </c>
      <c r="E1698" s="5">
        <f>4415/(60*60*24)</f>
        <v>5.1099537037037034E-2</v>
      </c>
      <c r="F1698" s="6">
        <f>14754/(60*60*24)</f>
        <v>0.17076388888888888</v>
      </c>
      <c r="G1698" s="7" t="s">
        <v>9</v>
      </c>
    </row>
    <row r="1699" spans="1:7" x14ac:dyDescent="0.45">
      <c r="A1699" t="s">
        <v>1794</v>
      </c>
      <c r="B1699" s="2" t="s">
        <v>60</v>
      </c>
      <c r="C1699" s="3">
        <f>3130/(60*60*24)</f>
        <v>3.622685185185185E-2</v>
      </c>
      <c r="D1699" s="4">
        <f>1831/(60*60*24)</f>
        <v>2.119212962962963E-2</v>
      </c>
      <c r="E1699" s="5">
        <f>4210/(60*60*24)</f>
        <v>4.8726851851851855E-2</v>
      </c>
      <c r="F1699" s="6">
        <f>14030/(60*60*24)</f>
        <v>0.16238425925925926</v>
      </c>
      <c r="G1699" s="7" t="s">
        <v>9</v>
      </c>
    </row>
    <row r="1700" spans="1:7" x14ac:dyDescent="0.45">
      <c r="A1700" t="s">
        <v>1795</v>
      </c>
      <c r="B1700" s="2" t="s">
        <v>62</v>
      </c>
      <c r="C1700" s="3">
        <f>3015/(60*60*24)</f>
        <v>3.4895833333333334E-2</v>
      </c>
      <c r="D1700" s="4">
        <f>1797/(60*60*24)</f>
        <v>2.0798611111111111E-2</v>
      </c>
      <c r="E1700" s="5">
        <f>4042/(60*60*24)</f>
        <v>4.6782407407407404E-2</v>
      </c>
      <c r="F1700" s="6">
        <f>13399/(60*60*24)</f>
        <v>0.15508101851851852</v>
      </c>
      <c r="G1700" s="7" t="s">
        <v>9</v>
      </c>
    </row>
    <row r="1701" spans="1:7" x14ac:dyDescent="0.45">
      <c r="A1701" t="s">
        <v>1796</v>
      </c>
      <c r="B1701" s="2" t="s">
        <v>64</v>
      </c>
      <c r="C1701" s="3">
        <f>2880/(60*60*24)</f>
        <v>3.3333333333333333E-2</v>
      </c>
      <c r="D1701" s="4">
        <f>1733/(60*60*24)</f>
        <v>2.0057870370370372E-2</v>
      </c>
      <c r="E1701" s="5">
        <f>3906/(60*60*24)</f>
        <v>4.5208333333333336E-2</v>
      </c>
      <c r="F1701" s="6">
        <f>12810/(60*60*24)</f>
        <v>0.14826388888888889</v>
      </c>
      <c r="G1701" s="7" t="s">
        <v>9</v>
      </c>
    </row>
    <row r="1702" spans="1:7" x14ac:dyDescent="0.45">
      <c r="A1702" t="s">
        <v>1797</v>
      </c>
      <c r="B1702" s="2" t="s">
        <v>66</v>
      </c>
      <c r="C1702" s="3">
        <f>2562/(60*60*24)</f>
        <v>2.9652777777777778E-2</v>
      </c>
      <c r="D1702" s="4">
        <f>1611/(60*60*24)</f>
        <v>1.8645833333333334E-2</v>
      </c>
      <c r="E1702" s="5">
        <f>3784/(60*60*24)</f>
        <v>4.3796296296296298E-2</v>
      </c>
      <c r="F1702" s="6">
        <f>12204/(60*60*24)</f>
        <v>0.14124999999999999</v>
      </c>
      <c r="G1702" s="7" t="s">
        <v>9</v>
      </c>
    </row>
    <row r="1703" spans="1:7" x14ac:dyDescent="0.45">
      <c r="A1703" t="s">
        <v>1798</v>
      </c>
      <c r="B1703" s="2" t="s">
        <v>68</v>
      </c>
      <c r="C1703" s="3">
        <f>2637/(60*60*24)</f>
        <v>3.0520833333333334E-2</v>
      </c>
      <c r="D1703" s="4">
        <f>1582/(60*60*24)</f>
        <v>1.8310185185185186E-2</v>
      </c>
      <c r="E1703" s="5">
        <f>3569/(60*60*24)</f>
        <v>4.130787037037037E-2</v>
      </c>
      <c r="F1703" s="6">
        <f>11477/(60*60*24)</f>
        <v>0.13283564814814816</v>
      </c>
      <c r="G1703" s="7" t="s">
        <v>9</v>
      </c>
    </row>
    <row r="1704" spans="1:7" x14ac:dyDescent="0.45">
      <c r="A1704" t="s">
        <v>1799</v>
      </c>
      <c r="B1704" s="2" t="s">
        <v>70</v>
      </c>
      <c r="C1704" s="3">
        <f>2770/(60*60*24)</f>
        <v>3.2060185185185185E-2</v>
      </c>
      <c r="D1704" s="4">
        <f>1357/(60*60*24)</f>
        <v>1.5706018518518518E-2</v>
      </c>
      <c r="E1704" s="5">
        <f>3370/(60*60*24)</f>
        <v>3.9004629629629632E-2</v>
      </c>
      <c r="F1704" s="6">
        <f>10951/(60*60*24)</f>
        <v>0.12674768518518517</v>
      </c>
      <c r="G1704" s="7" t="s">
        <v>9</v>
      </c>
    </row>
    <row r="1705" spans="1:7" x14ac:dyDescent="0.45">
      <c r="A1705" t="s">
        <v>1800</v>
      </c>
      <c r="B1705" s="2" t="s">
        <v>72</v>
      </c>
      <c r="C1705" s="3">
        <f>2920/(60*60*24)</f>
        <v>3.3796296296296297E-2</v>
      </c>
      <c r="D1705" s="4">
        <f>1250/(60*60*24)</f>
        <v>1.4467592592592593E-2</v>
      </c>
      <c r="E1705" s="5">
        <f>3166/(60*60*24)</f>
        <v>3.664351851851852E-2</v>
      </c>
      <c r="F1705" s="6">
        <f>10190/(60*60*24)</f>
        <v>0.11793981481481482</v>
      </c>
      <c r="G1705" s="7" t="s">
        <v>9</v>
      </c>
    </row>
    <row r="1706" spans="1:7" x14ac:dyDescent="0.45">
      <c r="A1706" t="s">
        <v>1801</v>
      </c>
      <c r="B1706" s="2" t="s">
        <v>74</v>
      </c>
      <c r="C1706" s="3">
        <f>2532/(60*60*24)</f>
        <v>2.9305555555555557E-2</v>
      </c>
      <c r="D1706" s="4">
        <f>1043/(60*60*24)</f>
        <v>1.207175925925926E-2</v>
      </c>
      <c r="E1706" s="5">
        <f>2862/(60*60*24)</f>
        <v>3.3125000000000002E-2</v>
      </c>
      <c r="F1706" s="6">
        <f>9436/(60*60*24)</f>
        <v>0.10921296296296296</v>
      </c>
      <c r="G1706" s="7" t="s">
        <v>9</v>
      </c>
    </row>
    <row r="1707" spans="1:7" x14ac:dyDescent="0.45">
      <c r="A1707" t="s">
        <v>1802</v>
      </c>
      <c r="B1707" s="2" t="s">
        <v>76</v>
      </c>
      <c r="C1707" s="3">
        <f>2280/(60*60*24)</f>
        <v>2.6388888888888889E-2</v>
      </c>
      <c r="D1707" s="4">
        <f>1043/(60*60*24)</f>
        <v>1.207175925925926E-2</v>
      </c>
      <c r="E1707" s="5">
        <f>2713/(60*60*24)</f>
        <v>3.1400462962962963E-2</v>
      </c>
      <c r="F1707" s="6">
        <f>8896/(60*60*24)</f>
        <v>0.10296296296296296</v>
      </c>
      <c r="G1707" s="7" t="s">
        <v>9</v>
      </c>
    </row>
    <row r="1708" spans="1:7" x14ac:dyDescent="0.45">
      <c r="A1708" t="s">
        <v>1803</v>
      </c>
      <c r="B1708" s="2" t="s">
        <v>78</v>
      </c>
      <c r="C1708" s="5">
        <f>2742/(60*60*24)</f>
        <v>3.1736111111111111E-2</v>
      </c>
      <c r="D1708" s="4">
        <f>892/(60*60*24)</f>
        <v>1.0324074074074074E-2</v>
      </c>
      <c r="E1708" s="3">
        <f>2455/(60*60*24)</f>
        <v>2.841435185185185E-2</v>
      </c>
      <c r="F1708" s="6">
        <f>8143/(60*60*24)</f>
        <v>9.4247685185185184E-2</v>
      </c>
      <c r="G1708" s="7" t="s">
        <v>9</v>
      </c>
    </row>
    <row r="1709" spans="1:7" x14ac:dyDescent="0.45">
      <c r="A1709" t="s">
        <v>1804</v>
      </c>
      <c r="B1709" s="2" t="s">
        <v>80</v>
      </c>
      <c r="C1709" s="5">
        <f>2337/(60*60*24)</f>
        <v>2.704861111111111E-2</v>
      </c>
      <c r="D1709" s="4">
        <f>827/(60*60*24)</f>
        <v>9.571759259259259E-3</v>
      </c>
      <c r="E1709" s="3">
        <f>2268/(60*60*24)</f>
        <v>2.6249999999999999E-2</v>
      </c>
      <c r="F1709" s="6">
        <f>7467/(60*60*24)</f>
        <v>8.6423611111111118E-2</v>
      </c>
      <c r="G1709" s="7" t="s">
        <v>9</v>
      </c>
    </row>
    <row r="1710" spans="1:7" x14ac:dyDescent="0.45">
      <c r="A1710" t="s">
        <v>1805</v>
      </c>
      <c r="B1710" s="2" t="s">
        <v>84</v>
      </c>
      <c r="C1710" s="5">
        <f>2964/(60*60*24)</f>
        <v>3.4305555555555554E-2</v>
      </c>
      <c r="D1710" s="4">
        <f>827/(60*60*24)</f>
        <v>9.571759259259259E-3</v>
      </c>
      <c r="E1710" s="3">
        <f>2091/(60*60*24)</f>
        <v>2.420138888888889E-2</v>
      </c>
      <c r="F1710" s="6">
        <f>6838/(60*60*24)</f>
        <v>7.9143518518518516E-2</v>
      </c>
      <c r="G1710" s="7" t="s">
        <v>9</v>
      </c>
    </row>
    <row r="1711" spans="1:7" x14ac:dyDescent="0.45">
      <c r="A1711" t="s">
        <v>1806</v>
      </c>
      <c r="B1711" s="2" t="s">
        <v>82</v>
      </c>
      <c r="C1711" s="5">
        <f>3184/(60*60*24)</f>
        <v>3.6851851851851851E-2</v>
      </c>
      <c r="D1711" s="4">
        <f>776/(60*60*24)</f>
        <v>8.9814814814814809E-3</v>
      </c>
      <c r="E1711" s="3">
        <f>1948/(60*60*24)</f>
        <v>2.2546296296296297E-2</v>
      </c>
      <c r="F1711" s="6">
        <f>6235/(60*60*24)</f>
        <v>7.2164351851851855E-2</v>
      </c>
      <c r="G1711" s="7" t="s">
        <v>9</v>
      </c>
    </row>
    <row r="1712" spans="1:7" x14ac:dyDescent="0.45">
      <c r="A1712" t="s">
        <v>1807</v>
      </c>
      <c r="B1712" s="2" t="s">
        <v>88</v>
      </c>
      <c r="C1712" s="5">
        <f>2025/(60*60*24)</f>
        <v>2.34375E-2</v>
      </c>
      <c r="D1712" s="4">
        <f>754/(60*60*24)</f>
        <v>8.726851851851852E-3</v>
      </c>
      <c r="E1712" s="3">
        <f>1751/(60*60*24)</f>
        <v>2.0266203703703703E-2</v>
      </c>
      <c r="F1712" s="6">
        <f>5835/(60*60*24)</f>
        <v>6.7534722222222218E-2</v>
      </c>
      <c r="G1712" s="7" t="s">
        <v>9</v>
      </c>
    </row>
    <row r="1713" spans="1:7" x14ac:dyDescent="0.45">
      <c r="A1713" t="s">
        <v>1808</v>
      </c>
      <c r="B1713" s="2" t="s">
        <v>86</v>
      </c>
      <c r="C1713" s="5">
        <f>2053/(60*60*24)</f>
        <v>2.3761574074074074E-2</v>
      </c>
      <c r="D1713" s="4">
        <f>771/(60*60*24)</f>
        <v>8.9236111111111113E-3</v>
      </c>
      <c r="E1713" s="3">
        <f>1575/(60*60*24)</f>
        <v>1.8229166666666668E-2</v>
      </c>
      <c r="F1713" s="6">
        <f>5560/(60*60*24)</f>
        <v>6.4351851851851855E-2</v>
      </c>
      <c r="G1713" s="7" t="s">
        <v>9</v>
      </c>
    </row>
    <row r="1714" spans="1:7" x14ac:dyDescent="0.45">
      <c r="A1714" t="s">
        <v>1809</v>
      </c>
      <c r="B1714" s="2" t="s">
        <v>90</v>
      </c>
      <c r="C1714" s="5">
        <f>2556/(60*60*24)</f>
        <v>2.9583333333333333E-2</v>
      </c>
      <c r="D1714" s="4">
        <f>839/(60*60*24)</f>
        <v>9.7106481481481488E-3</v>
      </c>
      <c r="E1714" s="3">
        <f>1373/(60*60*24)</f>
        <v>1.5891203703703703E-2</v>
      </c>
      <c r="F1714" s="6">
        <f>4912/(60*60*24)</f>
        <v>5.6851851851851855E-2</v>
      </c>
      <c r="G1714" s="7" t="s">
        <v>9</v>
      </c>
    </row>
    <row r="1715" spans="1:7" x14ac:dyDescent="0.45">
      <c r="A1715" t="s">
        <v>1810</v>
      </c>
      <c r="B1715" s="2" t="s">
        <v>92</v>
      </c>
      <c r="C1715" s="5">
        <f>2707/(60*60*24)</f>
        <v>3.1331018518518522E-2</v>
      </c>
      <c r="D1715" s="4">
        <f>929/(60*60*24)</f>
        <v>1.0752314814814815E-2</v>
      </c>
      <c r="E1715" s="3">
        <f>1264/(60*60*24)</f>
        <v>1.462962962962963E-2</v>
      </c>
      <c r="F1715" s="6">
        <f>4269/(60*60*24)</f>
        <v>4.9409722222222223E-2</v>
      </c>
      <c r="G1715" s="7" t="s">
        <v>9</v>
      </c>
    </row>
    <row r="1716" spans="1:7" x14ac:dyDescent="0.45">
      <c r="A1716" t="s">
        <v>1811</v>
      </c>
      <c r="B1716" s="2" t="s">
        <v>94</v>
      </c>
      <c r="C1716" s="5">
        <f>2851/(60*60*24)</f>
        <v>3.2997685185185185E-2</v>
      </c>
      <c r="D1716" s="4">
        <f>764/(60*60*24)</f>
        <v>8.8425925925925929E-3</v>
      </c>
      <c r="E1716" s="3">
        <f>1179/(60*60*24)</f>
        <v>1.3645833333333333E-2</v>
      </c>
      <c r="F1716" s="6">
        <f>4026/(60*60*24)</f>
        <v>4.659722222222222E-2</v>
      </c>
      <c r="G1716" s="7" t="s">
        <v>9</v>
      </c>
    </row>
    <row r="1717" spans="1:7" x14ac:dyDescent="0.45">
      <c r="A1717" t="s">
        <v>1812</v>
      </c>
      <c r="B1717" s="2" t="s">
        <v>96</v>
      </c>
      <c r="C1717" s="5">
        <f>2571/(60*60*24)</f>
        <v>2.9756944444444444E-2</v>
      </c>
      <c r="D1717" s="4">
        <f>933/(60*60*24)</f>
        <v>1.0798611111111111E-2</v>
      </c>
      <c r="E1717" s="3">
        <f>1513/(60*60*24)</f>
        <v>1.7511574074074075E-2</v>
      </c>
      <c r="F1717" s="6">
        <f>4749/(60*60*24)</f>
        <v>5.496527777777778E-2</v>
      </c>
      <c r="G1717" s="7" t="s">
        <v>9</v>
      </c>
    </row>
    <row r="1718" spans="1:7" x14ac:dyDescent="0.45">
      <c r="A1718" t="s">
        <v>1813</v>
      </c>
      <c r="B1718" s="2" t="s">
        <v>98</v>
      </c>
      <c r="C1718" s="5">
        <f>2227/(60*60*24)</f>
        <v>2.5775462962962962E-2</v>
      </c>
      <c r="D1718" s="4">
        <f>621/(60*60*24)</f>
        <v>7.1875000000000003E-3</v>
      </c>
      <c r="E1718" s="3">
        <f>880/(60*60*24)</f>
        <v>1.0185185185185186E-2</v>
      </c>
      <c r="F1718" s="6">
        <f>3933/(60*60*24)</f>
        <v>4.5520833333333337E-2</v>
      </c>
      <c r="G1718" s="7" t="s">
        <v>9</v>
      </c>
    </row>
    <row r="1719" spans="1:7" x14ac:dyDescent="0.45">
      <c r="A1719" t="s">
        <v>1814</v>
      </c>
      <c r="B1719" s="2" t="s">
        <v>100</v>
      </c>
      <c r="C1719" s="8" t="s">
        <v>12</v>
      </c>
      <c r="D1719" s="4">
        <f>562/(60*60*24)</f>
        <v>6.5046296296296293E-3</v>
      </c>
      <c r="E1719" s="3">
        <f>917/(60*60*24)</f>
        <v>1.0613425925925925E-2</v>
      </c>
      <c r="F1719" s="5">
        <f>3304/(60*60*24)</f>
        <v>3.8240740740740742E-2</v>
      </c>
      <c r="G1719" s="7" t="s">
        <v>9</v>
      </c>
    </row>
    <row r="1720" spans="1:7" x14ac:dyDescent="0.45">
      <c r="A1720" t="s">
        <v>1815</v>
      </c>
      <c r="B1720" s="2" t="s">
        <v>102</v>
      </c>
      <c r="C1720" s="5">
        <f>2406/(60*60*24)</f>
        <v>2.7847222222222221E-2</v>
      </c>
      <c r="D1720" s="4">
        <f>876/(60*60*24)</f>
        <v>1.0138888888888888E-2</v>
      </c>
      <c r="E1720" s="3">
        <f>1128/(60*60*24)</f>
        <v>1.3055555555555556E-2</v>
      </c>
      <c r="F1720" s="6">
        <f>3668/(60*60*24)</f>
        <v>4.2453703703703702E-2</v>
      </c>
      <c r="G1720" s="7" t="s">
        <v>9</v>
      </c>
    </row>
    <row r="1721" spans="1:7" x14ac:dyDescent="0.45">
      <c r="A1721" t="s">
        <v>1816</v>
      </c>
      <c r="B1721" s="2" t="s">
        <v>104</v>
      </c>
      <c r="C1721" s="8" t="s">
        <v>12</v>
      </c>
      <c r="D1721" s="3">
        <f>1069/(60*60*24)</f>
        <v>1.2372685185185184E-2</v>
      </c>
      <c r="E1721" s="4">
        <f>898/(60*60*24)</f>
        <v>1.0393518518518519E-2</v>
      </c>
      <c r="F1721" s="5">
        <f>3089/(60*60*24)</f>
        <v>3.5752314814814813E-2</v>
      </c>
      <c r="G1721" s="7" t="s">
        <v>9</v>
      </c>
    </row>
    <row r="1722" spans="1:7" x14ac:dyDescent="0.45">
      <c r="A1722" t="s">
        <v>1817</v>
      </c>
      <c r="B1722" s="2" t="s">
        <v>106</v>
      </c>
      <c r="C1722" s="5">
        <f>2017/(60*60*24)</f>
        <v>2.3344907407407408E-2</v>
      </c>
      <c r="D1722" s="4">
        <f>822/(60*60*24)</f>
        <v>9.5138888888888894E-3</v>
      </c>
      <c r="E1722" s="3">
        <f>1093/(60*60*24)</f>
        <v>1.2650462962962962E-2</v>
      </c>
      <c r="F1722" s="6">
        <f>3642/(60*60*24)</f>
        <v>4.2152777777777775E-2</v>
      </c>
      <c r="G1722" s="7" t="s">
        <v>9</v>
      </c>
    </row>
    <row r="1723" spans="1:7" x14ac:dyDescent="0.45">
      <c r="A1723" t="s">
        <v>1818</v>
      </c>
      <c r="B1723" s="2" t="s">
        <v>108</v>
      </c>
      <c r="C1723" s="8" t="s">
        <v>12</v>
      </c>
      <c r="D1723" s="4">
        <f>974/(60*60*24)</f>
        <v>1.1273148148148148E-2</v>
      </c>
      <c r="E1723" s="3">
        <f>1187/(60*60*24)</f>
        <v>1.3738425925925926E-2</v>
      </c>
      <c r="F1723" s="5">
        <f>4072/(60*60*24)</f>
        <v>4.7129629629629632E-2</v>
      </c>
      <c r="G1723" s="7" t="s">
        <v>9</v>
      </c>
    </row>
    <row r="1724" spans="1:7" x14ac:dyDescent="0.45">
      <c r="A1724" t="s">
        <v>1819</v>
      </c>
      <c r="B1724" s="2" t="s">
        <v>112</v>
      </c>
      <c r="C1724" s="5">
        <f>2327/(60*60*24)</f>
        <v>2.6932870370370371E-2</v>
      </c>
      <c r="D1724" s="4">
        <f>898/(60*60*24)</f>
        <v>1.0393518518518519E-2</v>
      </c>
      <c r="E1724" s="3">
        <f>1628/(60*60*24)</f>
        <v>1.8842592592592591E-2</v>
      </c>
      <c r="F1724" s="6">
        <f>5554/(60*60*24)</f>
        <v>6.4282407407407413E-2</v>
      </c>
      <c r="G1724" s="7" t="s">
        <v>9</v>
      </c>
    </row>
    <row r="1725" spans="1:7" x14ac:dyDescent="0.45">
      <c r="A1725" t="s">
        <v>1820</v>
      </c>
      <c r="B1725" s="2" t="s">
        <v>110</v>
      </c>
      <c r="C1725" s="8" t="s">
        <v>12</v>
      </c>
      <c r="D1725" s="4">
        <f>992/(60*60*24)</f>
        <v>1.1481481481481481E-2</v>
      </c>
      <c r="E1725" s="3">
        <f>1467/(60*60*24)</f>
        <v>1.6979166666666667E-2</v>
      </c>
      <c r="F1725" s="5">
        <f>4782/(60*60*24)</f>
        <v>5.5347222222222221E-2</v>
      </c>
      <c r="G1725" s="7" t="s">
        <v>9</v>
      </c>
    </row>
    <row r="1726" spans="1:7" x14ac:dyDescent="0.45">
      <c r="A1726" t="s">
        <v>1821</v>
      </c>
      <c r="B1726" s="2" t="s">
        <v>114</v>
      </c>
      <c r="C1726" s="5">
        <f>3813/(60*60*24)</f>
        <v>4.4131944444444446E-2</v>
      </c>
      <c r="D1726" s="4">
        <f>1021/(60*60*24)</f>
        <v>1.1817129629629629E-2</v>
      </c>
      <c r="E1726" s="3">
        <f>2188/(60*60*24)</f>
        <v>2.5324074074074075E-2</v>
      </c>
      <c r="F1726" s="6">
        <f>6523/(60*60*24)</f>
        <v>7.5497685185185182E-2</v>
      </c>
      <c r="G1726" s="7" t="s">
        <v>9</v>
      </c>
    </row>
    <row r="1727" spans="1:7" x14ac:dyDescent="0.45">
      <c r="A1727" t="s">
        <v>1822</v>
      </c>
      <c r="B1727" s="2" t="s">
        <v>116</v>
      </c>
      <c r="C1727" s="8" t="s">
        <v>12</v>
      </c>
      <c r="D1727" s="4">
        <f>1085/(60*60*24)</f>
        <v>1.255787037037037E-2</v>
      </c>
      <c r="E1727" s="3">
        <f>2147/(60*60*24)</f>
        <v>2.4849537037037038E-2</v>
      </c>
      <c r="F1727" s="5">
        <f>7166/(60*60*24)</f>
        <v>8.2939814814814813E-2</v>
      </c>
      <c r="G1727" s="7" t="s">
        <v>9</v>
      </c>
    </row>
    <row r="1728" spans="1:7" x14ac:dyDescent="0.45">
      <c r="A1728" t="s">
        <v>1823</v>
      </c>
      <c r="B1728" s="2" t="s">
        <v>118</v>
      </c>
      <c r="C1728" s="5">
        <f>3606/(60*60*24)</f>
        <v>4.1736111111111113E-2</v>
      </c>
      <c r="D1728" s="4">
        <f>1251/(60*60*24)</f>
        <v>1.4479166666666666E-2</v>
      </c>
      <c r="E1728" s="3">
        <f>2306/(60*60*24)</f>
        <v>2.6689814814814816E-2</v>
      </c>
      <c r="F1728" s="6">
        <f>8050/(60*60*24)</f>
        <v>9.3171296296296294E-2</v>
      </c>
      <c r="G1728" s="7" t="s">
        <v>9</v>
      </c>
    </row>
    <row r="1729" spans="1:7" x14ac:dyDescent="0.45">
      <c r="A1729" t="s">
        <v>1824</v>
      </c>
      <c r="B1729" s="2" t="s">
        <v>120</v>
      </c>
      <c r="C1729" s="5">
        <f>3871/(60*60*24)</f>
        <v>4.4803240740740741E-2</v>
      </c>
      <c r="D1729" s="4">
        <f>1298/(60*60*24)</f>
        <v>1.5023148148148148E-2</v>
      </c>
      <c r="E1729" s="3">
        <f>2277/(60*60*24)</f>
        <v>2.6354166666666668E-2</v>
      </c>
      <c r="F1729" s="6">
        <f>8315/(60*60*24)</f>
        <v>9.6238425925925922E-2</v>
      </c>
      <c r="G1729" s="7" t="s">
        <v>9</v>
      </c>
    </row>
    <row r="1730" spans="1:7" x14ac:dyDescent="0.45">
      <c r="A1730" t="s">
        <v>1825</v>
      </c>
      <c r="B1730" s="2" t="s">
        <v>124</v>
      </c>
      <c r="C1730" s="8" t="s">
        <v>12</v>
      </c>
      <c r="D1730" s="4">
        <f>1373/(60*60*24)</f>
        <v>1.5891203703703703E-2</v>
      </c>
      <c r="E1730" s="3">
        <f>2551/(60*60*24)</f>
        <v>2.9525462962962962E-2</v>
      </c>
      <c r="F1730" s="5">
        <f>9051/(60*60*24)</f>
        <v>0.10475694444444444</v>
      </c>
      <c r="G1730" s="7" t="s">
        <v>9</v>
      </c>
    </row>
    <row r="1731" spans="1:7" x14ac:dyDescent="0.45">
      <c r="A1731" t="s">
        <v>1826</v>
      </c>
      <c r="B1731" s="2" t="s">
        <v>122</v>
      </c>
      <c r="C1731" s="8" t="s">
        <v>12</v>
      </c>
      <c r="D1731" s="4">
        <f>1494/(60*60*24)</f>
        <v>1.7291666666666667E-2</v>
      </c>
      <c r="E1731" s="3">
        <f>2749/(60*60*24)</f>
        <v>3.1817129629629633E-2</v>
      </c>
      <c r="F1731" s="5">
        <f>9471/(60*60*24)</f>
        <v>0.10961805555555555</v>
      </c>
      <c r="G1731" s="7" t="s">
        <v>9</v>
      </c>
    </row>
    <row r="1732" spans="1:7" x14ac:dyDescent="0.45">
      <c r="A1732" t="s">
        <v>1827</v>
      </c>
      <c r="B1732" s="2" t="s">
        <v>126</v>
      </c>
      <c r="C1732" s="8" t="s">
        <v>12</v>
      </c>
      <c r="D1732" s="4">
        <f>1507/(60*60*24)</f>
        <v>1.744212962962963E-2</v>
      </c>
      <c r="E1732" s="3">
        <f>3063/(60*60*24)</f>
        <v>3.5451388888888886E-2</v>
      </c>
      <c r="F1732" s="5">
        <f>10383/(60*60*24)</f>
        <v>0.12017361111111111</v>
      </c>
      <c r="G1732" s="7" t="s">
        <v>9</v>
      </c>
    </row>
    <row r="1733" spans="1:7" x14ac:dyDescent="0.45">
      <c r="A1733" t="s">
        <v>1828</v>
      </c>
      <c r="B1733" s="2" t="s">
        <v>128</v>
      </c>
      <c r="C1733" s="8" t="s">
        <v>12</v>
      </c>
      <c r="D1733" s="4">
        <f>1211/(60*60*24)</f>
        <v>1.4016203703703704E-2</v>
      </c>
      <c r="E1733" s="3">
        <f>3162/(60*60*24)</f>
        <v>3.6597222222222225E-2</v>
      </c>
      <c r="F1733" s="5">
        <f>10831/(60*60*24)</f>
        <v>0.12535879629629629</v>
      </c>
      <c r="G1733" s="7" t="s">
        <v>9</v>
      </c>
    </row>
    <row r="1734" spans="1:7" x14ac:dyDescent="0.45">
      <c r="A1734" t="s">
        <v>1829</v>
      </c>
      <c r="B1734" s="2" t="s">
        <v>130</v>
      </c>
      <c r="C1734" s="8" t="s">
        <v>12</v>
      </c>
      <c r="D1734" s="4">
        <f>1231/(60*60*24)</f>
        <v>1.4247685185185184E-2</v>
      </c>
      <c r="E1734" s="3">
        <f>3114/(60*60*24)</f>
        <v>3.6041666666666666E-2</v>
      </c>
      <c r="F1734" s="5">
        <f>11864/(60*60*24)</f>
        <v>0.13731481481481481</v>
      </c>
      <c r="G1734" s="7" t="s">
        <v>9</v>
      </c>
    </row>
    <row r="1735" spans="1:7" x14ac:dyDescent="0.45">
      <c r="A1735" t="s">
        <v>1830</v>
      </c>
      <c r="B1735" s="2" t="s">
        <v>132</v>
      </c>
      <c r="C1735" s="8" t="s">
        <v>12</v>
      </c>
      <c r="D1735" s="4">
        <f>1396/(60*60*24)</f>
        <v>1.6157407407407409E-2</v>
      </c>
      <c r="E1735" s="3">
        <f>3574/(60*60*24)</f>
        <v>4.1365740740740738E-2</v>
      </c>
      <c r="F1735" s="5">
        <f>12579/(60*60*24)</f>
        <v>0.14559027777777778</v>
      </c>
      <c r="G1735" s="7" t="s">
        <v>9</v>
      </c>
    </row>
    <row r="1736" spans="1:7" x14ac:dyDescent="0.45">
      <c r="A1736" t="s">
        <v>1831</v>
      </c>
      <c r="B1736" s="2" t="s">
        <v>136</v>
      </c>
      <c r="C1736" s="8" t="s">
        <v>12</v>
      </c>
      <c r="D1736" s="4">
        <f>1457/(60*60*24)</f>
        <v>1.6863425925925928E-2</v>
      </c>
      <c r="E1736" s="3">
        <f>3517/(60*60*24)</f>
        <v>4.0706018518518516E-2</v>
      </c>
      <c r="F1736" s="5">
        <f>12990/(60*60*24)</f>
        <v>0.15034722222222222</v>
      </c>
      <c r="G1736" s="7" t="s">
        <v>9</v>
      </c>
    </row>
    <row r="1737" spans="1:7" x14ac:dyDescent="0.45">
      <c r="A1737" t="s">
        <v>1832</v>
      </c>
      <c r="B1737" s="2" t="s">
        <v>134</v>
      </c>
      <c r="C1737" s="8" t="s">
        <v>12</v>
      </c>
      <c r="D1737" s="4">
        <f>1662/(60*60*24)</f>
        <v>1.923611111111111E-2</v>
      </c>
      <c r="E1737" s="3">
        <f>3652/(60*60*24)</f>
        <v>4.2268518518518518E-2</v>
      </c>
      <c r="F1737" s="5">
        <f>13502/(60*60*24)</f>
        <v>0.15627314814814816</v>
      </c>
      <c r="G1737" s="7" t="s">
        <v>9</v>
      </c>
    </row>
    <row r="1738" spans="1:7" x14ac:dyDescent="0.45">
      <c r="A1738" t="s">
        <v>1833</v>
      </c>
      <c r="B1738" s="2" t="s">
        <v>138</v>
      </c>
      <c r="C1738" s="5">
        <f>6752/(60*60*24)</f>
        <v>7.8148148148148147E-2</v>
      </c>
      <c r="D1738" s="4">
        <f>1651/(60*60*24)</f>
        <v>1.9108796296296297E-2</v>
      </c>
      <c r="E1738" s="3">
        <f>3838/(60*60*24)</f>
        <v>4.4421296296296299E-2</v>
      </c>
      <c r="F1738" s="6">
        <f>14107/(60*60*24)</f>
        <v>0.16327546296296297</v>
      </c>
      <c r="G1738" s="7" t="s">
        <v>9</v>
      </c>
    </row>
    <row r="1739" spans="1:7" x14ac:dyDescent="0.45">
      <c r="A1739" t="s">
        <v>1834</v>
      </c>
      <c r="B1739" s="2" t="s">
        <v>140</v>
      </c>
      <c r="C1739" s="5">
        <f>6481/(60*60*24)</f>
        <v>7.5011574074074078E-2</v>
      </c>
      <c r="D1739" s="4">
        <f>1627/(60*60*24)</f>
        <v>1.8831018518518518E-2</v>
      </c>
      <c r="E1739" s="3">
        <f>4498/(60*60*24)</f>
        <v>5.2060185185185189E-2</v>
      </c>
      <c r="F1739" s="6">
        <f>15109/(60*60*24)</f>
        <v>0.17487268518518517</v>
      </c>
      <c r="G1739" s="7" t="s">
        <v>9</v>
      </c>
    </row>
    <row r="1740" spans="1:7" x14ac:dyDescent="0.45">
      <c r="A1740" t="s">
        <v>1835</v>
      </c>
      <c r="B1740" s="2" t="s">
        <v>142</v>
      </c>
      <c r="C1740" s="8" t="s">
        <v>12</v>
      </c>
      <c r="D1740" s="4">
        <f>1944/(60*60*24)</f>
        <v>2.2499999999999999E-2</v>
      </c>
      <c r="E1740" s="3">
        <f>4671/(60*60*24)</f>
        <v>5.4062499999999999E-2</v>
      </c>
      <c r="F1740" s="5">
        <f>15617/(60*60*24)</f>
        <v>0.18075231481481482</v>
      </c>
      <c r="G1740" s="7" t="s">
        <v>9</v>
      </c>
    </row>
    <row r="1741" spans="1:7" x14ac:dyDescent="0.45">
      <c r="A1741" t="s">
        <v>1836</v>
      </c>
      <c r="B1741" s="2" t="s">
        <v>144</v>
      </c>
      <c r="C1741" s="8" t="s">
        <v>12</v>
      </c>
      <c r="D1741" s="4">
        <f>1793/(60*60*24)</f>
        <v>2.0752314814814814E-2</v>
      </c>
      <c r="E1741" s="3">
        <f>4861/(60*60*24)</f>
        <v>5.6261574074074075E-2</v>
      </c>
      <c r="F1741" s="5">
        <f>16662/(60*60*24)</f>
        <v>0.19284722222222223</v>
      </c>
      <c r="G1741" s="7" t="s">
        <v>9</v>
      </c>
    </row>
    <row r="1742" spans="1:7" x14ac:dyDescent="0.45">
      <c r="A1742" t="s">
        <v>1837</v>
      </c>
      <c r="B1742" s="2" t="s">
        <v>148</v>
      </c>
      <c r="C1742" s="5">
        <f>6401/(60*60*24)</f>
        <v>7.408564814814815E-2</v>
      </c>
      <c r="D1742" s="4">
        <f>1828/(60*60*24)</f>
        <v>2.1157407407407406E-2</v>
      </c>
      <c r="E1742" s="3">
        <f>4907/(60*60*24)</f>
        <v>5.679398148148148E-2</v>
      </c>
      <c r="F1742" s="6">
        <f>18040/(60*60*24)</f>
        <v>0.20879629629629629</v>
      </c>
      <c r="G1742" s="7" t="s">
        <v>9</v>
      </c>
    </row>
    <row r="1743" spans="1:7" x14ac:dyDescent="0.45">
      <c r="A1743" t="s">
        <v>1838</v>
      </c>
      <c r="B1743" s="2" t="s">
        <v>146</v>
      </c>
      <c r="C1743" s="8" t="s">
        <v>12</v>
      </c>
      <c r="D1743" s="4">
        <f>2098/(60*60*24)</f>
        <v>2.4282407407407409E-2</v>
      </c>
      <c r="E1743" s="3">
        <f>4924/(60*60*24)</f>
        <v>5.6990740740740738E-2</v>
      </c>
      <c r="F1743" s="5">
        <f>17815/(60*60*24)</f>
        <v>0.20619212962962963</v>
      </c>
      <c r="G1743" s="7" t="s">
        <v>9</v>
      </c>
    </row>
    <row r="1744" spans="1:7" x14ac:dyDescent="0.45">
      <c r="A1744" t="s">
        <v>1839</v>
      </c>
      <c r="B1744" s="2" t="s">
        <v>150</v>
      </c>
      <c r="C1744" s="5">
        <f>6368/(60*60*24)</f>
        <v>7.3703703703703702E-2</v>
      </c>
      <c r="D1744" s="4">
        <f>1886/(60*60*24)</f>
        <v>2.1828703703703704E-2</v>
      </c>
      <c r="E1744" s="3">
        <f>5097/(60*60*24)</f>
        <v>5.8993055555555556E-2</v>
      </c>
      <c r="F1744" s="6">
        <f>18625/(60*60*24)</f>
        <v>0.21556712962962962</v>
      </c>
      <c r="G1744" s="7" t="s">
        <v>9</v>
      </c>
    </row>
    <row r="1745" spans="1:7" x14ac:dyDescent="0.45">
      <c r="A1745" t="s">
        <v>1840</v>
      </c>
      <c r="B1745" s="2" t="s">
        <v>152</v>
      </c>
      <c r="C1745" s="5">
        <f>6477/(60*60*24)</f>
        <v>7.4965277777777783E-2</v>
      </c>
      <c r="D1745" s="4">
        <f>1933/(60*60*24)</f>
        <v>2.2372685185185186E-2</v>
      </c>
      <c r="E1745" s="3">
        <f>5367/(60*60*24)</f>
        <v>6.2118055555555558E-2</v>
      </c>
      <c r="F1745" s="6">
        <f>19665/(60*60*24)</f>
        <v>0.22760416666666666</v>
      </c>
      <c r="G1745" s="7" t="s">
        <v>9</v>
      </c>
    </row>
    <row r="1746" spans="1:7" x14ac:dyDescent="0.45">
      <c r="A1746" t="s">
        <v>1841</v>
      </c>
      <c r="B1746" s="2" t="s">
        <v>154</v>
      </c>
      <c r="C1746" s="8" t="s">
        <v>12</v>
      </c>
      <c r="D1746" s="4">
        <f>1959/(60*60*24)</f>
        <v>2.267361111111111E-2</v>
      </c>
      <c r="E1746" s="3">
        <f>5500/(60*60*24)</f>
        <v>6.3657407407407413E-2</v>
      </c>
      <c r="F1746" s="5">
        <f>19957/(60*60*24)</f>
        <v>0.23098379629629628</v>
      </c>
      <c r="G1746" s="7" t="s">
        <v>9</v>
      </c>
    </row>
    <row r="1747" spans="1:7" x14ac:dyDescent="0.45">
      <c r="A1747" t="s">
        <v>1842</v>
      </c>
      <c r="B1747" s="2" t="s">
        <v>156</v>
      </c>
      <c r="C1747" s="8" t="s">
        <v>12</v>
      </c>
      <c r="D1747" s="4">
        <f>2185/(60*60*24)</f>
        <v>2.5289351851851851E-2</v>
      </c>
      <c r="E1747" s="3">
        <f>5750/(60*60*24)</f>
        <v>6.655092592592593E-2</v>
      </c>
      <c r="F1747" s="5">
        <f>20759/(60*60*24)</f>
        <v>0.24026620370370369</v>
      </c>
      <c r="G1747" s="7" t="s">
        <v>9</v>
      </c>
    </row>
    <row r="1748" spans="1:7" x14ac:dyDescent="0.45">
      <c r="A1748" t="s">
        <v>1843</v>
      </c>
      <c r="B1748" s="2" t="s">
        <v>158</v>
      </c>
      <c r="C1748" s="5">
        <f>9464/(60*60*24)</f>
        <v>0.10953703703703704</v>
      </c>
      <c r="D1748" s="4">
        <f>2359/(60*60*24)</f>
        <v>2.7303240740740739E-2</v>
      </c>
      <c r="E1748" s="3">
        <f>6407/(60*60*24)</f>
        <v>7.4155092592592592E-2</v>
      </c>
      <c r="F1748" s="6">
        <f>22483/(60*60*24)</f>
        <v>0.26021990740740741</v>
      </c>
      <c r="G1748" s="7" t="s">
        <v>9</v>
      </c>
    </row>
    <row r="1749" spans="1:7" x14ac:dyDescent="0.45">
      <c r="A1749" t="s">
        <v>1844</v>
      </c>
      <c r="B1749" s="2" t="s">
        <v>160</v>
      </c>
      <c r="C1749" s="8" t="s">
        <v>12</v>
      </c>
      <c r="D1749" s="4">
        <f>2268/(60*60*24)</f>
        <v>2.6249999999999999E-2</v>
      </c>
      <c r="E1749" s="3">
        <f>5918/(60*60*24)</f>
        <v>6.8495370370370373E-2</v>
      </c>
      <c r="F1749" s="5">
        <f>21295/(60*60*24)</f>
        <v>0.2464699074074074</v>
      </c>
      <c r="G1749" s="7" t="s">
        <v>9</v>
      </c>
    </row>
    <row r="1750" spans="1:7" x14ac:dyDescent="0.45">
      <c r="A1750" t="s">
        <v>1845</v>
      </c>
      <c r="B1750" s="2" t="s">
        <v>164</v>
      </c>
      <c r="C1750" s="5">
        <f>12821/(60*60*24)</f>
        <v>0.14839120370370371</v>
      </c>
      <c r="D1750" s="4">
        <f>2295/(60*60*24)</f>
        <v>2.6562499999999999E-2</v>
      </c>
      <c r="E1750" s="3">
        <f>6766/(60*60*24)</f>
        <v>7.8310185185185191E-2</v>
      </c>
      <c r="F1750" s="6">
        <f>23897/(60*60*24)</f>
        <v>0.27658564814814812</v>
      </c>
      <c r="G1750" s="7" t="s">
        <v>9</v>
      </c>
    </row>
    <row r="1751" spans="1:7" x14ac:dyDescent="0.45">
      <c r="A1751" t="s">
        <v>1846</v>
      </c>
      <c r="B1751" s="2" t="s">
        <v>162</v>
      </c>
      <c r="C1751" s="8" t="s">
        <v>12</v>
      </c>
      <c r="D1751" s="4">
        <f>2293/(60*60*24)</f>
        <v>2.6539351851851852E-2</v>
      </c>
      <c r="E1751" s="3">
        <f>6675/(60*60*24)</f>
        <v>7.7256944444444448E-2</v>
      </c>
      <c r="F1751" s="5">
        <f>23376/(60*60*24)</f>
        <v>0.27055555555555555</v>
      </c>
      <c r="G1751" s="7" t="s">
        <v>9</v>
      </c>
    </row>
    <row r="1752" spans="1:7" x14ac:dyDescent="0.45">
      <c r="A1752" t="s">
        <v>1847</v>
      </c>
      <c r="B1752" s="2" t="s">
        <v>168</v>
      </c>
      <c r="C1752" s="5">
        <f>12811/(60*60*24)</f>
        <v>0.14827546296296296</v>
      </c>
      <c r="D1752" s="4">
        <f>2242/(60*60*24)</f>
        <v>2.5949074074074076E-2</v>
      </c>
      <c r="E1752" s="3">
        <f>6877/(60*60*24)</f>
        <v>7.9594907407407406E-2</v>
      </c>
      <c r="F1752" s="6">
        <f>24604/(60*60*24)</f>
        <v>0.28476851851851853</v>
      </c>
      <c r="G1752" s="7" t="s">
        <v>9</v>
      </c>
    </row>
    <row r="1753" spans="1:7" x14ac:dyDescent="0.45">
      <c r="A1753" t="s">
        <v>1848</v>
      </c>
      <c r="B1753" s="2" t="s">
        <v>166</v>
      </c>
      <c r="C1753" s="8" t="s">
        <v>12</v>
      </c>
      <c r="D1753" s="4">
        <f>2358/(60*60*24)</f>
        <v>2.7291666666666665E-2</v>
      </c>
      <c r="E1753" s="3">
        <f>7202/(60*60*24)</f>
        <v>8.3356481481481476E-2</v>
      </c>
      <c r="F1753" s="5">
        <f>25404/(60*60*24)</f>
        <v>0.29402777777777778</v>
      </c>
      <c r="G1753" s="7" t="s">
        <v>9</v>
      </c>
    </row>
    <row r="1754" spans="1:7" x14ac:dyDescent="0.45">
      <c r="A1754" t="s">
        <v>1849</v>
      </c>
      <c r="B1754" s="2" t="s">
        <v>170</v>
      </c>
      <c r="C1754" s="3">
        <f>6507/(60*60*24)</f>
        <v>7.5312500000000004E-2</v>
      </c>
      <c r="D1754" s="4">
        <f>2462/(60*60*24)</f>
        <v>2.8495370370370369E-2</v>
      </c>
      <c r="E1754" s="5">
        <f>7392/(60*60*24)</f>
        <v>8.5555555555555551E-2</v>
      </c>
      <c r="F1754" s="6">
        <f>26185/(60*60*24)</f>
        <v>0.30306712962962962</v>
      </c>
      <c r="G1754" s="7" t="s">
        <v>9</v>
      </c>
    </row>
    <row r="1755" spans="1:7" x14ac:dyDescent="0.45">
      <c r="A1755" t="s">
        <v>1850</v>
      </c>
      <c r="B1755" s="2" t="s">
        <v>172</v>
      </c>
      <c r="C1755" s="3">
        <f>7371/(60*60*24)</f>
        <v>8.5312499999999999E-2</v>
      </c>
      <c r="D1755" s="4">
        <f>2651/(60*60*24)</f>
        <v>3.0682870370370371E-2</v>
      </c>
      <c r="E1755" s="5">
        <f>7800/(60*60*24)</f>
        <v>9.0277777777777776E-2</v>
      </c>
      <c r="F1755" s="6">
        <f>27342/(60*60*24)</f>
        <v>0.31645833333333334</v>
      </c>
      <c r="G1755" s="7" t="s">
        <v>9</v>
      </c>
    </row>
    <row r="1756" spans="1:7" x14ac:dyDescent="0.45">
      <c r="A1756" t="s">
        <v>1851</v>
      </c>
      <c r="B1756" s="2" t="s">
        <v>176</v>
      </c>
      <c r="C1756" s="5">
        <f>10475/(60*60*24)</f>
        <v>0.12123842592592593</v>
      </c>
      <c r="D1756" s="4">
        <f>2702/(60*60*24)</f>
        <v>3.1273148148148147E-2</v>
      </c>
      <c r="E1756" s="3">
        <f>8039/(60*60*24)</f>
        <v>9.3043981481481478E-2</v>
      </c>
      <c r="F1756" s="6">
        <f>27829/(60*60*24)</f>
        <v>0.32209490740740743</v>
      </c>
      <c r="G1756" s="7" t="s">
        <v>9</v>
      </c>
    </row>
    <row r="1757" spans="1:7" x14ac:dyDescent="0.45">
      <c r="A1757" t="s">
        <v>1852</v>
      </c>
      <c r="B1757" s="2" t="s">
        <v>174</v>
      </c>
      <c r="C1757" s="5">
        <f>10347/(60*60*24)</f>
        <v>0.11975694444444444</v>
      </c>
      <c r="D1757" s="4">
        <f>2663/(60*60*24)</f>
        <v>3.0821759259259261E-2</v>
      </c>
      <c r="E1757" s="3">
        <f>8337/(60*60*24)</f>
        <v>9.6493055555555554E-2</v>
      </c>
      <c r="F1757" s="6">
        <f>28632/(60*60*24)</f>
        <v>0.3313888888888889</v>
      </c>
      <c r="G1757" s="7" t="s">
        <v>9</v>
      </c>
    </row>
    <row r="1758" spans="1:7" x14ac:dyDescent="0.45">
      <c r="A1758" t="s">
        <v>1853</v>
      </c>
      <c r="B1758" s="2" t="s">
        <v>178</v>
      </c>
      <c r="C1758" s="5">
        <f>9112/(60*60*24)</f>
        <v>0.10546296296296297</v>
      </c>
      <c r="D1758" s="4">
        <f>2717/(60*60*24)</f>
        <v>3.1446759259259258E-2</v>
      </c>
      <c r="E1758" s="3">
        <f>8894/(60*60*24)</f>
        <v>0.10293981481481482</v>
      </c>
      <c r="F1758" s="6">
        <f>30224/(60*60*24)</f>
        <v>0.3498148148148148</v>
      </c>
      <c r="G1758" s="7" t="s">
        <v>9</v>
      </c>
    </row>
    <row r="1759" spans="1:7" x14ac:dyDescent="0.45">
      <c r="A1759" t="s">
        <v>1854</v>
      </c>
      <c r="B1759" s="2" t="s">
        <v>180</v>
      </c>
      <c r="C1759" s="8" t="s">
        <v>12</v>
      </c>
      <c r="D1759" s="4">
        <f>2722/(60*60*24)</f>
        <v>3.1504629629629632E-2</v>
      </c>
      <c r="E1759" s="3">
        <f>8544/(60*60*24)</f>
        <v>9.8888888888888887E-2</v>
      </c>
      <c r="F1759" s="5">
        <f>29358/(60*60*24)</f>
        <v>0.33979166666666666</v>
      </c>
      <c r="G1759" s="7" t="s">
        <v>9</v>
      </c>
    </row>
    <row r="1760" spans="1:7" x14ac:dyDescent="0.45">
      <c r="A1760" t="s">
        <v>1855</v>
      </c>
      <c r="B1760" s="2" t="s">
        <v>182</v>
      </c>
      <c r="C1760" s="3">
        <f>7774/(60*60*24)</f>
        <v>8.997685185185185E-2</v>
      </c>
      <c r="D1760" s="4">
        <f>2646/(60*60*24)</f>
        <v>3.0624999999999999E-2</v>
      </c>
      <c r="E1760" s="5">
        <f>8747/(60*60*24)</f>
        <v>0.10123842592592593</v>
      </c>
      <c r="F1760" s="6">
        <f>30760/(60*60*24)</f>
        <v>0.35601851851851851</v>
      </c>
      <c r="G1760" s="7" t="s">
        <v>9</v>
      </c>
    </row>
    <row r="1761" spans="1:7" x14ac:dyDescent="0.45">
      <c r="A1761" t="s">
        <v>1856</v>
      </c>
      <c r="B1761" s="2" t="s">
        <v>184</v>
      </c>
      <c r="C1761" s="8" t="s">
        <v>12</v>
      </c>
      <c r="D1761" s="4">
        <f>2799/(60*60*24)</f>
        <v>3.2395833333333332E-2</v>
      </c>
      <c r="E1761" s="3">
        <f>9019/(60*60*24)</f>
        <v>0.10438657407407408</v>
      </c>
      <c r="F1761" s="5">
        <f>31636/(60*60*24)</f>
        <v>0.36615740740740743</v>
      </c>
      <c r="G1761" s="7" t="s">
        <v>9</v>
      </c>
    </row>
    <row r="1762" spans="1:7" x14ac:dyDescent="0.45">
      <c r="A1762" t="s">
        <v>1857</v>
      </c>
      <c r="B1762" s="2" t="s">
        <v>8</v>
      </c>
      <c r="C1762" s="5">
        <f>21252/(60*60*24)</f>
        <v>0.24597222222222223</v>
      </c>
      <c r="D1762" s="4">
        <f>2321/(60*60*24)</f>
        <v>2.6863425925925926E-2</v>
      </c>
      <c r="E1762" s="3">
        <f>9579/(60*60*24)</f>
        <v>0.11086805555555555</v>
      </c>
      <c r="F1762" s="6">
        <f>31156/(60*60*24)</f>
        <v>0.36060185185185184</v>
      </c>
      <c r="G1762" s="7" t="s">
        <v>9</v>
      </c>
    </row>
    <row r="1763" spans="1:7" x14ac:dyDescent="0.45">
      <c r="A1763" t="s">
        <v>1858</v>
      </c>
      <c r="B1763" s="2" t="s">
        <v>11</v>
      </c>
      <c r="C1763" s="8" t="s">
        <v>12</v>
      </c>
      <c r="D1763" s="4">
        <f>2459/(60*60*24)</f>
        <v>2.8460648148148148E-2</v>
      </c>
      <c r="E1763" s="3">
        <f>9060/(60*60*24)</f>
        <v>0.10486111111111111</v>
      </c>
      <c r="F1763" s="5">
        <f>30279/(60*60*24)</f>
        <v>0.35045138888888888</v>
      </c>
      <c r="G1763" s="7" t="s">
        <v>9</v>
      </c>
    </row>
    <row r="1764" spans="1:7" x14ac:dyDescent="0.45">
      <c r="A1764" t="s">
        <v>1859</v>
      </c>
      <c r="B1764" s="2" t="s">
        <v>14</v>
      </c>
      <c r="C1764" s="3">
        <f>7951/(60*60*24)</f>
        <v>9.2025462962962962E-2</v>
      </c>
      <c r="D1764" s="4">
        <f>2278/(60*60*24)</f>
        <v>2.6365740740740742E-2</v>
      </c>
      <c r="E1764" s="5">
        <f>8802/(60*60*24)</f>
        <v>0.10187499999999999</v>
      </c>
      <c r="F1764" s="6">
        <f>29660/(60*60*24)</f>
        <v>0.34328703703703706</v>
      </c>
      <c r="G1764" s="7" t="s">
        <v>9</v>
      </c>
    </row>
    <row r="1765" spans="1:7" x14ac:dyDescent="0.45">
      <c r="A1765" t="s">
        <v>1860</v>
      </c>
      <c r="B1765" s="2" t="s">
        <v>16</v>
      </c>
      <c r="C1765" s="3">
        <f>7873/(60*60*24)</f>
        <v>9.1122685185185182E-2</v>
      </c>
      <c r="D1765" s="4">
        <f>2195/(60*60*24)</f>
        <v>2.5405092592592594E-2</v>
      </c>
      <c r="E1765" s="5">
        <f>8702/(60*60*24)</f>
        <v>0.10071759259259259</v>
      </c>
      <c r="F1765" s="6">
        <f>28901/(60*60*24)</f>
        <v>0.33450231481481479</v>
      </c>
      <c r="G1765" s="7" t="s">
        <v>9</v>
      </c>
    </row>
    <row r="1766" spans="1:7" x14ac:dyDescent="0.45">
      <c r="A1766" t="s">
        <v>1861</v>
      </c>
      <c r="B1766" s="2" t="s">
        <v>20</v>
      </c>
      <c r="C1766" s="3">
        <f>6384/(60*60*24)</f>
        <v>7.3888888888888893E-2</v>
      </c>
      <c r="D1766" s="4">
        <f>2207/(60*60*24)</f>
        <v>2.554398148148148E-2</v>
      </c>
      <c r="E1766" s="5">
        <f>7963/(60*60*24)</f>
        <v>9.2164351851851858E-2</v>
      </c>
      <c r="F1766" s="6">
        <f>27281/(60*60*24)</f>
        <v>0.31575231481481481</v>
      </c>
      <c r="G1766" s="7" t="s">
        <v>9</v>
      </c>
    </row>
    <row r="1767" spans="1:7" x14ac:dyDescent="0.45">
      <c r="A1767" t="s">
        <v>1862</v>
      </c>
      <c r="B1767" s="2" t="s">
        <v>18</v>
      </c>
      <c r="C1767" s="8" t="s">
        <v>12</v>
      </c>
      <c r="D1767" s="4">
        <f>2262/(60*60*24)</f>
        <v>2.6180555555555554E-2</v>
      </c>
      <c r="E1767" s="3">
        <f>8355/(60*60*24)</f>
        <v>9.6701388888888892E-2</v>
      </c>
      <c r="F1767" s="5">
        <f>28239/(60*60*24)</f>
        <v>0.3268402777777778</v>
      </c>
      <c r="G1767" s="7" t="s">
        <v>9</v>
      </c>
    </row>
    <row r="1768" spans="1:7" x14ac:dyDescent="0.45">
      <c r="A1768" t="s">
        <v>1863</v>
      </c>
      <c r="B1768" s="2" t="s">
        <v>22</v>
      </c>
      <c r="C1768" s="3">
        <f>6449/(60*60*24)</f>
        <v>7.464120370370371E-2</v>
      </c>
      <c r="D1768" s="4">
        <f>2171/(60*60*24)</f>
        <v>2.5127314814814814E-2</v>
      </c>
      <c r="E1768" s="5">
        <f>7833/(60*60*24)</f>
        <v>9.0659722222222225E-2</v>
      </c>
      <c r="F1768" s="6">
        <f>26825/(60*60*24)</f>
        <v>0.31047453703703703</v>
      </c>
      <c r="G1768" s="7" t="s">
        <v>9</v>
      </c>
    </row>
    <row r="1769" spans="1:7" x14ac:dyDescent="0.45">
      <c r="A1769" t="s">
        <v>1864</v>
      </c>
      <c r="B1769" s="2" t="s">
        <v>24</v>
      </c>
      <c r="C1769" s="3">
        <f>7361/(60*60*24)</f>
        <v>8.5196759259259264E-2</v>
      </c>
      <c r="D1769" s="4">
        <f>2135/(60*60*24)</f>
        <v>2.4710648148148148E-2</v>
      </c>
      <c r="E1769" s="5">
        <f>7627/(60*60*24)</f>
        <v>8.8275462962962958E-2</v>
      </c>
      <c r="F1769" s="6">
        <f>25876/(60*60*24)</f>
        <v>0.29949074074074072</v>
      </c>
      <c r="G1769" s="7" t="s">
        <v>9</v>
      </c>
    </row>
    <row r="1770" spans="1:7" x14ac:dyDescent="0.45">
      <c r="A1770" t="s">
        <v>1865</v>
      </c>
      <c r="B1770" s="2" t="s">
        <v>26</v>
      </c>
      <c r="C1770" s="5">
        <f>22122/(60*60*24)</f>
        <v>0.25604166666666667</v>
      </c>
      <c r="D1770" s="4">
        <f>2519/(60*60*24)</f>
        <v>2.9155092592592594E-2</v>
      </c>
      <c r="E1770" s="3">
        <f>7489/(60*60*24)</f>
        <v>8.6678240740740736E-2</v>
      </c>
      <c r="F1770" s="6">
        <f>25313/(60*60*24)</f>
        <v>0.29297453703703702</v>
      </c>
      <c r="G1770" s="7" t="s">
        <v>9</v>
      </c>
    </row>
    <row r="1771" spans="1:7" x14ac:dyDescent="0.45">
      <c r="A1771" t="s">
        <v>1866</v>
      </c>
      <c r="B1771" s="2" t="s">
        <v>28</v>
      </c>
      <c r="C1771" s="8" t="s">
        <v>12</v>
      </c>
      <c r="D1771" s="4">
        <f>2040/(60*60*24)</f>
        <v>2.361111111111111E-2</v>
      </c>
      <c r="E1771" s="3">
        <f>7275/(60*60*24)</f>
        <v>8.4201388888888895E-2</v>
      </c>
      <c r="F1771" s="5">
        <f>24570/(60*60*24)</f>
        <v>0.28437499999999999</v>
      </c>
      <c r="G1771" s="7" t="s">
        <v>9</v>
      </c>
    </row>
    <row r="1772" spans="1:7" x14ac:dyDescent="0.45">
      <c r="A1772" t="s">
        <v>1867</v>
      </c>
      <c r="B1772" s="2" t="s">
        <v>30</v>
      </c>
      <c r="C1772" s="3">
        <f>5523/(60*60*24)</f>
        <v>6.3923611111111112E-2</v>
      </c>
      <c r="D1772" s="4">
        <f>1866/(60*60*24)</f>
        <v>2.1597222222222223E-2</v>
      </c>
      <c r="E1772" s="5">
        <f>6985/(60*60*24)</f>
        <v>8.0844907407407407E-2</v>
      </c>
      <c r="F1772" s="6">
        <f>23749/(60*60*24)</f>
        <v>0.27487268518518521</v>
      </c>
      <c r="G1772" s="7" t="s">
        <v>9</v>
      </c>
    </row>
    <row r="1773" spans="1:7" x14ac:dyDescent="0.45">
      <c r="A1773" t="s">
        <v>1868</v>
      </c>
      <c r="B1773" s="2" t="s">
        <v>32</v>
      </c>
      <c r="C1773" s="3">
        <f>4665/(60*60*24)</f>
        <v>5.3993055555555558E-2</v>
      </c>
      <c r="D1773" s="4">
        <f>1769/(60*60*24)</f>
        <v>2.0474537037037038E-2</v>
      </c>
      <c r="E1773" s="5">
        <f>6763/(60*60*24)</f>
        <v>7.8275462962962963E-2</v>
      </c>
      <c r="F1773" s="6">
        <f>23094/(60*60*24)</f>
        <v>0.26729166666666665</v>
      </c>
      <c r="G1773" s="7" t="s">
        <v>9</v>
      </c>
    </row>
    <row r="1774" spans="1:7" x14ac:dyDescent="0.45">
      <c r="A1774" t="s">
        <v>1869</v>
      </c>
      <c r="B1774" s="2" t="s">
        <v>36</v>
      </c>
      <c r="C1774" s="3">
        <f>5027/(60*60*24)</f>
        <v>5.8182870370370371E-2</v>
      </c>
      <c r="D1774" s="4">
        <f>1638/(60*60*24)</f>
        <v>1.8958333333333334E-2</v>
      </c>
      <c r="E1774" s="5">
        <f>6570/(60*60*24)</f>
        <v>7.604166666666666E-2</v>
      </c>
      <c r="F1774" s="6">
        <f>22380/(60*60*24)</f>
        <v>0.2590277777777778</v>
      </c>
      <c r="G1774" s="7" t="s">
        <v>9</v>
      </c>
    </row>
    <row r="1775" spans="1:7" x14ac:dyDescent="0.45">
      <c r="A1775" t="s">
        <v>1870</v>
      </c>
      <c r="B1775" s="2" t="s">
        <v>34</v>
      </c>
      <c r="C1775" s="3">
        <f>4308/(60*60*24)</f>
        <v>4.9861111111111113E-2</v>
      </c>
      <c r="D1775" s="4">
        <f>1584/(60*60*24)</f>
        <v>1.8333333333333333E-2</v>
      </c>
      <c r="E1775" s="5">
        <f>6416/(60*60*24)</f>
        <v>7.4259259259259261E-2</v>
      </c>
      <c r="F1775" s="6">
        <f>21819/(60*60*24)</f>
        <v>0.25253472222222223</v>
      </c>
      <c r="G1775" s="7" t="s">
        <v>9</v>
      </c>
    </row>
    <row r="1776" spans="1:7" x14ac:dyDescent="0.45">
      <c r="A1776" t="s">
        <v>1871</v>
      </c>
      <c r="B1776" s="2" t="s">
        <v>38</v>
      </c>
      <c r="C1776" s="3">
        <f>4706/(60*60*24)</f>
        <v>5.4467592592592595E-2</v>
      </c>
      <c r="D1776" s="4">
        <f>1762/(60*60*24)</f>
        <v>2.0393518518518519E-2</v>
      </c>
      <c r="E1776" s="5">
        <f>6398/(60*60*24)</f>
        <v>7.4050925925925923E-2</v>
      </c>
      <c r="F1776" s="6">
        <f>21462/(60*60*24)</f>
        <v>0.24840277777777778</v>
      </c>
      <c r="G1776" s="7" t="s">
        <v>9</v>
      </c>
    </row>
    <row r="1777" spans="1:7" x14ac:dyDescent="0.45">
      <c r="A1777" t="s">
        <v>1872</v>
      </c>
      <c r="B1777" s="2" t="s">
        <v>40</v>
      </c>
      <c r="C1777" s="3">
        <f>4574/(60*60*24)</f>
        <v>5.2939814814814815E-2</v>
      </c>
      <c r="D1777" s="4">
        <f>1658/(60*60*24)</f>
        <v>1.9189814814814816E-2</v>
      </c>
      <c r="E1777" s="5">
        <f>6197/(60*60*24)</f>
        <v>7.1724537037037031E-2</v>
      </c>
      <c r="F1777" s="6">
        <f>20845/(60*60*24)</f>
        <v>0.24126157407407409</v>
      </c>
      <c r="G1777" s="7" t="s">
        <v>9</v>
      </c>
    </row>
    <row r="1778" spans="1:7" x14ac:dyDescent="0.45">
      <c r="A1778" t="s">
        <v>1873</v>
      </c>
      <c r="B1778" s="2" t="s">
        <v>44</v>
      </c>
      <c r="C1778" s="3">
        <f>4750/(60*60*24)</f>
        <v>5.4976851851851853E-2</v>
      </c>
      <c r="D1778" s="4">
        <f>1796/(60*60*24)</f>
        <v>2.0787037037037038E-2</v>
      </c>
      <c r="E1778" s="5">
        <f>5998/(60*60*24)</f>
        <v>6.94212962962963E-2</v>
      </c>
      <c r="F1778" s="6">
        <f>20201/(60*60*24)</f>
        <v>0.23380787037037037</v>
      </c>
      <c r="G1778" s="7" t="s">
        <v>9</v>
      </c>
    </row>
    <row r="1779" spans="1:7" x14ac:dyDescent="0.45">
      <c r="A1779" t="s">
        <v>1874</v>
      </c>
      <c r="B1779" s="2" t="s">
        <v>42</v>
      </c>
      <c r="C1779" s="3">
        <f>4070/(60*60*24)</f>
        <v>4.7106481481481478E-2</v>
      </c>
      <c r="D1779" s="4">
        <f>1881/(60*60*24)</f>
        <v>2.1770833333333333E-2</v>
      </c>
      <c r="E1779" s="5">
        <f>5837/(60*60*24)</f>
        <v>6.7557870370370365E-2</v>
      </c>
      <c r="F1779" s="6">
        <f>19697/(60*60*24)</f>
        <v>0.22797453703703704</v>
      </c>
      <c r="G1779" s="7" t="s">
        <v>9</v>
      </c>
    </row>
    <row r="1780" spans="1:7" x14ac:dyDescent="0.45">
      <c r="A1780" t="s">
        <v>1875</v>
      </c>
      <c r="B1780" s="2" t="s">
        <v>46</v>
      </c>
      <c r="C1780" s="3">
        <f>4477/(60*60*24)</f>
        <v>5.181712962962963E-2</v>
      </c>
      <c r="D1780" s="4">
        <f>2010/(60*60*24)</f>
        <v>2.326388888888889E-2</v>
      </c>
      <c r="E1780" s="5">
        <f>5916/(60*60*24)</f>
        <v>6.8472222222222226E-2</v>
      </c>
      <c r="F1780" s="6">
        <f>18798/(60*60*24)</f>
        <v>0.21756944444444445</v>
      </c>
      <c r="G1780" s="7" t="s">
        <v>9</v>
      </c>
    </row>
    <row r="1781" spans="1:7" x14ac:dyDescent="0.45">
      <c r="A1781" t="s">
        <v>1876</v>
      </c>
      <c r="B1781" s="2" t="s">
        <v>48</v>
      </c>
      <c r="C1781" s="3">
        <f>4112/(60*60*24)</f>
        <v>4.7592592592592596E-2</v>
      </c>
      <c r="D1781" s="4">
        <f>2065/(60*60*24)</f>
        <v>2.3900462962962964E-2</v>
      </c>
      <c r="E1781" s="5">
        <f>5645/(60*60*24)</f>
        <v>6.5335648148148143E-2</v>
      </c>
      <c r="F1781" s="6">
        <f>18114/(60*60*24)</f>
        <v>0.20965277777777777</v>
      </c>
      <c r="G1781" s="7" t="s">
        <v>9</v>
      </c>
    </row>
    <row r="1782" spans="1:7" x14ac:dyDescent="0.45">
      <c r="A1782" t="s">
        <v>1877</v>
      </c>
      <c r="B1782" s="2" t="s">
        <v>50</v>
      </c>
      <c r="C1782" s="3">
        <f>3897/(60*60*24)</f>
        <v>4.5104166666666667E-2</v>
      </c>
      <c r="D1782" s="4">
        <f>1964/(60*60*24)</f>
        <v>2.2731481481481481E-2</v>
      </c>
      <c r="E1782" s="5">
        <f>5603/(60*60*24)</f>
        <v>6.4849537037037039E-2</v>
      </c>
      <c r="F1782" s="6">
        <f>17818/(60*60*24)</f>
        <v>0.20622685185185186</v>
      </c>
      <c r="G1782" s="7" t="s">
        <v>9</v>
      </c>
    </row>
    <row r="1783" spans="1:7" x14ac:dyDescent="0.45">
      <c r="A1783" t="s">
        <v>1878</v>
      </c>
      <c r="B1783" s="2" t="s">
        <v>52</v>
      </c>
      <c r="C1783" s="3">
        <f>4042/(60*60*24)</f>
        <v>4.6782407407407404E-2</v>
      </c>
      <c r="D1783" s="4">
        <f>2019/(60*60*24)</f>
        <v>2.3368055555555555E-2</v>
      </c>
      <c r="E1783" s="5">
        <f>5350/(60*60*24)</f>
        <v>6.1921296296296294E-2</v>
      </c>
      <c r="F1783" s="6">
        <f>16944/(60*60*24)</f>
        <v>0.19611111111111112</v>
      </c>
      <c r="G1783" s="7" t="s">
        <v>9</v>
      </c>
    </row>
    <row r="1784" spans="1:7" x14ac:dyDescent="0.45">
      <c r="A1784" t="s">
        <v>1879</v>
      </c>
      <c r="B1784" s="2" t="s">
        <v>54</v>
      </c>
      <c r="C1784" s="3">
        <f>3792/(60*60*24)</f>
        <v>4.3888888888888887E-2</v>
      </c>
      <c r="D1784" s="4">
        <f>2036/(60*60*24)</f>
        <v>2.3564814814814816E-2</v>
      </c>
      <c r="E1784" s="5">
        <f>5119/(60*60*24)</f>
        <v>5.9247685185185188E-2</v>
      </c>
      <c r="F1784" s="6">
        <f>16264/(60*60*24)</f>
        <v>0.18824074074074074</v>
      </c>
      <c r="G1784" s="7" t="s">
        <v>9</v>
      </c>
    </row>
    <row r="1785" spans="1:7" x14ac:dyDescent="0.45">
      <c r="A1785" t="s">
        <v>1880</v>
      </c>
      <c r="B1785" s="2" t="s">
        <v>56</v>
      </c>
      <c r="C1785" s="3">
        <f>3414/(60*60*24)</f>
        <v>3.951388888888889E-2</v>
      </c>
      <c r="D1785" s="4">
        <f>2058/(60*60*24)</f>
        <v>2.3819444444444445E-2</v>
      </c>
      <c r="E1785" s="5">
        <f>4928/(60*60*24)</f>
        <v>5.7037037037037039E-2</v>
      </c>
      <c r="F1785" s="6">
        <f>15579/(60*60*24)</f>
        <v>0.18031249999999999</v>
      </c>
      <c r="G1785" s="7" t="s">
        <v>9</v>
      </c>
    </row>
    <row r="1786" spans="1:7" x14ac:dyDescent="0.45">
      <c r="A1786" t="s">
        <v>1881</v>
      </c>
      <c r="B1786" s="2" t="s">
        <v>58</v>
      </c>
      <c r="C1786" s="3">
        <f>3528/(60*60*24)</f>
        <v>4.0833333333333333E-2</v>
      </c>
      <c r="D1786" s="4">
        <f>2033/(60*60*24)</f>
        <v>2.3530092592592592E-2</v>
      </c>
      <c r="E1786" s="5">
        <f>4787/(60*60*24)</f>
        <v>5.5405092592592596E-2</v>
      </c>
      <c r="F1786" s="6">
        <f>14957/(60*60*24)</f>
        <v>0.17311342592592593</v>
      </c>
      <c r="G1786" s="7" t="s">
        <v>9</v>
      </c>
    </row>
    <row r="1787" spans="1:7" x14ac:dyDescent="0.45">
      <c r="A1787" t="s">
        <v>1882</v>
      </c>
      <c r="B1787" s="2" t="s">
        <v>60</v>
      </c>
      <c r="C1787" s="3">
        <f>3343/(60*60*24)</f>
        <v>3.8692129629629632E-2</v>
      </c>
      <c r="D1787" s="4">
        <f>1922/(60*60*24)</f>
        <v>2.224537037037037E-2</v>
      </c>
      <c r="E1787" s="5">
        <f>4575/(60*60*24)</f>
        <v>5.2951388888888888E-2</v>
      </c>
      <c r="F1787" s="6">
        <f>14379/(60*60*24)</f>
        <v>0.16642361111111112</v>
      </c>
      <c r="G1787" s="7" t="s">
        <v>9</v>
      </c>
    </row>
    <row r="1788" spans="1:7" x14ac:dyDescent="0.45">
      <c r="A1788" t="s">
        <v>1883</v>
      </c>
      <c r="B1788" s="2" t="s">
        <v>62</v>
      </c>
      <c r="C1788" s="3">
        <f>3203/(60*60*24)</f>
        <v>3.7071759259259263E-2</v>
      </c>
      <c r="D1788" s="4">
        <f>1901/(60*60*24)</f>
        <v>2.2002314814814815E-2</v>
      </c>
      <c r="E1788" s="5">
        <f>4297/(60*60*24)</f>
        <v>4.9733796296296297E-2</v>
      </c>
      <c r="F1788" s="6">
        <f>13564/(60*60*24)</f>
        <v>0.15699074074074074</v>
      </c>
      <c r="G1788" s="7" t="s">
        <v>9</v>
      </c>
    </row>
    <row r="1789" spans="1:7" x14ac:dyDescent="0.45">
      <c r="A1789" t="s">
        <v>1884</v>
      </c>
      <c r="B1789" s="2" t="s">
        <v>64</v>
      </c>
      <c r="C1789" s="3">
        <f>3301/(60*60*24)</f>
        <v>3.8206018518518521E-2</v>
      </c>
      <c r="D1789" s="4">
        <f>1793/(60*60*24)</f>
        <v>2.0752314814814814E-2</v>
      </c>
      <c r="E1789" s="5">
        <f>4133/(60*60*24)</f>
        <v>4.7835648148148148E-2</v>
      </c>
      <c r="F1789" s="6">
        <f>12873/(60*60*24)</f>
        <v>0.14899305555555556</v>
      </c>
      <c r="G1789" s="7" t="s">
        <v>9</v>
      </c>
    </row>
    <row r="1790" spans="1:7" x14ac:dyDescent="0.45">
      <c r="A1790" t="s">
        <v>1885</v>
      </c>
      <c r="B1790" s="2" t="s">
        <v>66</v>
      </c>
      <c r="C1790" s="3">
        <f>2828/(60*60*24)</f>
        <v>3.2731481481481479E-2</v>
      </c>
      <c r="D1790" s="4">
        <f>1701/(60*60*24)</f>
        <v>1.96875E-2</v>
      </c>
      <c r="E1790" s="5">
        <f>3983/(60*60*24)</f>
        <v>4.6099537037037036E-2</v>
      </c>
      <c r="F1790" s="6">
        <f>12256/(60*60*24)</f>
        <v>0.14185185185185184</v>
      </c>
      <c r="G1790" s="7" t="s">
        <v>9</v>
      </c>
    </row>
    <row r="1791" spans="1:7" x14ac:dyDescent="0.45">
      <c r="A1791" t="s">
        <v>1886</v>
      </c>
      <c r="B1791" s="2" t="s">
        <v>68</v>
      </c>
      <c r="C1791" s="3">
        <f>2736/(60*60*24)</f>
        <v>3.1666666666666669E-2</v>
      </c>
      <c r="D1791" s="4">
        <f>1638/(60*60*24)</f>
        <v>1.8958333333333334E-2</v>
      </c>
      <c r="E1791" s="5">
        <f>3669/(60*60*24)</f>
        <v>4.2465277777777775E-2</v>
      </c>
      <c r="F1791" s="6">
        <f>11577/(60*60*24)</f>
        <v>0.13399305555555555</v>
      </c>
      <c r="G1791" s="7" t="s">
        <v>9</v>
      </c>
    </row>
    <row r="1792" spans="1:7" x14ac:dyDescent="0.45">
      <c r="A1792" t="s">
        <v>1887</v>
      </c>
      <c r="B1792" s="2" t="s">
        <v>70</v>
      </c>
      <c r="C1792" s="3">
        <f>2337/(60*60*24)</f>
        <v>2.704861111111111E-2</v>
      </c>
      <c r="D1792" s="4">
        <f>1338/(60*60*24)</f>
        <v>1.5486111111111112E-2</v>
      </c>
      <c r="E1792" s="5">
        <f>3479/(60*60*24)</f>
        <v>4.0266203703703707E-2</v>
      </c>
      <c r="F1792" s="6">
        <f>10914/(60*60*24)</f>
        <v>0.12631944444444446</v>
      </c>
      <c r="G1792" s="7" t="s">
        <v>9</v>
      </c>
    </row>
    <row r="1793" spans="1:7" x14ac:dyDescent="0.45">
      <c r="A1793" t="s">
        <v>1888</v>
      </c>
      <c r="B1793" s="2" t="s">
        <v>72</v>
      </c>
      <c r="C1793" s="3">
        <f>2389/(60*60*24)</f>
        <v>2.7650462962962963E-2</v>
      </c>
      <c r="D1793" s="4">
        <f>1268/(60*60*24)</f>
        <v>1.4675925925925926E-2</v>
      </c>
      <c r="E1793" s="5">
        <f>3272/(60*60*24)</f>
        <v>3.7870370370370374E-2</v>
      </c>
      <c r="F1793" s="6">
        <f>10248/(60*60*24)</f>
        <v>0.11861111111111111</v>
      </c>
      <c r="G1793" s="7" t="s">
        <v>9</v>
      </c>
    </row>
    <row r="1794" spans="1:7" x14ac:dyDescent="0.45">
      <c r="A1794" t="s">
        <v>1889</v>
      </c>
      <c r="B1794" s="2" t="s">
        <v>74</v>
      </c>
      <c r="C1794" s="3">
        <f>2328/(60*60*24)</f>
        <v>2.6944444444444444E-2</v>
      </c>
      <c r="D1794" s="4">
        <f>1132/(60*60*24)</f>
        <v>1.3101851851851852E-2</v>
      </c>
      <c r="E1794" s="5">
        <f>3120/(60*60*24)</f>
        <v>3.6111111111111108E-2</v>
      </c>
      <c r="F1794" s="6">
        <f>9687/(60*60*24)</f>
        <v>0.11211805555555555</v>
      </c>
      <c r="G1794" s="7" t="s">
        <v>9</v>
      </c>
    </row>
    <row r="1795" spans="1:7" x14ac:dyDescent="0.45">
      <c r="A1795" t="s">
        <v>1890</v>
      </c>
      <c r="B1795" s="2" t="s">
        <v>76</v>
      </c>
      <c r="C1795" s="3">
        <f>1922/(60*60*24)</f>
        <v>2.224537037037037E-2</v>
      </c>
      <c r="D1795" s="4">
        <f>1256/(60*60*24)</f>
        <v>1.4537037037037038E-2</v>
      </c>
      <c r="E1795" s="5">
        <f>2911/(60*60*24)</f>
        <v>3.3692129629629627E-2</v>
      </c>
      <c r="F1795" s="6">
        <f>9233/(60*60*24)</f>
        <v>0.10686342592592593</v>
      </c>
      <c r="G1795" s="7" t="s">
        <v>9</v>
      </c>
    </row>
    <row r="1796" spans="1:7" x14ac:dyDescent="0.45">
      <c r="A1796" t="s">
        <v>1891</v>
      </c>
      <c r="B1796" s="2" t="s">
        <v>78</v>
      </c>
      <c r="C1796" s="3">
        <f>1995/(60*60*24)</f>
        <v>2.3090277777777779E-2</v>
      </c>
      <c r="D1796" s="4">
        <f>1106/(60*60*24)</f>
        <v>1.2800925925925926E-2</v>
      </c>
      <c r="E1796" s="5">
        <f>2574/(60*60*24)</f>
        <v>2.9791666666666668E-2</v>
      </c>
      <c r="F1796" s="6">
        <f>8563/(60*60*24)</f>
        <v>9.9108796296296292E-2</v>
      </c>
      <c r="G1796" s="7" t="s">
        <v>9</v>
      </c>
    </row>
    <row r="1797" spans="1:7" x14ac:dyDescent="0.45">
      <c r="A1797" t="s">
        <v>1892</v>
      </c>
      <c r="B1797" s="2" t="s">
        <v>80</v>
      </c>
      <c r="C1797" s="3">
        <f>1966/(60*60*24)</f>
        <v>2.2754629629629628E-2</v>
      </c>
      <c r="D1797" s="4">
        <f>1055/(60*60*24)</f>
        <v>1.2210648148148148E-2</v>
      </c>
      <c r="E1797" s="5">
        <f>2508/(60*60*24)</f>
        <v>2.9027777777777777E-2</v>
      </c>
      <c r="F1797" s="6">
        <f>8285/(60*60*24)</f>
        <v>9.5891203703703701E-2</v>
      </c>
      <c r="G1797" s="7" t="s">
        <v>9</v>
      </c>
    </row>
    <row r="1798" spans="1:7" x14ac:dyDescent="0.45">
      <c r="A1798" t="s">
        <v>1893</v>
      </c>
      <c r="B1798" s="2" t="s">
        <v>84</v>
      </c>
      <c r="C1798" s="5">
        <f>2531/(60*60*24)</f>
        <v>2.929398148148148E-2</v>
      </c>
      <c r="D1798" s="4">
        <f>1112/(60*60*24)</f>
        <v>1.2870370370370371E-2</v>
      </c>
      <c r="E1798" s="3">
        <f>2315/(60*60*24)</f>
        <v>2.6793981481481481E-2</v>
      </c>
      <c r="F1798" s="6">
        <f>7506/(60*60*24)</f>
        <v>8.6874999999999994E-2</v>
      </c>
      <c r="G1798" s="7" t="s">
        <v>9</v>
      </c>
    </row>
    <row r="1799" spans="1:7" x14ac:dyDescent="0.45">
      <c r="A1799" t="s">
        <v>1894</v>
      </c>
      <c r="B1799" s="2" t="s">
        <v>82</v>
      </c>
      <c r="C1799" s="5">
        <f>2639/(60*60*24)</f>
        <v>3.0543981481481481E-2</v>
      </c>
      <c r="D1799" s="4">
        <f>956/(60*60*24)</f>
        <v>1.1064814814814816E-2</v>
      </c>
      <c r="E1799" s="3">
        <f>2023/(60*60*24)</f>
        <v>2.3414351851851853E-2</v>
      </c>
      <c r="F1799" s="6">
        <f>6948/(60*60*24)</f>
        <v>8.0416666666666664E-2</v>
      </c>
      <c r="G1799" s="7" t="s">
        <v>9</v>
      </c>
    </row>
    <row r="1800" spans="1:7" x14ac:dyDescent="0.45">
      <c r="A1800" t="s">
        <v>1895</v>
      </c>
      <c r="B1800" s="2" t="s">
        <v>88</v>
      </c>
      <c r="C1800" s="5">
        <f>2467/(60*60*24)</f>
        <v>2.855324074074074E-2</v>
      </c>
      <c r="D1800" s="4">
        <f>982/(60*60*24)</f>
        <v>1.136574074074074E-2</v>
      </c>
      <c r="E1800" s="3">
        <f>1804/(60*60*24)</f>
        <v>2.087962962962963E-2</v>
      </c>
      <c r="F1800" s="6">
        <f>6568/(60*60*24)</f>
        <v>7.6018518518518513E-2</v>
      </c>
      <c r="G1800" s="7" t="s">
        <v>9</v>
      </c>
    </row>
    <row r="1801" spans="1:7" x14ac:dyDescent="0.45">
      <c r="A1801" t="s">
        <v>1896</v>
      </c>
      <c r="B1801" s="2" t="s">
        <v>86</v>
      </c>
      <c r="C1801" s="5">
        <f>2220/(60*60*24)</f>
        <v>2.5694444444444443E-2</v>
      </c>
      <c r="D1801" s="4">
        <f>944/(60*60*24)</f>
        <v>1.0925925925925926E-2</v>
      </c>
      <c r="E1801" s="3">
        <f>1713/(60*60*24)</f>
        <v>1.982638888888889E-2</v>
      </c>
      <c r="F1801" s="6">
        <f>5841/(60*60*24)</f>
        <v>6.7604166666666674E-2</v>
      </c>
      <c r="G1801" s="7" t="s">
        <v>9</v>
      </c>
    </row>
    <row r="1802" spans="1:7" x14ac:dyDescent="0.45">
      <c r="A1802" t="s">
        <v>1897</v>
      </c>
      <c r="B1802" s="2" t="s">
        <v>90</v>
      </c>
      <c r="C1802" s="5">
        <f>2398/(60*60*24)</f>
        <v>2.7754629629629629E-2</v>
      </c>
      <c r="D1802" s="4">
        <f>949/(60*60*24)</f>
        <v>1.0983796296296297E-2</v>
      </c>
      <c r="E1802" s="3">
        <f>1480/(60*60*24)</f>
        <v>1.712962962962963E-2</v>
      </c>
      <c r="F1802" s="6">
        <f>5233/(60*60*24)</f>
        <v>6.056712962962963E-2</v>
      </c>
      <c r="G1802" s="7" t="s">
        <v>9</v>
      </c>
    </row>
    <row r="1803" spans="1:7" x14ac:dyDescent="0.45">
      <c r="A1803" t="s">
        <v>1898</v>
      </c>
      <c r="B1803" s="2" t="s">
        <v>92</v>
      </c>
      <c r="C1803" s="5">
        <f>2544/(60*60*24)</f>
        <v>2.9444444444444443E-2</v>
      </c>
      <c r="D1803" s="4">
        <f>854/(60*60*24)</f>
        <v>9.8842592592592593E-3</v>
      </c>
      <c r="E1803" s="3">
        <f>1332/(60*60*24)</f>
        <v>1.5416666666666667E-2</v>
      </c>
      <c r="F1803" s="6">
        <f>4795/(60*60*24)</f>
        <v>5.5497685185185185E-2</v>
      </c>
      <c r="G1803" s="7" t="s">
        <v>9</v>
      </c>
    </row>
    <row r="1804" spans="1:7" x14ac:dyDescent="0.45">
      <c r="A1804" t="s">
        <v>1899</v>
      </c>
      <c r="B1804" s="2" t="s">
        <v>94</v>
      </c>
      <c r="C1804" s="5">
        <f>2975/(60*60*24)</f>
        <v>3.4432870370370371E-2</v>
      </c>
      <c r="D1804" s="4">
        <f>916/(60*60*24)</f>
        <v>1.0601851851851852E-2</v>
      </c>
      <c r="E1804" s="3">
        <f>1444/(60*60*24)</f>
        <v>1.6712962962962964E-2</v>
      </c>
      <c r="F1804" s="6">
        <f>5008/(60*60*24)</f>
        <v>5.7962962962962966E-2</v>
      </c>
      <c r="G1804" s="7" t="s">
        <v>9</v>
      </c>
    </row>
    <row r="1805" spans="1:7" x14ac:dyDescent="0.45">
      <c r="A1805" t="s">
        <v>1900</v>
      </c>
      <c r="B1805" s="2" t="s">
        <v>96</v>
      </c>
      <c r="C1805" s="5">
        <f>2709/(60*60*24)</f>
        <v>3.1354166666666669E-2</v>
      </c>
      <c r="D1805" s="4">
        <f>760/(60*60*24)</f>
        <v>8.7962962962962968E-3</v>
      </c>
      <c r="E1805" s="3">
        <f>1289/(60*60*24)</f>
        <v>1.4918981481481481E-2</v>
      </c>
      <c r="F1805" s="6">
        <f>4568/(60*60*24)</f>
        <v>5.2870370370370373E-2</v>
      </c>
      <c r="G1805" s="7" t="s">
        <v>9</v>
      </c>
    </row>
    <row r="1806" spans="1:7" x14ac:dyDescent="0.45">
      <c r="A1806" t="s">
        <v>1901</v>
      </c>
      <c r="B1806" s="2" t="s">
        <v>98</v>
      </c>
      <c r="C1806" s="5">
        <f>2491/(60*60*24)</f>
        <v>2.883101851851852E-2</v>
      </c>
      <c r="D1806" s="4">
        <f>747/(60*60*24)</f>
        <v>8.6458333333333335E-3</v>
      </c>
      <c r="E1806" s="3">
        <f>1256/(60*60*24)</f>
        <v>1.4537037037037038E-2</v>
      </c>
      <c r="F1806" s="6">
        <f>4619/(60*60*24)</f>
        <v>5.3460648148148146E-2</v>
      </c>
      <c r="G1806" s="7" t="s">
        <v>9</v>
      </c>
    </row>
    <row r="1807" spans="1:7" x14ac:dyDescent="0.45">
      <c r="A1807" t="s">
        <v>1902</v>
      </c>
      <c r="B1807" s="2" t="s">
        <v>100</v>
      </c>
      <c r="C1807" s="8" t="s">
        <v>12</v>
      </c>
      <c r="D1807" s="4">
        <f>697/(60*60*24)</f>
        <v>8.067129629629629E-3</v>
      </c>
      <c r="E1807" s="3">
        <f>1092/(60*60*24)</f>
        <v>1.2638888888888889E-2</v>
      </c>
      <c r="F1807" s="5">
        <f>4083/(60*60*24)</f>
        <v>4.7256944444444442E-2</v>
      </c>
      <c r="G1807" s="7" t="s">
        <v>9</v>
      </c>
    </row>
    <row r="1808" spans="1:7" x14ac:dyDescent="0.45">
      <c r="A1808" t="s">
        <v>1903</v>
      </c>
      <c r="B1808" s="2" t="s">
        <v>104</v>
      </c>
      <c r="C1808" s="5">
        <f>2082/(60*60*24)</f>
        <v>2.4097222222222221E-2</v>
      </c>
      <c r="D1808" s="4">
        <f>665/(60*60*24)</f>
        <v>7.6967592592592591E-3</v>
      </c>
      <c r="E1808" s="3">
        <f>1016/(60*60*24)</f>
        <v>1.1759259259259259E-2</v>
      </c>
      <c r="F1808" s="6">
        <f>3556/(60*60*24)</f>
        <v>4.1157407407407406E-2</v>
      </c>
      <c r="G1808" s="7" t="s">
        <v>9</v>
      </c>
    </row>
    <row r="1809" spans="1:7" x14ac:dyDescent="0.45">
      <c r="A1809" t="s">
        <v>1904</v>
      </c>
      <c r="B1809" s="2" t="s">
        <v>102</v>
      </c>
      <c r="C1809" s="8" t="s">
        <v>12</v>
      </c>
      <c r="D1809" s="4">
        <f>758/(60*60*24)</f>
        <v>8.773148148148148E-3</v>
      </c>
      <c r="E1809" s="3">
        <f>1306/(60*60*24)</f>
        <v>1.511574074074074E-2</v>
      </c>
      <c r="F1809" s="5">
        <f>4218/(60*60*24)</f>
        <v>4.8819444444444443E-2</v>
      </c>
      <c r="G1809" s="7" t="s">
        <v>9</v>
      </c>
    </row>
    <row r="1810" spans="1:7" x14ac:dyDescent="0.45">
      <c r="A1810" t="s">
        <v>1905</v>
      </c>
      <c r="B1810" s="2" t="s">
        <v>106</v>
      </c>
      <c r="C1810" s="5">
        <f>2859/(60*60*24)</f>
        <v>3.3090277777777781E-2</v>
      </c>
      <c r="D1810" s="4">
        <f>807/(60*60*24)</f>
        <v>9.3402777777777772E-3</v>
      </c>
      <c r="E1810" s="3">
        <f>1211/(60*60*24)</f>
        <v>1.4016203703703704E-2</v>
      </c>
      <c r="F1810" s="6">
        <f>4157/(60*60*24)</f>
        <v>4.8113425925925928E-2</v>
      </c>
      <c r="G1810" s="7" t="s">
        <v>9</v>
      </c>
    </row>
    <row r="1811" spans="1:7" x14ac:dyDescent="0.45">
      <c r="A1811" t="s">
        <v>1906</v>
      </c>
      <c r="B1811" s="2" t="s">
        <v>108</v>
      </c>
      <c r="C1811" s="8" t="s">
        <v>12</v>
      </c>
      <c r="D1811" s="4">
        <f>968/(60*60*24)</f>
        <v>1.1203703703703704E-2</v>
      </c>
      <c r="E1811" s="3">
        <f>1503/(60*60*24)</f>
        <v>1.7395833333333333E-2</v>
      </c>
      <c r="F1811" s="5">
        <f>4656/(60*60*24)</f>
        <v>5.3888888888888889E-2</v>
      </c>
      <c r="G1811" s="7" t="s">
        <v>9</v>
      </c>
    </row>
    <row r="1812" spans="1:7" x14ac:dyDescent="0.45">
      <c r="A1812" t="s">
        <v>1907</v>
      </c>
      <c r="B1812" s="2" t="s">
        <v>112</v>
      </c>
      <c r="C1812" s="5">
        <f>4041/(60*60*24)</f>
        <v>4.6770833333333331E-2</v>
      </c>
      <c r="D1812" s="4">
        <f>1013/(60*60*24)</f>
        <v>1.1724537037037037E-2</v>
      </c>
      <c r="E1812" s="3">
        <f>1903/(60*60*24)</f>
        <v>2.2025462962962962E-2</v>
      </c>
      <c r="F1812" s="6">
        <f>5869/(60*60*24)</f>
        <v>6.7928240740740747E-2</v>
      </c>
      <c r="G1812" s="7" t="s">
        <v>9</v>
      </c>
    </row>
    <row r="1813" spans="1:7" x14ac:dyDescent="0.45">
      <c r="A1813" t="s">
        <v>1908</v>
      </c>
      <c r="B1813" s="2" t="s">
        <v>110</v>
      </c>
      <c r="C1813" s="8" t="s">
        <v>12</v>
      </c>
      <c r="D1813" s="4">
        <f>1109/(60*60*24)</f>
        <v>1.2835648148148148E-2</v>
      </c>
      <c r="E1813" s="3">
        <f>1602/(60*60*24)</f>
        <v>1.8541666666666668E-2</v>
      </c>
      <c r="F1813" s="5">
        <f>5107/(60*60*24)</f>
        <v>5.9108796296296298E-2</v>
      </c>
      <c r="G1813" s="7" t="s">
        <v>9</v>
      </c>
    </row>
    <row r="1814" spans="1:7" x14ac:dyDescent="0.45">
      <c r="A1814" t="s">
        <v>1909</v>
      </c>
      <c r="B1814" s="2" t="s">
        <v>114</v>
      </c>
      <c r="C1814" s="5">
        <f>3530/(60*60*24)</f>
        <v>4.085648148148148E-2</v>
      </c>
      <c r="D1814" s="4">
        <f>985/(60*60*24)</f>
        <v>1.1400462962962963E-2</v>
      </c>
      <c r="E1814" s="3">
        <f>1907/(60*60*24)</f>
        <v>2.207175925925926E-2</v>
      </c>
      <c r="F1814" s="6">
        <f>6486/(60*60*24)</f>
        <v>7.5069444444444439E-2</v>
      </c>
      <c r="G1814" s="7" t="s">
        <v>9</v>
      </c>
    </row>
    <row r="1815" spans="1:7" x14ac:dyDescent="0.45">
      <c r="A1815" t="s">
        <v>1910</v>
      </c>
      <c r="B1815" s="2" t="s">
        <v>116</v>
      </c>
      <c r="C1815" s="5">
        <f>3668/(60*60*24)</f>
        <v>4.2453703703703702E-2</v>
      </c>
      <c r="D1815" s="4">
        <f>1151/(60*60*24)</f>
        <v>1.3321759259259259E-2</v>
      </c>
      <c r="E1815" s="3">
        <f>2373/(60*60*24)</f>
        <v>2.7465277777777779E-2</v>
      </c>
      <c r="F1815" s="6">
        <f>7381/(60*60*24)</f>
        <v>8.5428240740740735E-2</v>
      </c>
      <c r="G1815" s="7" t="s">
        <v>9</v>
      </c>
    </row>
    <row r="1816" spans="1:7" x14ac:dyDescent="0.45">
      <c r="A1816" t="s">
        <v>1911</v>
      </c>
      <c r="B1816" s="2" t="s">
        <v>118</v>
      </c>
      <c r="C1816" s="8" t="s">
        <v>12</v>
      </c>
      <c r="D1816" s="4">
        <f>1217/(60*60*24)</f>
        <v>1.4085648148148147E-2</v>
      </c>
      <c r="E1816" s="3">
        <f>2460/(60*60*24)</f>
        <v>2.8472222222222222E-2</v>
      </c>
      <c r="F1816" s="5">
        <f>8034/(60*60*24)</f>
        <v>9.2986111111111117E-2</v>
      </c>
      <c r="G1816" s="7" t="s">
        <v>9</v>
      </c>
    </row>
    <row r="1817" spans="1:7" x14ac:dyDescent="0.45">
      <c r="A1817" t="s">
        <v>1912</v>
      </c>
      <c r="B1817" s="2" t="s">
        <v>120</v>
      </c>
      <c r="C1817" s="8" t="s">
        <v>12</v>
      </c>
      <c r="D1817" s="4">
        <f>1333/(60*60*24)</f>
        <v>1.5428240740740741E-2</v>
      </c>
      <c r="E1817" s="3">
        <f>2517/(60*60*24)</f>
        <v>2.9131944444444443E-2</v>
      </c>
      <c r="F1817" s="5">
        <f>8679/(60*60*24)</f>
        <v>0.1004513888888889</v>
      </c>
      <c r="G1817" s="7" t="s">
        <v>9</v>
      </c>
    </row>
    <row r="1818" spans="1:7" x14ac:dyDescent="0.45">
      <c r="A1818" t="s">
        <v>1913</v>
      </c>
      <c r="B1818" s="2" t="s">
        <v>124</v>
      </c>
      <c r="C1818" s="8" t="s">
        <v>12</v>
      </c>
      <c r="D1818" s="4">
        <f>1404/(60*60*24)</f>
        <v>1.6250000000000001E-2</v>
      </c>
      <c r="E1818" s="3">
        <f>2527/(60*60*24)</f>
        <v>2.9247685185185186E-2</v>
      </c>
      <c r="F1818" s="5">
        <f>9128/(60*60*24)</f>
        <v>0.10564814814814814</v>
      </c>
      <c r="G1818" s="7" t="s">
        <v>9</v>
      </c>
    </row>
    <row r="1819" spans="1:7" x14ac:dyDescent="0.45">
      <c r="A1819" t="s">
        <v>1914</v>
      </c>
      <c r="B1819" s="2" t="s">
        <v>122</v>
      </c>
      <c r="C1819" s="8" t="s">
        <v>12</v>
      </c>
      <c r="D1819" s="4">
        <f>1494/(60*60*24)</f>
        <v>1.7291666666666667E-2</v>
      </c>
      <c r="E1819" s="3">
        <f>2704/(60*60*24)</f>
        <v>3.1296296296296294E-2</v>
      </c>
      <c r="F1819" s="5">
        <f>9917/(60*60*24)</f>
        <v>0.11478009259259259</v>
      </c>
      <c r="G1819" s="7" t="s">
        <v>9</v>
      </c>
    </row>
    <row r="1820" spans="1:7" x14ac:dyDescent="0.45">
      <c r="A1820" t="s">
        <v>1915</v>
      </c>
      <c r="B1820" s="2" t="s">
        <v>126</v>
      </c>
      <c r="C1820" s="8" t="s">
        <v>12</v>
      </c>
      <c r="D1820" s="4">
        <f>1541/(60*60*24)</f>
        <v>1.7835648148148149E-2</v>
      </c>
      <c r="E1820" s="3">
        <f>2965/(60*60*24)</f>
        <v>3.4317129629629628E-2</v>
      </c>
      <c r="F1820" s="5">
        <f>10311/(60*60*24)</f>
        <v>0.11934027777777778</v>
      </c>
      <c r="G1820" s="7" t="s">
        <v>9</v>
      </c>
    </row>
    <row r="1821" spans="1:7" x14ac:dyDescent="0.45">
      <c r="A1821" t="s">
        <v>1916</v>
      </c>
      <c r="B1821" s="2" t="s">
        <v>128</v>
      </c>
      <c r="C1821" s="8" t="s">
        <v>12</v>
      </c>
      <c r="D1821" s="4">
        <f>1239/(60*60*24)</f>
        <v>1.4340277777777778E-2</v>
      </c>
      <c r="E1821" s="3">
        <f>3048/(60*60*24)</f>
        <v>3.5277777777777776E-2</v>
      </c>
      <c r="F1821" s="5">
        <f>10808/(60*60*24)</f>
        <v>0.12509259259259259</v>
      </c>
      <c r="G1821" s="7" t="s">
        <v>9</v>
      </c>
    </row>
    <row r="1822" spans="1:7" x14ac:dyDescent="0.45">
      <c r="A1822" t="s">
        <v>1917</v>
      </c>
      <c r="B1822" s="2" t="s">
        <v>132</v>
      </c>
      <c r="C1822" s="5">
        <f>3565/(60*60*24)</f>
        <v>4.1261574074074076E-2</v>
      </c>
      <c r="D1822" s="4">
        <f>1279/(60*60*24)</f>
        <v>1.480324074074074E-2</v>
      </c>
      <c r="E1822" s="3">
        <f>3441/(60*60*24)</f>
        <v>3.982638888888889E-2</v>
      </c>
      <c r="F1822" s="6">
        <f>12612/(60*60*24)</f>
        <v>0.14597222222222223</v>
      </c>
      <c r="G1822" s="7" t="s">
        <v>9</v>
      </c>
    </row>
    <row r="1823" spans="1:7" x14ac:dyDescent="0.45">
      <c r="A1823" t="s">
        <v>1918</v>
      </c>
      <c r="B1823" s="2" t="s">
        <v>130</v>
      </c>
      <c r="C1823" s="8" t="s">
        <v>12</v>
      </c>
      <c r="D1823" s="4">
        <f>1256/(60*60*24)</f>
        <v>1.4537037037037038E-2</v>
      </c>
      <c r="E1823" s="3">
        <f>3461/(60*60*24)</f>
        <v>4.0057870370370369E-2</v>
      </c>
      <c r="F1823" s="5">
        <f>11645/(60*60*24)</f>
        <v>0.1347800925925926</v>
      </c>
      <c r="G1823" s="7" t="s">
        <v>9</v>
      </c>
    </row>
    <row r="1824" spans="1:7" x14ac:dyDescent="0.45">
      <c r="A1824" t="s">
        <v>1919</v>
      </c>
      <c r="B1824" s="2" t="s">
        <v>136</v>
      </c>
      <c r="C1824" s="5">
        <f>6330/(60*60*24)</f>
        <v>7.3263888888888892E-2</v>
      </c>
      <c r="D1824" s="4">
        <f>1299/(60*60*24)</f>
        <v>1.5034722222222222E-2</v>
      </c>
      <c r="E1824" s="3">
        <f>3710/(60*60*24)</f>
        <v>4.2939814814814813E-2</v>
      </c>
      <c r="F1824" s="6">
        <f>13257/(60*60*24)</f>
        <v>0.1534375</v>
      </c>
      <c r="G1824" s="7" t="s">
        <v>9</v>
      </c>
    </row>
    <row r="1825" spans="1:7" x14ac:dyDescent="0.45">
      <c r="A1825" t="s">
        <v>1920</v>
      </c>
      <c r="B1825" s="2" t="s">
        <v>134</v>
      </c>
      <c r="C1825" s="8" t="s">
        <v>12</v>
      </c>
      <c r="D1825" s="4">
        <f>1662/(60*60*24)</f>
        <v>1.923611111111111E-2</v>
      </c>
      <c r="E1825" s="3">
        <f>4005/(60*60*24)</f>
        <v>4.6354166666666669E-2</v>
      </c>
      <c r="F1825" s="5">
        <f>13965/(60*60*24)</f>
        <v>0.16163194444444445</v>
      </c>
      <c r="G1825" s="7" t="s">
        <v>9</v>
      </c>
    </row>
    <row r="1826" spans="1:7" x14ac:dyDescent="0.45">
      <c r="A1826" t="s">
        <v>1921</v>
      </c>
      <c r="B1826" s="2" t="s">
        <v>138</v>
      </c>
      <c r="C1826" s="5">
        <f>6939/(60*60*24)</f>
        <v>8.0312499999999995E-2</v>
      </c>
      <c r="D1826" s="4">
        <f>1662/(60*60*24)</f>
        <v>1.923611111111111E-2</v>
      </c>
      <c r="E1826" s="3">
        <f>4087/(60*60*24)</f>
        <v>4.7303240740740743E-2</v>
      </c>
      <c r="F1826" s="6">
        <f>14655/(60*60*24)</f>
        <v>0.16961805555555556</v>
      </c>
      <c r="G1826" s="7" t="s">
        <v>9</v>
      </c>
    </row>
    <row r="1827" spans="1:7" x14ac:dyDescent="0.45">
      <c r="A1827" t="s">
        <v>1922</v>
      </c>
      <c r="B1827" s="2" t="s">
        <v>140</v>
      </c>
      <c r="C1827" s="5">
        <f>6709/(60*60*24)</f>
        <v>7.7650462962962963E-2</v>
      </c>
      <c r="D1827" s="4">
        <f>1695/(60*60*24)</f>
        <v>1.9618055555555555E-2</v>
      </c>
      <c r="E1827" s="3">
        <f>4195/(60*60*24)</f>
        <v>4.8553240740740744E-2</v>
      </c>
      <c r="F1827" s="6">
        <f>15134/(60*60*24)</f>
        <v>0.17516203703703703</v>
      </c>
      <c r="G1827" s="7" t="s">
        <v>9</v>
      </c>
    </row>
    <row r="1828" spans="1:7" x14ac:dyDescent="0.45">
      <c r="A1828" t="s">
        <v>1923</v>
      </c>
      <c r="B1828" s="2" t="s">
        <v>142</v>
      </c>
      <c r="C1828" s="8" t="s">
        <v>12</v>
      </c>
      <c r="D1828" s="4">
        <f>1867/(60*60*24)</f>
        <v>2.1608796296296296E-2</v>
      </c>
      <c r="E1828" s="3">
        <f>4356/(60*60*24)</f>
        <v>5.0416666666666665E-2</v>
      </c>
      <c r="F1828" s="5">
        <f>15911/(60*60*24)</f>
        <v>0.18415509259259261</v>
      </c>
      <c r="G1828" s="7" t="s">
        <v>9</v>
      </c>
    </row>
    <row r="1829" spans="1:7" x14ac:dyDescent="0.45">
      <c r="A1829" t="s">
        <v>1924</v>
      </c>
      <c r="B1829" s="2" t="s">
        <v>144</v>
      </c>
      <c r="C1829" s="8" t="s">
        <v>12</v>
      </c>
      <c r="D1829" s="4">
        <f>1982/(60*60*24)</f>
        <v>2.2939814814814816E-2</v>
      </c>
      <c r="E1829" s="3">
        <f>5157/(60*60*24)</f>
        <v>5.9687499999999998E-2</v>
      </c>
      <c r="F1829" s="5">
        <f>16584/(60*60*24)</f>
        <v>0.19194444444444445</v>
      </c>
      <c r="G1829" s="7" t="s">
        <v>9</v>
      </c>
    </row>
    <row r="1830" spans="1:7" x14ac:dyDescent="0.45">
      <c r="A1830" t="s">
        <v>1925</v>
      </c>
      <c r="B1830" s="2" t="s">
        <v>146</v>
      </c>
      <c r="C1830" s="8" t="s">
        <v>12</v>
      </c>
      <c r="D1830" s="4">
        <f>1916/(60*60*24)</f>
        <v>2.2175925925925925E-2</v>
      </c>
      <c r="E1830" s="3">
        <f>5060/(60*60*24)</f>
        <v>5.8564814814814813E-2</v>
      </c>
      <c r="F1830" s="5">
        <f>17323/(60*60*24)</f>
        <v>0.20049768518518518</v>
      </c>
      <c r="G1830" s="7" t="s">
        <v>9</v>
      </c>
    </row>
    <row r="1831" spans="1:7" x14ac:dyDescent="0.45">
      <c r="A1831" t="s">
        <v>1926</v>
      </c>
      <c r="B1831" s="2" t="s">
        <v>148</v>
      </c>
      <c r="C1831" s="8" t="s">
        <v>12</v>
      </c>
      <c r="D1831" s="4">
        <f>1909/(60*60*24)</f>
        <v>2.2094907407407407E-2</v>
      </c>
      <c r="E1831" s="3">
        <f>5149/(60*60*24)</f>
        <v>5.9594907407407409E-2</v>
      </c>
      <c r="F1831" s="5">
        <f>18507/(60*60*24)</f>
        <v>0.2142013888888889</v>
      </c>
      <c r="G1831" s="7" t="s">
        <v>9</v>
      </c>
    </row>
    <row r="1832" spans="1:7" x14ac:dyDescent="0.45">
      <c r="A1832" t="s">
        <v>1927</v>
      </c>
      <c r="B1832" s="2" t="s">
        <v>150</v>
      </c>
      <c r="C1832" s="5">
        <f>6349/(60*60*24)</f>
        <v>7.3483796296296297E-2</v>
      </c>
      <c r="D1832" s="4">
        <f>1888/(60*60*24)</f>
        <v>2.1851851851851851E-2</v>
      </c>
      <c r="E1832" s="3">
        <f>5165/(60*60*24)</f>
        <v>5.9780092592592593E-2</v>
      </c>
      <c r="F1832" s="6">
        <f>19285/(60*60*24)</f>
        <v>0.22320601851851851</v>
      </c>
      <c r="G1832" s="7" t="s">
        <v>9</v>
      </c>
    </row>
    <row r="1833" spans="1:7" x14ac:dyDescent="0.45">
      <c r="A1833" t="s">
        <v>1928</v>
      </c>
      <c r="B1833" s="2" t="s">
        <v>152</v>
      </c>
      <c r="C1833" s="5">
        <f>5959/(60*60*24)</f>
        <v>6.896990740740741E-2</v>
      </c>
      <c r="D1833" s="4">
        <f>1934/(60*60*24)</f>
        <v>2.238425925925926E-2</v>
      </c>
      <c r="E1833" s="3">
        <f>5398/(60*60*24)</f>
        <v>6.2476851851851853E-2</v>
      </c>
      <c r="F1833" s="6">
        <f>20284/(60*60*24)</f>
        <v>0.23476851851851852</v>
      </c>
      <c r="G1833" s="7" t="s">
        <v>9</v>
      </c>
    </row>
    <row r="1834" spans="1:7" x14ac:dyDescent="0.45">
      <c r="A1834" t="s">
        <v>1929</v>
      </c>
      <c r="B1834" s="2" t="s">
        <v>154</v>
      </c>
      <c r="C1834" s="8" t="s">
        <v>12</v>
      </c>
      <c r="D1834" s="4">
        <f>2008/(60*60*24)</f>
        <v>2.3240740740740742E-2</v>
      </c>
      <c r="E1834" s="3">
        <f>5576/(60*60*24)</f>
        <v>6.4537037037037032E-2</v>
      </c>
      <c r="F1834" s="5">
        <f>20973/(60*60*24)</f>
        <v>0.24274305555555556</v>
      </c>
      <c r="G1834" s="7" t="s">
        <v>9</v>
      </c>
    </row>
    <row r="1835" spans="1:7" x14ac:dyDescent="0.45">
      <c r="A1835" t="s">
        <v>1930</v>
      </c>
      <c r="B1835" s="2" t="s">
        <v>156</v>
      </c>
      <c r="C1835" s="8" t="s">
        <v>12</v>
      </c>
      <c r="D1835" s="4">
        <f>2088/(60*60*24)</f>
        <v>2.4166666666666666E-2</v>
      </c>
      <c r="E1835" s="3">
        <f>5805/(60*60*24)</f>
        <v>6.7187499999999997E-2</v>
      </c>
      <c r="F1835" s="5">
        <f>20934/(60*60*24)</f>
        <v>0.24229166666666666</v>
      </c>
      <c r="G1835" s="7" t="s">
        <v>9</v>
      </c>
    </row>
    <row r="1836" spans="1:7" x14ac:dyDescent="0.45">
      <c r="A1836" t="s">
        <v>1931</v>
      </c>
      <c r="B1836" s="2" t="s">
        <v>160</v>
      </c>
      <c r="C1836" s="8" t="s">
        <v>12</v>
      </c>
      <c r="D1836" s="4">
        <f>2097/(60*60*24)</f>
        <v>2.4270833333333332E-2</v>
      </c>
      <c r="E1836" s="3">
        <f>5936/(60*60*24)</f>
        <v>6.8703703703703697E-2</v>
      </c>
      <c r="F1836" s="5">
        <f>21836/(60*60*24)</f>
        <v>0.2527314814814815</v>
      </c>
      <c r="G1836" s="7" t="s">
        <v>9</v>
      </c>
    </row>
    <row r="1837" spans="1:7" x14ac:dyDescent="0.45">
      <c r="A1837" t="s">
        <v>1932</v>
      </c>
      <c r="B1837" s="2" t="s">
        <v>158</v>
      </c>
      <c r="C1837" s="8" t="s">
        <v>12</v>
      </c>
      <c r="D1837" s="4">
        <f>2528/(60*60*24)</f>
        <v>2.9259259259259259E-2</v>
      </c>
      <c r="E1837" s="3">
        <f>6219/(60*60*24)</f>
        <v>7.1979166666666664E-2</v>
      </c>
      <c r="F1837" s="5">
        <f>22807/(60*60*24)</f>
        <v>0.26396990740740739</v>
      </c>
      <c r="G1837" s="7" t="s">
        <v>9</v>
      </c>
    </row>
    <row r="1838" spans="1:7" x14ac:dyDescent="0.45">
      <c r="A1838" t="s">
        <v>1933</v>
      </c>
      <c r="B1838" s="2" t="s">
        <v>162</v>
      </c>
      <c r="C1838" s="5">
        <f>12832/(60*60*24)</f>
        <v>0.14851851851851852</v>
      </c>
      <c r="D1838" s="4">
        <f>2417/(60*60*24)</f>
        <v>2.7974537037037037E-2</v>
      </c>
      <c r="E1838" s="3">
        <f>6662/(60*60*24)</f>
        <v>7.7106481481481484E-2</v>
      </c>
      <c r="F1838" s="6">
        <f>23310/(60*60*24)</f>
        <v>0.26979166666666665</v>
      </c>
      <c r="G1838" s="7" t="s">
        <v>9</v>
      </c>
    </row>
    <row r="1839" spans="1:7" x14ac:dyDescent="0.45">
      <c r="A1839" t="s">
        <v>1934</v>
      </c>
      <c r="B1839" s="2" t="s">
        <v>164</v>
      </c>
      <c r="C1839" s="5">
        <f>12698/(60*60*24)</f>
        <v>0.14696759259259259</v>
      </c>
      <c r="D1839" s="4">
        <f>2341/(60*60*24)</f>
        <v>2.7094907407407408E-2</v>
      </c>
      <c r="E1839" s="3">
        <f>6962/(60*60*24)</f>
        <v>8.0578703703703708E-2</v>
      </c>
      <c r="F1839" s="6">
        <f>24173/(60*60*24)</f>
        <v>0.27978009259259257</v>
      </c>
      <c r="G1839" s="7" t="s">
        <v>9</v>
      </c>
    </row>
    <row r="1840" spans="1:7" x14ac:dyDescent="0.45">
      <c r="A1840" t="s">
        <v>1935</v>
      </c>
      <c r="B1840" s="2" t="s">
        <v>168</v>
      </c>
      <c r="C1840" s="8" t="s">
        <v>12</v>
      </c>
      <c r="D1840" s="4">
        <f>2388/(60*60*24)</f>
        <v>2.763888888888889E-2</v>
      </c>
      <c r="E1840" s="3">
        <f>7233/(60*60*24)</f>
        <v>8.3715277777777777E-2</v>
      </c>
      <c r="F1840" s="5">
        <f>25051/(60*60*24)</f>
        <v>0.28994212962962962</v>
      </c>
      <c r="G1840" s="7" t="s">
        <v>9</v>
      </c>
    </row>
    <row r="1841" spans="1:7" x14ac:dyDescent="0.45">
      <c r="A1841" t="s">
        <v>1936</v>
      </c>
      <c r="B1841" s="2" t="s">
        <v>166</v>
      </c>
      <c r="C1841" s="8" t="s">
        <v>12</v>
      </c>
      <c r="D1841" s="4">
        <f>2289/(60*60*24)</f>
        <v>2.6493055555555554E-2</v>
      </c>
      <c r="E1841" s="3">
        <f>7112/(60*60*24)</f>
        <v>8.2314814814814813E-2</v>
      </c>
      <c r="F1841" s="5">
        <f>25316/(60*60*24)</f>
        <v>0.29300925925925925</v>
      </c>
      <c r="G1841" s="7" t="s">
        <v>9</v>
      </c>
    </row>
    <row r="1842" spans="1:7" x14ac:dyDescent="0.45">
      <c r="A1842" t="s">
        <v>1937</v>
      </c>
      <c r="B1842" s="2" t="s">
        <v>170</v>
      </c>
      <c r="C1842" s="3">
        <f>6915/(60*60*24)</f>
        <v>8.0034722222222215E-2</v>
      </c>
      <c r="D1842" s="4">
        <f>2456/(60*60*24)</f>
        <v>2.8425925925925927E-2</v>
      </c>
      <c r="E1842" s="5">
        <f>7388/(60*60*24)</f>
        <v>8.5509259259259257E-2</v>
      </c>
      <c r="F1842" s="6">
        <f>26227/(60*60*24)</f>
        <v>0.30355324074074075</v>
      </c>
      <c r="G1842" s="7" t="s">
        <v>9</v>
      </c>
    </row>
    <row r="1843" spans="1:7" x14ac:dyDescent="0.45">
      <c r="A1843" t="s">
        <v>1938</v>
      </c>
      <c r="B1843" s="2" t="s">
        <v>172</v>
      </c>
      <c r="C1843" s="8" t="s">
        <v>12</v>
      </c>
      <c r="D1843" s="4">
        <f>2563/(60*60*24)</f>
        <v>2.9664351851851851E-2</v>
      </c>
      <c r="E1843" s="3">
        <f>7670/(60*60*24)</f>
        <v>8.8773148148148143E-2</v>
      </c>
      <c r="F1843" s="5">
        <f>26967/(60*60*24)</f>
        <v>0.31211805555555555</v>
      </c>
      <c r="G1843" s="7" t="s">
        <v>9</v>
      </c>
    </row>
    <row r="1844" spans="1:7" x14ac:dyDescent="0.45">
      <c r="A1844" t="s">
        <v>1939</v>
      </c>
      <c r="B1844" s="2" t="s">
        <v>176</v>
      </c>
      <c r="C1844" s="5">
        <f>10254/(60*60*24)</f>
        <v>0.11868055555555555</v>
      </c>
      <c r="D1844" s="4">
        <f>2640/(60*60*24)</f>
        <v>3.0555555555555555E-2</v>
      </c>
      <c r="E1844" s="3">
        <f>7849/(60*60*24)</f>
        <v>9.0844907407407402E-2</v>
      </c>
      <c r="F1844" s="6">
        <f>27552/(60*60*24)</f>
        <v>0.31888888888888889</v>
      </c>
      <c r="G1844" s="7" t="s">
        <v>9</v>
      </c>
    </row>
    <row r="1845" spans="1:7" x14ac:dyDescent="0.45">
      <c r="A1845" t="s">
        <v>1940</v>
      </c>
      <c r="B1845" s="2" t="s">
        <v>174</v>
      </c>
      <c r="C1845" s="5">
        <f>10479/(60*60*24)</f>
        <v>0.12128472222222222</v>
      </c>
      <c r="D1845" s="4">
        <f>2734/(60*60*24)</f>
        <v>3.1643518518518515E-2</v>
      </c>
      <c r="E1845" s="3">
        <f>8002/(60*60*24)</f>
        <v>9.2615740740740735E-2</v>
      </c>
      <c r="F1845" s="6">
        <f>28259/(60*60*24)</f>
        <v>0.32707175925925924</v>
      </c>
      <c r="G1845" s="7" t="s">
        <v>9</v>
      </c>
    </row>
    <row r="1846" spans="1:7" x14ac:dyDescent="0.45">
      <c r="A1846" t="s">
        <v>1941</v>
      </c>
      <c r="B1846" s="2" t="s">
        <v>180</v>
      </c>
      <c r="C1846" s="8" t="s">
        <v>12</v>
      </c>
      <c r="D1846" s="4">
        <f>2769/(60*60*24)</f>
        <v>3.2048611111111111E-2</v>
      </c>
      <c r="E1846" s="3">
        <f>8262/(60*60*24)</f>
        <v>9.5625000000000002E-2</v>
      </c>
      <c r="F1846" s="5">
        <f>29671/(60*60*24)</f>
        <v>0.34341435185185187</v>
      </c>
      <c r="G1846" s="7" t="s">
        <v>9</v>
      </c>
    </row>
    <row r="1847" spans="1:7" x14ac:dyDescent="0.45">
      <c r="A1847" t="s">
        <v>1942</v>
      </c>
      <c r="B1847" s="2" t="s">
        <v>178</v>
      </c>
      <c r="C1847" s="8" t="s">
        <v>12</v>
      </c>
      <c r="D1847" s="4">
        <f>2666/(60*60*24)</f>
        <v>3.0856481481481481E-2</v>
      </c>
      <c r="E1847" s="3">
        <f>8561/(60*60*24)</f>
        <v>9.9085648148148145E-2</v>
      </c>
      <c r="F1847" s="5">
        <f>29662/(60*60*24)</f>
        <v>0.34331018518518519</v>
      </c>
      <c r="G1847" s="7" t="s">
        <v>9</v>
      </c>
    </row>
    <row r="1848" spans="1:7" x14ac:dyDescent="0.45">
      <c r="A1848" t="s">
        <v>1943</v>
      </c>
      <c r="B1848" s="2" t="s">
        <v>182</v>
      </c>
      <c r="C1848" s="5">
        <f>9348/(60*60*24)</f>
        <v>0.10819444444444444</v>
      </c>
      <c r="D1848" s="4">
        <f>2757/(60*60*24)</f>
        <v>3.1909722222222221E-2</v>
      </c>
      <c r="E1848" s="3">
        <f>8726/(60*60*24)</f>
        <v>0.10099537037037037</v>
      </c>
      <c r="F1848" s="6">
        <f>30339/(60*60*24)</f>
        <v>0.35114583333333332</v>
      </c>
      <c r="G1848" s="7" t="s">
        <v>9</v>
      </c>
    </row>
    <row r="1849" spans="1:7" x14ac:dyDescent="0.45">
      <c r="A1849" t="s">
        <v>1944</v>
      </c>
      <c r="B1849" s="2" t="s">
        <v>184</v>
      </c>
      <c r="C1849" s="8" t="s">
        <v>12</v>
      </c>
      <c r="D1849" s="4">
        <f>2891/(60*60*24)</f>
        <v>3.3460648148148149E-2</v>
      </c>
      <c r="E1849" s="3">
        <f>9304/(60*60*24)</f>
        <v>0.10768518518518519</v>
      </c>
      <c r="F1849" s="5">
        <f>30928/(60*60*24)</f>
        <v>0.35796296296296298</v>
      </c>
      <c r="G1849" s="7" t="s">
        <v>9</v>
      </c>
    </row>
    <row r="1850" spans="1:7" x14ac:dyDescent="0.45">
      <c r="A1850" t="s">
        <v>1945</v>
      </c>
      <c r="B1850" s="2" t="s">
        <v>8</v>
      </c>
      <c r="C1850" s="8" t="s">
        <v>12</v>
      </c>
      <c r="D1850" s="4">
        <f>2457/(60*60*24)</f>
        <v>2.8437500000000001E-2</v>
      </c>
      <c r="E1850" s="3">
        <f>9309/(60*60*24)</f>
        <v>0.10774305555555555</v>
      </c>
      <c r="F1850" s="5">
        <f>31155/(60*60*24)</f>
        <v>0.3605902777777778</v>
      </c>
      <c r="G1850" s="7" t="s">
        <v>9</v>
      </c>
    </row>
    <row r="1851" spans="1:7" x14ac:dyDescent="0.45">
      <c r="A1851" t="s">
        <v>1946</v>
      </c>
      <c r="B1851" s="2" t="s">
        <v>11</v>
      </c>
      <c r="C1851" s="8" t="s">
        <v>12</v>
      </c>
      <c r="D1851" s="4">
        <f>2422/(60*60*24)</f>
        <v>2.8032407407407409E-2</v>
      </c>
      <c r="E1851" s="3">
        <f>8960/(60*60*24)</f>
        <v>0.1037037037037037</v>
      </c>
      <c r="F1851" s="5">
        <f>30432/(60*60*24)</f>
        <v>0.35222222222222221</v>
      </c>
      <c r="G1851" s="7" t="s">
        <v>9</v>
      </c>
    </row>
    <row r="1852" spans="1:7" x14ac:dyDescent="0.45">
      <c r="A1852" t="s">
        <v>1947</v>
      </c>
      <c r="B1852" s="2" t="s">
        <v>14</v>
      </c>
      <c r="C1852" s="8" t="s">
        <v>12</v>
      </c>
      <c r="D1852" s="4">
        <f>2352/(60*60*24)</f>
        <v>2.7222222222222221E-2</v>
      </c>
      <c r="E1852" s="3">
        <f>8959/(60*60*24)</f>
        <v>0.10369212962962963</v>
      </c>
      <c r="F1852" s="5">
        <f>30090/(60*60*24)</f>
        <v>0.34826388888888887</v>
      </c>
      <c r="G1852" s="7" t="s">
        <v>9</v>
      </c>
    </row>
    <row r="1853" spans="1:7" x14ac:dyDescent="0.45">
      <c r="A1853" t="s">
        <v>1948</v>
      </c>
      <c r="B1853" s="2" t="s">
        <v>16</v>
      </c>
      <c r="C1853" s="8" t="s">
        <v>12</v>
      </c>
      <c r="D1853" s="4">
        <f>2206/(60*60*24)</f>
        <v>2.5532407407407406E-2</v>
      </c>
      <c r="E1853" s="3">
        <f>8542/(60*60*24)</f>
        <v>9.886574074074074E-2</v>
      </c>
      <c r="F1853" s="5">
        <f>28712/(60*60*24)</f>
        <v>0.33231481481481484</v>
      </c>
      <c r="G1853" s="7" t="s">
        <v>9</v>
      </c>
    </row>
    <row r="1854" spans="1:7" x14ac:dyDescent="0.45">
      <c r="A1854" t="s">
        <v>1949</v>
      </c>
      <c r="B1854" s="2" t="s">
        <v>20</v>
      </c>
      <c r="C1854" s="3">
        <f>6682/(60*60*24)</f>
        <v>7.7337962962962969E-2</v>
      </c>
      <c r="D1854" s="4">
        <f>2130/(60*60*24)</f>
        <v>2.4652777777777777E-2</v>
      </c>
      <c r="E1854" s="5">
        <f>8420/(60*60*24)</f>
        <v>9.7453703703703709E-2</v>
      </c>
      <c r="F1854" s="6">
        <f>27538/(60*60*24)</f>
        <v>0.31872685185185184</v>
      </c>
      <c r="G1854" s="7" t="s">
        <v>9</v>
      </c>
    </row>
    <row r="1855" spans="1:7" x14ac:dyDescent="0.45">
      <c r="A1855" t="s">
        <v>1950</v>
      </c>
      <c r="B1855" s="2" t="s">
        <v>18</v>
      </c>
      <c r="C1855" s="8" t="s">
        <v>12</v>
      </c>
      <c r="D1855" s="4">
        <f>2214/(60*60*24)</f>
        <v>2.5624999999999998E-2</v>
      </c>
      <c r="E1855" s="3">
        <f>8524/(60*60*24)</f>
        <v>9.8657407407407402E-2</v>
      </c>
      <c r="F1855" s="5">
        <f>28304/(60*60*24)</f>
        <v>0.3275925925925926</v>
      </c>
      <c r="G1855" s="7" t="s">
        <v>9</v>
      </c>
    </row>
    <row r="1856" spans="1:7" x14ac:dyDescent="0.45">
      <c r="A1856" t="s">
        <v>1951</v>
      </c>
      <c r="B1856" s="2" t="s">
        <v>22</v>
      </c>
      <c r="C1856" s="8" t="s">
        <v>12</v>
      </c>
      <c r="D1856" s="4">
        <f>2198/(60*60*24)</f>
        <v>2.5439814814814814E-2</v>
      </c>
      <c r="E1856" s="3">
        <f>7742/(60*60*24)</f>
        <v>8.9606481481481481E-2</v>
      </c>
      <c r="F1856" s="5">
        <f>26504/(60*60*24)</f>
        <v>0.30675925925925923</v>
      </c>
      <c r="G1856" s="7" t="s">
        <v>9</v>
      </c>
    </row>
    <row r="1857" spans="1:7" x14ac:dyDescent="0.45">
      <c r="A1857" t="s">
        <v>1952</v>
      </c>
      <c r="B1857" s="2" t="s">
        <v>24</v>
      </c>
      <c r="C1857" s="8" t="s">
        <v>12</v>
      </c>
      <c r="D1857" s="4">
        <f>2200/(60*60*24)</f>
        <v>2.5462962962962962E-2</v>
      </c>
      <c r="E1857" s="3">
        <f>7584/(60*60*24)</f>
        <v>8.7777777777777774E-2</v>
      </c>
      <c r="F1857" s="5">
        <f>25947/(60*60*24)</f>
        <v>0.30031249999999998</v>
      </c>
      <c r="G1857" s="7" t="s">
        <v>9</v>
      </c>
    </row>
    <row r="1858" spans="1:7" x14ac:dyDescent="0.45">
      <c r="A1858" t="s">
        <v>1953</v>
      </c>
      <c r="B1858" s="2" t="s">
        <v>26</v>
      </c>
      <c r="C1858" s="5">
        <f>21733/(60*60*24)</f>
        <v>0.25153935185185183</v>
      </c>
      <c r="D1858" s="4">
        <f>1992/(60*60*24)</f>
        <v>2.3055555555555555E-2</v>
      </c>
      <c r="E1858" s="3">
        <f>7370/(60*60*24)</f>
        <v>8.5300925925925933E-2</v>
      </c>
      <c r="F1858" s="6">
        <f>25141/(60*60*24)</f>
        <v>0.29098379629629628</v>
      </c>
      <c r="G1858" s="7" t="s">
        <v>9</v>
      </c>
    </row>
    <row r="1859" spans="1:7" x14ac:dyDescent="0.45">
      <c r="A1859" t="s">
        <v>1954</v>
      </c>
      <c r="B1859" s="2" t="s">
        <v>28</v>
      </c>
      <c r="C1859" s="3">
        <f>6209/(60*60*24)</f>
        <v>7.1863425925925928E-2</v>
      </c>
      <c r="D1859" s="4">
        <f>1986/(60*60*24)</f>
        <v>2.298611111111111E-2</v>
      </c>
      <c r="E1859" s="5">
        <f>7131/(60*60*24)</f>
        <v>8.2534722222222218E-2</v>
      </c>
      <c r="F1859" s="6">
        <f>24485/(60*60*24)</f>
        <v>0.28339120370370369</v>
      </c>
      <c r="G1859" s="7" t="s">
        <v>9</v>
      </c>
    </row>
    <row r="1860" spans="1:7" x14ac:dyDescent="0.45">
      <c r="A1860" t="s">
        <v>1955</v>
      </c>
      <c r="B1860" s="2" t="s">
        <v>30</v>
      </c>
      <c r="C1860" s="3">
        <f>5714/(60*60*24)</f>
        <v>6.6134259259259254E-2</v>
      </c>
      <c r="D1860" s="4">
        <f>1878/(60*60*24)</f>
        <v>2.1736111111111112E-2</v>
      </c>
      <c r="E1860" s="5">
        <f>6952/(60*60*24)</f>
        <v>8.0462962962962958E-2</v>
      </c>
      <c r="F1860" s="6">
        <f>23762/(60*60*24)</f>
        <v>0.27502314814814816</v>
      </c>
      <c r="G1860" s="7" t="s">
        <v>9</v>
      </c>
    </row>
    <row r="1861" spans="1:7" x14ac:dyDescent="0.45">
      <c r="A1861" t="s">
        <v>1956</v>
      </c>
      <c r="B1861" s="2" t="s">
        <v>32</v>
      </c>
      <c r="C1861" s="3">
        <f>4696/(60*60*24)</f>
        <v>5.4351851851851853E-2</v>
      </c>
      <c r="D1861" s="4">
        <f>1802/(60*60*24)</f>
        <v>2.0856481481481483E-2</v>
      </c>
      <c r="E1861" s="5">
        <f>6852/(60*60*24)</f>
        <v>7.930555555555556E-2</v>
      </c>
      <c r="F1861" s="6">
        <f>23341/(60*60*24)</f>
        <v>0.27015046296296297</v>
      </c>
      <c r="G1861" s="7" t="s">
        <v>9</v>
      </c>
    </row>
    <row r="1862" spans="1:7" x14ac:dyDescent="0.45">
      <c r="A1862" t="s">
        <v>1957</v>
      </c>
      <c r="B1862" s="2" t="s">
        <v>36</v>
      </c>
      <c r="C1862" s="3">
        <f>4864/(60*60*24)</f>
        <v>5.6296296296296296E-2</v>
      </c>
      <c r="D1862" s="4">
        <f>1661/(60*60*24)</f>
        <v>1.9224537037037037E-2</v>
      </c>
      <c r="E1862" s="5">
        <f>6777/(60*60*24)</f>
        <v>7.8437499999999993E-2</v>
      </c>
      <c r="F1862" s="6">
        <f>22953/(60*60*24)</f>
        <v>0.26565972222222223</v>
      </c>
      <c r="G1862" s="7" t="s">
        <v>9</v>
      </c>
    </row>
    <row r="1863" spans="1:7" x14ac:dyDescent="0.45">
      <c r="A1863" t="s">
        <v>1958</v>
      </c>
      <c r="B1863" s="2" t="s">
        <v>34</v>
      </c>
      <c r="C1863" s="3">
        <f>4845/(60*60*24)</f>
        <v>5.6076388888888891E-2</v>
      </c>
      <c r="D1863" s="4">
        <f>1682/(60*60*24)</f>
        <v>1.9467592592592592E-2</v>
      </c>
      <c r="E1863" s="5">
        <f>6685/(60*60*24)</f>
        <v>7.7372685185185183E-2</v>
      </c>
      <c r="F1863" s="6">
        <f>22441/(60*60*24)</f>
        <v>0.25973379629629628</v>
      </c>
      <c r="G1863" s="7" t="s">
        <v>9</v>
      </c>
    </row>
    <row r="1864" spans="1:7" x14ac:dyDescent="0.45">
      <c r="A1864" t="s">
        <v>1959</v>
      </c>
      <c r="B1864" s="2" t="s">
        <v>38</v>
      </c>
      <c r="C1864" s="8" t="s">
        <v>12</v>
      </c>
      <c r="D1864" s="4">
        <f>2213/(60*60*24)</f>
        <v>2.5613425925925925E-2</v>
      </c>
      <c r="E1864" s="3">
        <f>6623/(60*60*24)</f>
        <v>7.6655092592592594E-2</v>
      </c>
      <c r="F1864" s="5">
        <f>22016/(60*60*24)</f>
        <v>0.25481481481481483</v>
      </c>
      <c r="G1864" s="7" t="s">
        <v>9</v>
      </c>
    </row>
    <row r="1865" spans="1:7" x14ac:dyDescent="0.45">
      <c r="A1865" t="s">
        <v>1960</v>
      </c>
      <c r="B1865" s="2" t="s">
        <v>40</v>
      </c>
      <c r="C1865" s="8" t="s">
        <v>12</v>
      </c>
      <c r="D1865" s="4">
        <f>2318/(60*60*24)</f>
        <v>2.6828703703703705E-2</v>
      </c>
      <c r="E1865" s="3">
        <f>6529/(60*60*24)</f>
        <v>7.5567129629629623E-2</v>
      </c>
      <c r="F1865" s="5">
        <f>21198/(60*60*24)</f>
        <v>0.24534722222222222</v>
      </c>
      <c r="G1865" s="7" t="s">
        <v>9</v>
      </c>
    </row>
    <row r="1866" spans="1:7" x14ac:dyDescent="0.45">
      <c r="A1866" t="s">
        <v>1961</v>
      </c>
      <c r="B1866" s="2" t="s">
        <v>44</v>
      </c>
      <c r="C1866" s="3">
        <f>4337/(60*60*24)</f>
        <v>5.019675925925926E-2</v>
      </c>
      <c r="D1866" s="4">
        <f>2205/(60*60*24)</f>
        <v>2.5520833333333333E-2</v>
      </c>
      <c r="E1866" s="5">
        <f>6304/(60*60*24)</f>
        <v>7.2962962962962966E-2</v>
      </c>
      <c r="F1866" s="6">
        <f>20554/(60*60*24)</f>
        <v>0.23789351851851853</v>
      </c>
      <c r="G1866" s="7" t="s">
        <v>9</v>
      </c>
    </row>
    <row r="1867" spans="1:7" x14ac:dyDescent="0.45">
      <c r="A1867" t="s">
        <v>1962</v>
      </c>
      <c r="B1867" s="2" t="s">
        <v>42</v>
      </c>
      <c r="C1867" s="3">
        <f>3952/(60*60*24)</f>
        <v>4.5740740740740742E-2</v>
      </c>
      <c r="D1867" s="4">
        <f>1940/(60*60*24)</f>
        <v>2.2453703703703705E-2</v>
      </c>
      <c r="E1867" s="5">
        <f>6213/(60*60*24)</f>
        <v>7.1909722222222222E-2</v>
      </c>
      <c r="F1867" s="6">
        <f>19743/(60*60*24)</f>
        <v>0.22850694444444444</v>
      </c>
      <c r="G1867" s="7" t="s">
        <v>9</v>
      </c>
    </row>
    <row r="1868" spans="1:7" x14ac:dyDescent="0.45">
      <c r="A1868" t="s">
        <v>1963</v>
      </c>
      <c r="B1868" s="2" t="s">
        <v>46</v>
      </c>
      <c r="C1868" s="3">
        <f>4082/(60*60*24)</f>
        <v>4.7245370370370368E-2</v>
      </c>
      <c r="D1868" s="4">
        <f>1760/(60*60*24)</f>
        <v>2.0370370370370372E-2</v>
      </c>
      <c r="E1868" s="5">
        <f>5965/(60*60*24)</f>
        <v>6.9039351851851852E-2</v>
      </c>
      <c r="F1868" s="6">
        <f>19269/(60*60*24)</f>
        <v>0.22302083333333333</v>
      </c>
      <c r="G1868" s="7" t="s">
        <v>9</v>
      </c>
    </row>
    <row r="1869" spans="1:7" x14ac:dyDescent="0.45">
      <c r="A1869" t="s">
        <v>1964</v>
      </c>
      <c r="B1869" s="2" t="s">
        <v>48</v>
      </c>
      <c r="C1869" s="3">
        <f>4397/(60*60*24)</f>
        <v>5.0891203703703702E-2</v>
      </c>
      <c r="D1869" s="4">
        <f>1981/(60*60*24)</f>
        <v>2.2928240740740742E-2</v>
      </c>
      <c r="E1869" s="5">
        <f>5852/(60*60*24)</f>
        <v>6.7731481481481476E-2</v>
      </c>
      <c r="F1869" s="6">
        <f>18332/(60*60*24)</f>
        <v>0.21217592592592593</v>
      </c>
      <c r="G1869" s="7" t="s">
        <v>9</v>
      </c>
    </row>
    <row r="1870" spans="1:7" x14ac:dyDescent="0.45">
      <c r="A1870" t="s">
        <v>1965</v>
      </c>
      <c r="B1870" s="2" t="s">
        <v>50</v>
      </c>
      <c r="C1870" s="3">
        <f>4397/(60*60*24)</f>
        <v>5.0891203703703702E-2</v>
      </c>
      <c r="D1870" s="4">
        <f>1908/(60*60*24)</f>
        <v>2.2083333333333333E-2</v>
      </c>
      <c r="E1870" s="5">
        <f>5622/(60*60*24)</f>
        <v>6.5069444444444444E-2</v>
      </c>
      <c r="F1870" s="6">
        <f>17881/(60*60*24)</f>
        <v>0.20695601851851853</v>
      </c>
      <c r="G1870" s="7" t="s">
        <v>9</v>
      </c>
    </row>
    <row r="1871" spans="1:7" x14ac:dyDescent="0.45">
      <c r="A1871" t="s">
        <v>1966</v>
      </c>
      <c r="B1871" s="2" t="s">
        <v>52</v>
      </c>
      <c r="C1871" s="3">
        <f>4047/(60*60*24)</f>
        <v>4.6840277777777779E-2</v>
      </c>
      <c r="D1871" s="4">
        <f>1878/(60*60*24)</f>
        <v>2.1736111111111112E-2</v>
      </c>
      <c r="E1871" s="5">
        <f>5380/(60*60*24)</f>
        <v>6.2268518518518522E-2</v>
      </c>
      <c r="F1871" s="6">
        <f>17106/(60*60*24)</f>
        <v>0.19798611111111111</v>
      </c>
      <c r="G1871" s="7" t="s">
        <v>9</v>
      </c>
    </row>
    <row r="1872" spans="1:7" x14ac:dyDescent="0.45">
      <c r="A1872" t="s">
        <v>1967</v>
      </c>
      <c r="B1872" s="2" t="s">
        <v>54</v>
      </c>
      <c r="C1872" s="3">
        <f>3967/(60*60*24)</f>
        <v>4.5914351851851852E-2</v>
      </c>
      <c r="D1872" s="4">
        <f>2001/(60*60*24)</f>
        <v>2.3159722222222224E-2</v>
      </c>
      <c r="E1872" s="5">
        <f>5203/(60*60*24)</f>
        <v>6.0219907407407409E-2</v>
      </c>
      <c r="F1872" s="6">
        <f>16409/(60*60*24)</f>
        <v>0.18991898148148148</v>
      </c>
      <c r="G1872" s="7" t="s">
        <v>9</v>
      </c>
    </row>
    <row r="1873" spans="1:7" x14ac:dyDescent="0.45">
      <c r="A1873" t="s">
        <v>1968</v>
      </c>
      <c r="B1873" s="2" t="s">
        <v>56</v>
      </c>
      <c r="C1873" s="3">
        <f>3726/(60*60*24)</f>
        <v>4.3124999999999997E-2</v>
      </c>
      <c r="D1873" s="4">
        <f>1956/(60*60*24)</f>
        <v>2.2638888888888889E-2</v>
      </c>
      <c r="E1873" s="5">
        <f>4960/(60*60*24)</f>
        <v>5.7407407407407407E-2</v>
      </c>
      <c r="F1873" s="6">
        <f>15818/(60*60*24)</f>
        <v>0.18307870370370372</v>
      </c>
      <c r="G1873" s="7" t="s">
        <v>9</v>
      </c>
    </row>
    <row r="1874" spans="1:7" x14ac:dyDescent="0.45">
      <c r="A1874" t="s">
        <v>1969</v>
      </c>
      <c r="B1874" s="2" t="s">
        <v>58</v>
      </c>
      <c r="C1874" s="3">
        <f>3915/(60*60*24)</f>
        <v>4.5312499999999999E-2</v>
      </c>
      <c r="D1874" s="4">
        <f>1979/(60*60*24)</f>
        <v>2.2905092592592591E-2</v>
      </c>
      <c r="E1874" s="5">
        <f>4754/(60*60*24)</f>
        <v>5.5023148148148147E-2</v>
      </c>
      <c r="F1874" s="6">
        <f>15162/(60*60*24)</f>
        <v>0.17548611111111112</v>
      </c>
      <c r="G1874" s="7" t="s">
        <v>9</v>
      </c>
    </row>
    <row r="1875" spans="1:7" x14ac:dyDescent="0.45">
      <c r="A1875" t="s">
        <v>1970</v>
      </c>
      <c r="B1875" s="2" t="s">
        <v>60</v>
      </c>
      <c r="C1875" s="3">
        <f>3492/(60*60*24)</f>
        <v>4.0416666666666663E-2</v>
      </c>
      <c r="D1875" s="4">
        <f>2062/(60*60*24)</f>
        <v>2.3865740740740739E-2</v>
      </c>
      <c r="E1875" s="5">
        <f>4566/(60*60*24)</f>
        <v>5.2847222222222219E-2</v>
      </c>
      <c r="F1875" s="6">
        <f>14491/(60*60*24)</f>
        <v>0.16771990740740741</v>
      </c>
      <c r="G1875" s="7" t="s">
        <v>9</v>
      </c>
    </row>
    <row r="1876" spans="1:7" x14ac:dyDescent="0.45">
      <c r="A1876" t="s">
        <v>1971</v>
      </c>
      <c r="B1876" s="2" t="s">
        <v>62</v>
      </c>
      <c r="C1876" s="3">
        <f>3467/(60*60*24)</f>
        <v>4.0127314814814817E-2</v>
      </c>
      <c r="D1876" s="4">
        <f>2076/(60*60*24)</f>
        <v>2.4027777777777776E-2</v>
      </c>
      <c r="E1876" s="5">
        <f>4326/(60*60*24)</f>
        <v>5.0069444444444444E-2</v>
      </c>
      <c r="F1876" s="6">
        <f>13736/(60*60*24)</f>
        <v>0.15898148148148147</v>
      </c>
      <c r="G1876" s="7" t="s">
        <v>9</v>
      </c>
    </row>
    <row r="1877" spans="1:7" x14ac:dyDescent="0.45">
      <c r="A1877" t="s">
        <v>1972</v>
      </c>
      <c r="B1877" s="2" t="s">
        <v>64</v>
      </c>
      <c r="C1877" s="3">
        <f>3286/(60*60*24)</f>
        <v>3.8032407407407411E-2</v>
      </c>
      <c r="D1877" s="4">
        <f>1800/(60*60*24)</f>
        <v>2.0833333333333332E-2</v>
      </c>
      <c r="E1877" s="5">
        <f>4137/(60*60*24)</f>
        <v>4.7881944444444442E-2</v>
      </c>
      <c r="F1877" s="6">
        <f>13022/(60*60*24)</f>
        <v>0.1507175925925926</v>
      </c>
      <c r="G1877" s="7" t="s">
        <v>9</v>
      </c>
    </row>
    <row r="1878" spans="1:7" x14ac:dyDescent="0.45">
      <c r="A1878" t="s">
        <v>1973</v>
      </c>
      <c r="B1878" s="2" t="s">
        <v>66</v>
      </c>
      <c r="C1878" s="3">
        <f>2950/(60*60*24)</f>
        <v>3.4143518518518517E-2</v>
      </c>
      <c r="D1878" s="4">
        <f>1762/(60*60*24)</f>
        <v>2.0393518518518519E-2</v>
      </c>
      <c r="E1878" s="5">
        <f>4092/(60*60*24)</f>
        <v>4.7361111111111111E-2</v>
      </c>
      <c r="F1878" s="6">
        <f>12618/(60*60*24)</f>
        <v>0.14604166666666665</v>
      </c>
      <c r="G1878" s="7" t="s">
        <v>9</v>
      </c>
    </row>
    <row r="1879" spans="1:7" x14ac:dyDescent="0.45">
      <c r="A1879" t="s">
        <v>1974</v>
      </c>
      <c r="B1879" s="2" t="s">
        <v>68</v>
      </c>
      <c r="C1879" s="3">
        <f>2731/(60*60*24)</f>
        <v>3.1608796296296295E-2</v>
      </c>
      <c r="D1879" s="4">
        <f>1472/(60*60*24)</f>
        <v>1.7037037037037038E-2</v>
      </c>
      <c r="E1879" s="5">
        <f>3759/(60*60*24)</f>
        <v>4.3506944444444445E-2</v>
      </c>
      <c r="F1879" s="6">
        <f>11720/(60*60*24)</f>
        <v>0.13564814814814816</v>
      </c>
      <c r="G1879" s="7" t="s">
        <v>9</v>
      </c>
    </row>
    <row r="1880" spans="1:7" x14ac:dyDescent="0.45">
      <c r="A1880" t="s">
        <v>1975</v>
      </c>
      <c r="B1880" s="2" t="s">
        <v>70</v>
      </c>
      <c r="C1880" s="3">
        <f>2975/(60*60*24)</f>
        <v>3.4432870370370371E-2</v>
      </c>
      <c r="D1880" s="4">
        <f>1431/(60*60*24)</f>
        <v>1.6562500000000001E-2</v>
      </c>
      <c r="E1880" s="5">
        <f>3556/(60*60*24)</f>
        <v>4.1157407407407406E-2</v>
      </c>
      <c r="F1880" s="6">
        <f>11155/(60*60*24)</f>
        <v>0.12910879629629629</v>
      </c>
      <c r="G1880" s="7" t="s">
        <v>9</v>
      </c>
    </row>
    <row r="1881" spans="1:7" x14ac:dyDescent="0.45">
      <c r="A1881" t="s">
        <v>1976</v>
      </c>
      <c r="B1881" s="2" t="s">
        <v>72</v>
      </c>
      <c r="C1881" s="3">
        <f>2517/(60*60*24)</f>
        <v>2.9131944444444443E-2</v>
      </c>
      <c r="D1881" s="4">
        <f>1360/(60*60*24)</f>
        <v>1.5740740740740739E-2</v>
      </c>
      <c r="E1881" s="5">
        <f>3484/(60*60*24)</f>
        <v>4.0324074074074075E-2</v>
      </c>
      <c r="F1881" s="6">
        <f>10657/(60*60*24)</f>
        <v>0.1233449074074074</v>
      </c>
      <c r="G1881" s="7" t="s">
        <v>9</v>
      </c>
    </row>
    <row r="1882" spans="1:7" x14ac:dyDescent="0.45">
      <c r="A1882" t="s">
        <v>1977</v>
      </c>
      <c r="B1882" s="2" t="s">
        <v>74</v>
      </c>
      <c r="C1882" s="3">
        <f>2329/(60*60*24)</f>
        <v>2.6956018518518518E-2</v>
      </c>
      <c r="D1882" s="4">
        <f>1243/(60*60*24)</f>
        <v>1.4386574074074074E-2</v>
      </c>
      <c r="E1882" s="5">
        <f>3194/(60*60*24)</f>
        <v>3.6967592592592594E-2</v>
      </c>
      <c r="F1882" s="6">
        <f>10241/(60*60*24)</f>
        <v>0.11853009259259259</v>
      </c>
      <c r="G1882" s="7" t="s">
        <v>9</v>
      </c>
    </row>
    <row r="1883" spans="1:7" x14ac:dyDescent="0.45">
      <c r="A1883" t="s">
        <v>1978</v>
      </c>
      <c r="B1883" s="2" t="s">
        <v>76</v>
      </c>
      <c r="C1883" s="3">
        <f>2557/(60*60*24)</f>
        <v>2.9594907407407407E-2</v>
      </c>
      <c r="D1883" s="4">
        <f>1192/(60*60*24)</f>
        <v>1.3796296296296296E-2</v>
      </c>
      <c r="E1883" s="5">
        <f>2957/(60*60*24)</f>
        <v>3.4224537037037039E-2</v>
      </c>
      <c r="F1883" s="6">
        <f>9623/(60*60*24)</f>
        <v>0.11137731481481482</v>
      </c>
      <c r="G1883" s="7" t="s">
        <v>9</v>
      </c>
    </row>
    <row r="1884" spans="1:7" x14ac:dyDescent="0.45">
      <c r="A1884" t="s">
        <v>1979</v>
      </c>
      <c r="B1884" s="2" t="s">
        <v>78</v>
      </c>
      <c r="C1884" s="3">
        <f>2669/(60*60*24)</f>
        <v>3.0891203703703702E-2</v>
      </c>
      <c r="D1884" s="4">
        <f>1157/(60*60*24)</f>
        <v>1.3391203703703704E-2</v>
      </c>
      <c r="E1884" s="5">
        <f>2797/(60*60*24)</f>
        <v>3.2372685185185185E-2</v>
      </c>
      <c r="F1884" s="6">
        <f>9164/(60*60*24)</f>
        <v>0.10606481481481482</v>
      </c>
      <c r="G1884" s="7" t="s">
        <v>9</v>
      </c>
    </row>
    <row r="1885" spans="1:7" x14ac:dyDescent="0.45">
      <c r="A1885" t="s">
        <v>1980</v>
      </c>
      <c r="B1885" s="2" t="s">
        <v>80</v>
      </c>
      <c r="C1885" s="5">
        <f>2665/(60*60*24)</f>
        <v>3.0844907407407408E-2</v>
      </c>
      <c r="D1885" s="4">
        <f>1177/(60*60*24)</f>
        <v>1.3622685185185186E-2</v>
      </c>
      <c r="E1885" s="3">
        <f>2547/(60*60*24)</f>
        <v>2.9479166666666667E-2</v>
      </c>
      <c r="F1885" s="6">
        <f>8393/(60*60*24)</f>
        <v>9.7141203703703702E-2</v>
      </c>
      <c r="G1885" s="7" t="s">
        <v>9</v>
      </c>
    </row>
    <row r="1886" spans="1:7" x14ac:dyDescent="0.45">
      <c r="A1886" t="s">
        <v>1981</v>
      </c>
      <c r="B1886" s="2" t="s">
        <v>84</v>
      </c>
      <c r="C1886" s="5">
        <f>2612/(60*60*24)</f>
        <v>3.0231481481481481E-2</v>
      </c>
      <c r="D1886" s="4">
        <f>1144/(60*60*24)</f>
        <v>1.324074074074074E-2</v>
      </c>
      <c r="E1886" s="3">
        <f>2429/(60*60*24)</f>
        <v>2.8113425925925927E-2</v>
      </c>
      <c r="F1886" s="6">
        <f>7747/(60*60*24)</f>
        <v>8.9664351851851856E-2</v>
      </c>
      <c r="G1886" s="7" t="s">
        <v>9</v>
      </c>
    </row>
    <row r="1887" spans="1:7" x14ac:dyDescent="0.45">
      <c r="A1887" t="s">
        <v>1982</v>
      </c>
      <c r="B1887" s="2" t="s">
        <v>82</v>
      </c>
      <c r="C1887" s="5">
        <f>2335/(60*60*24)</f>
        <v>2.7025462962962963E-2</v>
      </c>
      <c r="D1887" s="4">
        <f>1113/(60*60*24)</f>
        <v>1.2881944444444444E-2</v>
      </c>
      <c r="E1887" s="3">
        <f>2174/(60*60*24)</f>
        <v>2.5162037037037038E-2</v>
      </c>
      <c r="F1887" s="6">
        <f>7633/(60*60*24)</f>
        <v>8.8344907407407414E-2</v>
      </c>
      <c r="G1887" s="7" t="s">
        <v>9</v>
      </c>
    </row>
    <row r="1888" spans="1:7" x14ac:dyDescent="0.45">
      <c r="A1888" t="s">
        <v>1983</v>
      </c>
      <c r="B1888" s="2" t="s">
        <v>88</v>
      </c>
      <c r="C1888" s="5">
        <f>2582/(60*60*24)</f>
        <v>2.988425925925926E-2</v>
      </c>
      <c r="D1888" s="4">
        <f>987/(60*60*24)</f>
        <v>1.1423611111111112E-2</v>
      </c>
      <c r="E1888" s="3">
        <f>1962/(60*60*24)</f>
        <v>2.2708333333333334E-2</v>
      </c>
      <c r="F1888" s="6">
        <f>7006/(60*60*24)</f>
        <v>8.1087962962962959E-2</v>
      </c>
      <c r="G1888" s="7" t="s">
        <v>9</v>
      </c>
    </row>
    <row r="1889" spans="1:7" x14ac:dyDescent="0.45">
      <c r="A1889" t="s">
        <v>1984</v>
      </c>
      <c r="B1889" s="2" t="s">
        <v>86</v>
      </c>
      <c r="C1889" s="5">
        <f>2748/(60*60*24)</f>
        <v>3.1805555555555552E-2</v>
      </c>
      <c r="D1889" s="4">
        <f>1048/(60*60*24)</f>
        <v>1.2129629629629629E-2</v>
      </c>
      <c r="E1889" s="3">
        <f>1729/(60*60*24)</f>
        <v>2.0011574074074074E-2</v>
      </c>
      <c r="F1889" s="6">
        <f>6279/(60*60*24)</f>
        <v>7.2673611111111105E-2</v>
      </c>
      <c r="G1889" s="7" t="s">
        <v>9</v>
      </c>
    </row>
    <row r="1890" spans="1:7" x14ac:dyDescent="0.45">
      <c r="A1890" t="s">
        <v>1985</v>
      </c>
      <c r="B1890" s="2" t="s">
        <v>90</v>
      </c>
      <c r="C1890" s="5">
        <f>2841/(60*60*24)</f>
        <v>3.2881944444444443E-2</v>
      </c>
      <c r="D1890" s="4">
        <f>1219/(60*60*24)</f>
        <v>1.4108796296296296E-2</v>
      </c>
      <c r="E1890" s="3">
        <f>1601/(60*60*24)</f>
        <v>1.8530092592592591E-2</v>
      </c>
      <c r="F1890" s="6">
        <f>5809/(60*60*24)</f>
        <v>6.7233796296296292E-2</v>
      </c>
      <c r="G1890" s="7" t="s">
        <v>9</v>
      </c>
    </row>
    <row r="1891" spans="1:7" x14ac:dyDescent="0.45">
      <c r="A1891" t="s">
        <v>1986</v>
      </c>
      <c r="B1891" s="2" t="s">
        <v>92</v>
      </c>
      <c r="C1891" s="5">
        <f>3279/(60*60*24)</f>
        <v>3.7951388888888889E-2</v>
      </c>
      <c r="D1891" s="4">
        <f>1025/(60*60*24)</f>
        <v>1.1863425925925927E-2</v>
      </c>
      <c r="E1891" s="3">
        <f>1502/(60*60*24)</f>
        <v>1.7384259259259259E-2</v>
      </c>
      <c r="F1891" s="6">
        <f>5402/(60*60*24)</f>
        <v>6.2523148148148147E-2</v>
      </c>
      <c r="G1891" s="7" t="s">
        <v>9</v>
      </c>
    </row>
    <row r="1892" spans="1:7" x14ac:dyDescent="0.45">
      <c r="A1892" t="s">
        <v>1987</v>
      </c>
      <c r="B1892" s="2" t="s">
        <v>96</v>
      </c>
      <c r="C1892" s="5">
        <f>3782/(60*60*24)</f>
        <v>4.3773148148148151E-2</v>
      </c>
      <c r="D1892" s="4">
        <f>869/(60*60*24)</f>
        <v>1.005787037037037E-2</v>
      </c>
      <c r="E1892" s="3">
        <f>1475/(60*60*24)</f>
        <v>1.7071759259259259E-2</v>
      </c>
      <c r="F1892" s="6">
        <f>5046/(60*60*24)</f>
        <v>5.8402777777777776E-2</v>
      </c>
      <c r="G1892" s="7" t="s">
        <v>9</v>
      </c>
    </row>
    <row r="1893" spans="1:7" x14ac:dyDescent="0.45">
      <c r="A1893" t="s">
        <v>1988</v>
      </c>
      <c r="B1893" s="2" t="s">
        <v>94</v>
      </c>
      <c r="C1893" s="8" t="s">
        <v>12</v>
      </c>
      <c r="D1893" s="4">
        <f>1148/(60*60*24)</f>
        <v>1.3287037037037036E-2</v>
      </c>
      <c r="E1893" s="3">
        <f>1789/(60*60*24)</f>
        <v>2.0706018518518519E-2</v>
      </c>
      <c r="F1893" s="5">
        <f>6278/(60*60*24)</f>
        <v>7.2662037037037039E-2</v>
      </c>
      <c r="G1893" s="7" t="s">
        <v>9</v>
      </c>
    </row>
    <row r="1894" spans="1:7" x14ac:dyDescent="0.45">
      <c r="A1894" t="s">
        <v>1989</v>
      </c>
      <c r="B1894" s="2" t="s">
        <v>98</v>
      </c>
      <c r="C1894" s="5">
        <f>2543/(60*60*24)</f>
        <v>2.943287037037037E-2</v>
      </c>
      <c r="D1894" s="4">
        <f>801/(60*60*24)</f>
        <v>9.2708333333333341E-3</v>
      </c>
      <c r="E1894" s="3">
        <f>1411/(60*60*24)</f>
        <v>1.6331018518518519E-2</v>
      </c>
      <c r="F1894" s="6">
        <f>4769/(60*60*24)</f>
        <v>5.5196759259259258E-2</v>
      </c>
      <c r="G1894" s="7" t="s">
        <v>9</v>
      </c>
    </row>
    <row r="1895" spans="1:7" x14ac:dyDescent="0.45">
      <c r="A1895" t="s">
        <v>1990</v>
      </c>
      <c r="B1895" s="2" t="s">
        <v>100</v>
      </c>
      <c r="C1895" s="5">
        <f>3355/(60*60*24)</f>
        <v>3.8831018518518522E-2</v>
      </c>
      <c r="D1895" s="4">
        <f>654/(60*60*24)</f>
        <v>7.5694444444444446E-3</v>
      </c>
      <c r="E1895" s="3">
        <f>1309/(60*60*24)</f>
        <v>1.5150462962962963E-2</v>
      </c>
      <c r="F1895" s="6">
        <f>4691/(60*60*24)</f>
        <v>5.4293981481481485E-2</v>
      </c>
      <c r="G1895" s="7" t="s">
        <v>9</v>
      </c>
    </row>
    <row r="1896" spans="1:7" x14ac:dyDescent="0.45">
      <c r="A1896" t="s">
        <v>1991</v>
      </c>
      <c r="B1896" s="2" t="s">
        <v>104</v>
      </c>
      <c r="C1896" s="5">
        <f>2688/(60*60*24)</f>
        <v>3.111111111111111E-2</v>
      </c>
      <c r="D1896" s="4">
        <f>702/(60*60*24)</f>
        <v>8.1250000000000003E-3</v>
      </c>
      <c r="E1896" s="3">
        <f>1183/(60*60*24)</f>
        <v>1.369212962962963E-2</v>
      </c>
      <c r="F1896" s="6">
        <f>4192/(60*60*24)</f>
        <v>4.8518518518518516E-2</v>
      </c>
      <c r="G1896" s="7" t="s">
        <v>9</v>
      </c>
    </row>
    <row r="1897" spans="1:7" x14ac:dyDescent="0.45">
      <c r="A1897" t="s">
        <v>1992</v>
      </c>
      <c r="B1897" s="2" t="s">
        <v>102</v>
      </c>
      <c r="C1897" s="8" t="s">
        <v>12</v>
      </c>
      <c r="D1897" s="4">
        <f>804/(60*60*24)</f>
        <v>9.3055555555555548E-3</v>
      </c>
      <c r="E1897" s="3">
        <f>1439/(60*60*24)</f>
        <v>1.6655092592592593E-2</v>
      </c>
      <c r="F1897" s="5">
        <f>4746/(60*60*24)</f>
        <v>5.4930555555555559E-2</v>
      </c>
      <c r="G1897" s="7" t="s">
        <v>9</v>
      </c>
    </row>
    <row r="1898" spans="1:7" x14ac:dyDescent="0.45">
      <c r="A1898" t="s">
        <v>1993</v>
      </c>
      <c r="B1898" s="2" t="s">
        <v>106</v>
      </c>
      <c r="C1898" s="5">
        <f>2500/(60*60*24)</f>
        <v>2.8935185185185185E-2</v>
      </c>
      <c r="D1898" s="4">
        <f>784/(60*60*24)</f>
        <v>9.0740740740740747E-3</v>
      </c>
      <c r="E1898" s="3">
        <f>1383/(60*60*24)</f>
        <v>1.6006944444444445E-2</v>
      </c>
      <c r="F1898" s="6">
        <f>4771/(60*60*24)</f>
        <v>5.5219907407407405E-2</v>
      </c>
      <c r="G1898" s="7" t="s">
        <v>9</v>
      </c>
    </row>
    <row r="1899" spans="1:7" x14ac:dyDescent="0.45">
      <c r="A1899" t="s">
        <v>1994</v>
      </c>
      <c r="B1899" s="2" t="s">
        <v>108</v>
      </c>
      <c r="C1899" s="5">
        <f>3115/(60*60*24)</f>
        <v>3.605324074074074E-2</v>
      </c>
      <c r="D1899" s="4">
        <f>922/(60*60*24)</f>
        <v>1.0671296296296297E-2</v>
      </c>
      <c r="E1899" s="3">
        <f>1585/(60*60*24)</f>
        <v>1.8344907407407407E-2</v>
      </c>
      <c r="F1899" s="6">
        <f>5323/(60*60*24)</f>
        <v>6.1608796296296293E-2</v>
      </c>
      <c r="G1899" s="7" t="s">
        <v>9</v>
      </c>
    </row>
    <row r="1900" spans="1:7" x14ac:dyDescent="0.45">
      <c r="A1900" t="s">
        <v>1995</v>
      </c>
      <c r="B1900" s="2" t="s">
        <v>110</v>
      </c>
      <c r="C1900" s="5">
        <f>4318/(60*60*24)</f>
        <v>4.9976851851851849E-2</v>
      </c>
      <c r="D1900" s="4">
        <f>916/(60*60*24)</f>
        <v>1.0601851851851852E-2</v>
      </c>
      <c r="E1900" s="3">
        <f>1859/(60*60*24)</f>
        <v>2.1516203703703704E-2</v>
      </c>
      <c r="F1900" s="6">
        <f>5601/(60*60*24)</f>
        <v>6.4826388888888892E-2</v>
      </c>
      <c r="G1900" s="7" t="s">
        <v>9</v>
      </c>
    </row>
    <row r="1901" spans="1:7" x14ac:dyDescent="0.45">
      <c r="A1901" t="s">
        <v>1996</v>
      </c>
      <c r="B1901" s="2" t="s">
        <v>112</v>
      </c>
      <c r="C1901" s="8" t="s">
        <v>12</v>
      </c>
      <c r="D1901" s="4">
        <f>1002/(60*60*24)</f>
        <v>1.1597222222222222E-2</v>
      </c>
      <c r="E1901" s="3">
        <f>2092/(60*60*24)</f>
        <v>2.4212962962962964E-2</v>
      </c>
      <c r="F1901" s="5">
        <f>6001/(60*60*24)</f>
        <v>6.9456018518518514E-2</v>
      </c>
      <c r="G1901" s="7" t="s">
        <v>9</v>
      </c>
    </row>
    <row r="1902" spans="1:7" x14ac:dyDescent="0.45">
      <c r="A1902" t="s">
        <v>1997</v>
      </c>
      <c r="B1902" s="2" t="s">
        <v>114</v>
      </c>
      <c r="C1902" s="5">
        <f>3869/(60*60*24)</f>
        <v>4.4780092592592594E-2</v>
      </c>
      <c r="D1902" s="4">
        <f>1088/(60*60*24)</f>
        <v>1.2592592592592593E-2</v>
      </c>
      <c r="E1902" s="3">
        <f>2072/(60*60*24)</f>
        <v>2.3981481481481482E-2</v>
      </c>
      <c r="F1902" s="6">
        <f>6748/(60*60*24)</f>
        <v>7.8101851851851853E-2</v>
      </c>
      <c r="G1902" s="7" t="s">
        <v>9</v>
      </c>
    </row>
    <row r="1903" spans="1:7" x14ac:dyDescent="0.45">
      <c r="A1903" t="s">
        <v>1998</v>
      </c>
      <c r="B1903" s="2" t="s">
        <v>116</v>
      </c>
      <c r="C1903" s="8" t="s">
        <v>12</v>
      </c>
      <c r="D1903" s="4">
        <f>1138/(60*60*24)</f>
        <v>1.3171296296296296E-2</v>
      </c>
      <c r="E1903" s="3">
        <f>2361/(60*60*24)</f>
        <v>2.732638888888889E-2</v>
      </c>
      <c r="F1903" s="5">
        <f>7476/(60*60*24)</f>
        <v>8.6527777777777773E-2</v>
      </c>
      <c r="G1903" s="7" t="s">
        <v>9</v>
      </c>
    </row>
    <row r="1904" spans="1:7" x14ac:dyDescent="0.45">
      <c r="A1904" t="s">
        <v>1999</v>
      </c>
      <c r="B1904" s="2" t="s">
        <v>118</v>
      </c>
      <c r="C1904" s="8" t="s">
        <v>12</v>
      </c>
      <c r="D1904" s="4">
        <f>1126/(60*60*24)</f>
        <v>1.3032407407407407E-2</v>
      </c>
      <c r="E1904" s="3">
        <f>2608/(60*60*24)</f>
        <v>3.0185185185185186E-2</v>
      </c>
      <c r="F1904" s="5">
        <f>7916/(60*60*24)</f>
        <v>9.1620370370370366E-2</v>
      </c>
      <c r="G1904" s="7" t="s">
        <v>9</v>
      </c>
    </row>
    <row r="1905" spans="1:7" x14ac:dyDescent="0.45">
      <c r="A1905" t="s">
        <v>2000</v>
      </c>
      <c r="B1905" s="2" t="s">
        <v>120</v>
      </c>
      <c r="C1905" s="8" t="s">
        <v>12</v>
      </c>
      <c r="D1905" s="4">
        <f>1357/(60*60*24)</f>
        <v>1.5706018518518518E-2</v>
      </c>
      <c r="E1905" s="3">
        <f>2991/(60*60*24)</f>
        <v>3.4618055555555555E-2</v>
      </c>
      <c r="F1905" s="5">
        <f>8761/(60*60*24)</f>
        <v>0.10140046296296296</v>
      </c>
      <c r="G1905" s="7" t="s">
        <v>9</v>
      </c>
    </row>
    <row r="1906" spans="1:7" x14ac:dyDescent="0.45">
      <c r="A1906" t="s">
        <v>2001</v>
      </c>
      <c r="B1906" s="2" t="s">
        <v>124</v>
      </c>
      <c r="C1906" s="8" t="s">
        <v>12</v>
      </c>
      <c r="D1906" s="4">
        <f>1444/(60*60*24)</f>
        <v>1.6712962962962964E-2</v>
      </c>
      <c r="E1906" s="3">
        <f>2842/(60*60*24)</f>
        <v>3.2893518518518516E-2</v>
      </c>
      <c r="F1906" s="5">
        <f>9260/(60*60*24)</f>
        <v>0.10717592592592592</v>
      </c>
      <c r="G1906" s="7" t="s">
        <v>9</v>
      </c>
    </row>
    <row r="1907" spans="1:7" x14ac:dyDescent="0.45">
      <c r="A1907" t="s">
        <v>2002</v>
      </c>
      <c r="B1907" s="2" t="s">
        <v>122</v>
      </c>
      <c r="C1907" s="8" t="s">
        <v>12</v>
      </c>
      <c r="D1907" s="4">
        <f>1546/(60*60*24)</f>
        <v>1.7893518518518517E-2</v>
      </c>
      <c r="E1907" s="3">
        <f>2887/(60*60*24)</f>
        <v>3.3414351851851855E-2</v>
      </c>
      <c r="F1907" s="5">
        <f>10563/(60*60*24)</f>
        <v>0.12225694444444445</v>
      </c>
      <c r="G1907" s="7" t="s">
        <v>9</v>
      </c>
    </row>
    <row r="1908" spans="1:7" x14ac:dyDescent="0.45">
      <c r="A1908" t="s">
        <v>2003</v>
      </c>
      <c r="B1908" s="2" t="s">
        <v>126</v>
      </c>
      <c r="C1908" s="8" t="s">
        <v>12</v>
      </c>
      <c r="D1908" s="4">
        <f>1605/(60*60*24)</f>
        <v>1.8576388888888889E-2</v>
      </c>
      <c r="E1908" s="3">
        <f>2930/(60*60*24)</f>
        <v>3.3912037037037039E-2</v>
      </c>
      <c r="F1908" s="5">
        <f>10641/(60*60*24)</f>
        <v>0.12315972222222223</v>
      </c>
      <c r="G1908" s="7" t="s">
        <v>9</v>
      </c>
    </row>
    <row r="1909" spans="1:7" x14ac:dyDescent="0.45">
      <c r="A1909" t="s">
        <v>2004</v>
      </c>
      <c r="B1909" s="2" t="s">
        <v>128</v>
      </c>
      <c r="C1909" s="8" t="s">
        <v>12</v>
      </c>
      <c r="D1909" s="4">
        <f>1645/(60*60*24)</f>
        <v>1.9039351851851852E-2</v>
      </c>
      <c r="E1909" s="3">
        <f>3293/(60*60*24)</f>
        <v>3.8113425925925926E-2</v>
      </c>
      <c r="F1909" s="5">
        <f>11530/(60*60*24)</f>
        <v>0.13344907407407408</v>
      </c>
      <c r="G1909" s="7" t="s">
        <v>9</v>
      </c>
    </row>
    <row r="1910" spans="1:7" x14ac:dyDescent="0.45">
      <c r="A1910" t="s">
        <v>2005</v>
      </c>
      <c r="B1910" s="2" t="s">
        <v>132</v>
      </c>
      <c r="C1910" s="5">
        <f>4086/(60*60*24)</f>
        <v>4.7291666666666669E-2</v>
      </c>
      <c r="D1910" s="4">
        <f>2042/(60*60*24)</f>
        <v>2.3634259259259258E-2</v>
      </c>
      <c r="E1910" s="3">
        <f>3637/(60*60*24)</f>
        <v>4.2094907407407407E-2</v>
      </c>
      <c r="F1910" s="6">
        <f>12774/(60*60*24)</f>
        <v>0.14784722222222221</v>
      </c>
      <c r="G1910" s="7" t="s">
        <v>9</v>
      </c>
    </row>
    <row r="1911" spans="1:7" x14ac:dyDescent="0.45">
      <c r="A1911" t="s">
        <v>2006</v>
      </c>
      <c r="B1911" s="2" t="s">
        <v>130</v>
      </c>
      <c r="C1911" s="8" t="s">
        <v>12</v>
      </c>
      <c r="D1911" s="4">
        <f>2020/(60*60*24)</f>
        <v>2.3379629629629629E-2</v>
      </c>
      <c r="E1911" s="3">
        <f>3578/(60*60*24)</f>
        <v>4.1412037037037039E-2</v>
      </c>
      <c r="F1911" s="5">
        <f>12236/(60*60*24)</f>
        <v>0.14162037037037037</v>
      </c>
      <c r="G1911" s="7" t="s">
        <v>9</v>
      </c>
    </row>
    <row r="1912" spans="1:7" x14ac:dyDescent="0.45">
      <c r="A1912" t="s">
        <v>2007</v>
      </c>
      <c r="B1912" s="2" t="s">
        <v>136</v>
      </c>
      <c r="C1912" s="8" t="s">
        <v>12</v>
      </c>
      <c r="D1912" s="4">
        <f>1326/(60*60*24)</f>
        <v>1.5347222222222222E-2</v>
      </c>
      <c r="E1912" s="3">
        <f>3848/(60*60*24)</f>
        <v>4.4537037037037035E-2</v>
      </c>
      <c r="F1912" s="5">
        <f>13589/(60*60*24)</f>
        <v>0.1572800925925926</v>
      </c>
      <c r="G1912" s="7" t="s">
        <v>9</v>
      </c>
    </row>
    <row r="1913" spans="1:7" x14ac:dyDescent="0.45">
      <c r="A1913" t="s">
        <v>2008</v>
      </c>
      <c r="B1913" s="2" t="s">
        <v>134</v>
      </c>
      <c r="C1913" s="8" t="s">
        <v>12</v>
      </c>
      <c r="D1913" s="4">
        <f>1472/(60*60*24)</f>
        <v>1.7037037037037038E-2</v>
      </c>
      <c r="E1913" s="3">
        <f>4281/(60*60*24)</f>
        <v>4.9548611111111113E-2</v>
      </c>
      <c r="F1913" s="5">
        <f>14315/(60*60*24)</f>
        <v>0.16568287037037038</v>
      </c>
      <c r="G1913" s="7" t="s">
        <v>9</v>
      </c>
    </row>
    <row r="1914" spans="1:7" x14ac:dyDescent="0.45">
      <c r="A1914" t="s">
        <v>2009</v>
      </c>
      <c r="B1914" s="2" t="s">
        <v>138</v>
      </c>
      <c r="C1914" s="5">
        <f>6853/(60*60*24)</f>
        <v>7.9317129629629626E-2</v>
      </c>
      <c r="D1914" s="4">
        <f>1681/(60*60*24)</f>
        <v>1.9456018518518518E-2</v>
      </c>
      <c r="E1914" s="3">
        <f>4445/(60*60*24)</f>
        <v>5.1446759259259262E-2</v>
      </c>
      <c r="F1914" s="6">
        <f>14963/(60*60*24)</f>
        <v>0.17318287037037036</v>
      </c>
      <c r="G1914" s="7" t="s">
        <v>9</v>
      </c>
    </row>
    <row r="1915" spans="1:7" x14ac:dyDescent="0.45">
      <c r="A1915" t="s">
        <v>2010</v>
      </c>
      <c r="B1915" s="2" t="s">
        <v>140</v>
      </c>
      <c r="C1915" s="5">
        <f>6652/(60*60*24)</f>
        <v>7.6990740740740735E-2</v>
      </c>
      <c r="D1915" s="4">
        <f>1726/(60*60*24)</f>
        <v>1.9976851851851853E-2</v>
      </c>
      <c r="E1915" s="3">
        <f>4590/(60*60*24)</f>
        <v>5.3124999999999999E-2</v>
      </c>
      <c r="F1915" s="6">
        <f>15162/(60*60*24)</f>
        <v>0.17548611111111112</v>
      </c>
      <c r="G1915" s="7" t="s">
        <v>9</v>
      </c>
    </row>
    <row r="1916" spans="1:7" x14ac:dyDescent="0.45">
      <c r="A1916" t="s">
        <v>2011</v>
      </c>
      <c r="B1916" s="2" t="s">
        <v>144</v>
      </c>
      <c r="C1916" s="5">
        <f>6195/(60*60*24)</f>
        <v>7.1701388888888884E-2</v>
      </c>
      <c r="D1916" s="4">
        <f>2023/(60*60*24)</f>
        <v>2.3414351851851853E-2</v>
      </c>
      <c r="E1916" s="3">
        <f>5450/(60*60*24)</f>
        <v>6.3078703703703706E-2</v>
      </c>
      <c r="F1916" s="6">
        <f>16974/(60*60*24)</f>
        <v>0.19645833333333335</v>
      </c>
      <c r="G1916" s="7" t="s">
        <v>9</v>
      </c>
    </row>
    <row r="1917" spans="1:7" x14ac:dyDescent="0.45">
      <c r="A1917" t="s">
        <v>2012</v>
      </c>
      <c r="B1917" s="2" t="s">
        <v>142</v>
      </c>
      <c r="C1917" s="8" t="s">
        <v>12</v>
      </c>
      <c r="D1917" s="4">
        <f>1881/(60*60*24)</f>
        <v>2.1770833333333333E-2</v>
      </c>
      <c r="E1917" s="3">
        <f>4489/(60*60*24)</f>
        <v>5.1956018518518519E-2</v>
      </c>
      <c r="F1917" s="5">
        <f>15866/(60*60*24)</f>
        <v>0.18363425925925925</v>
      </c>
      <c r="G1917" s="7" t="s">
        <v>9</v>
      </c>
    </row>
    <row r="1918" spans="1:7" x14ac:dyDescent="0.45">
      <c r="A1918" t="s">
        <v>2013</v>
      </c>
      <c r="B1918" s="2" t="s">
        <v>146</v>
      </c>
      <c r="C1918" s="5">
        <f>6269/(60*60*24)</f>
        <v>7.255787037037037E-2</v>
      </c>
      <c r="D1918" s="4">
        <f>2054/(60*60*24)</f>
        <v>2.3773148148148147E-2</v>
      </c>
      <c r="E1918" s="3">
        <f>5319/(60*60*24)</f>
        <v>6.1562499999999999E-2</v>
      </c>
      <c r="F1918" s="6">
        <f>17611/(60*60*24)</f>
        <v>0.20383101851851851</v>
      </c>
      <c r="G1918" s="7" t="s">
        <v>9</v>
      </c>
    </row>
    <row r="1919" spans="1:7" x14ac:dyDescent="0.45">
      <c r="A1919" t="s">
        <v>2014</v>
      </c>
      <c r="B1919" s="2" t="s">
        <v>148</v>
      </c>
      <c r="C1919" s="8" t="s">
        <v>12</v>
      </c>
      <c r="D1919" s="4">
        <f>2053/(60*60*24)</f>
        <v>2.3761574074074074E-2</v>
      </c>
      <c r="E1919" s="3">
        <f>5395/(60*60*24)</f>
        <v>6.2442129629629632E-2</v>
      </c>
      <c r="F1919" s="5">
        <f>18341/(60*60*24)</f>
        <v>0.21228009259259259</v>
      </c>
      <c r="G1919" s="7" t="s">
        <v>9</v>
      </c>
    </row>
    <row r="1920" spans="1:7" x14ac:dyDescent="0.45">
      <c r="A1920" t="s">
        <v>2015</v>
      </c>
      <c r="B1920" s="2" t="s">
        <v>150</v>
      </c>
      <c r="C1920" s="5">
        <f>6029/(60*60*24)</f>
        <v>6.9780092592592588E-2</v>
      </c>
      <c r="D1920" s="4">
        <f>1953/(60*60*24)</f>
        <v>2.2604166666666668E-2</v>
      </c>
      <c r="E1920" s="3">
        <f>5339/(60*60*24)</f>
        <v>6.1793981481481484E-2</v>
      </c>
      <c r="F1920" s="6">
        <f>19216/(60*60*24)</f>
        <v>0.22240740740740741</v>
      </c>
      <c r="G1920" s="7" t="s">
        <v>9</v>
      </c>
    </row>
    <row r="1921" spans="1:7" x14ac:dyDescent="0.45">
      <c r="A1921" t="s">
        <v>2016</v>
      </c>
      <c r="B1921" s="2" t="s">
        <v>152</v>
      </c>
      <c r="C1921" s="5">
        <f>5898/(60*60*24)</f>
        <v>6.8263888888888888E-2</v>
      </c>
      <c r="D1921" s="4">
        <f>2016/(60*60*24)</f>
        <v>2.3333333333333334E-2</v>
      </c>
      <c r="E1921" s="3">
        <f>5541/(60*60*24)</f>
        <v>6.413194444444445E-2</v>
      </c>
      <c r="F1921" s="6">
        <f>20314/(60*60*24)</f>
        <v>0.23511574074074074</v>
      </c>
      <c r="G1921" s="7" t="s">
        <v>9</v>
      </c>
    </row>
    <row r="1922" spans="1:7" x14ac:dyDescent="0.45">
      <c r="A1922" t="s">
        <v>2017</v>
      </c>
      <c r="B1922" s="2" t="s">
        <v>154</v>
      </c>
      <c r="C1922" s="8" t="s">
        <v>12</v>
      </c>
      <c r="D1922" s="4">
        <f>2059/(60*60*24)</f>
        <v>2.3831018518518519E-2</v>
      </c>
      <c r="E1922" s="3">
        <f>5659/(60*60*24)</f>
        <v>6.5497685185185187E-2</v>
      </c>
      <c r="F1922" s="5">
        <f>21661/(60*60*24)</f>
        <v>0.25070601851851854</v>
      </c>
      <c r="G1922" s="7" t="s">
        <v>9</v>
      </c>
    </row>
    <row r="1923" spans="1:7" x14ac:dyDescent="0.45">
      <c r="A1923" t="s">
        <v>2018</v>
      </c>
      <c r="B1923" s="2" t="s">
        <v>156</v>
      </c>
      <c r="C1923" s="8" t="s">
        <v>12</v>
      </c>
      <c r="D1923" s="4">
        <f>2136/(60*60*24)</f>
        <v>2.4722222222222222E-2</v>
      </c>
      <c r="E1923" s="3">
        <f>5969/(60*60*24)</f>
        <v>6.9085648148148146E-2</v>
      </c>
      <c r="F1923" s="5">
        <f>21779/(60*60*24)</f>
        <v>0.25207175925925923</v>
      </c>
      <c r="G1923" s="7" t="s">
        <v>9</v>
      </c>
    </row>
    <row r="1924" spans="1:7" x14ac:dyDescent="0.45">
      <c r="A1924" t="s">
        <v>2019</v>
      </c>
      <c r="B1924" s="2" t="s">
        <v>160</v>
      </c>
      <c r="C1924" s="8" t="s">
        <v>12</v>
      </c>
      <c r="D1924" s="4">
        <f>2147/(60*60*24)</f>
        <v>2.4849537037037038E-2</v>
      </c>
      <c r="E1924" s="3">
        <f>5967/(60*60*24)</f>
        <v>6.9062499999999999E-2</v>
      </c>
      <c r="F1924" s="5">
        <f>22214/(60*60*24)</f>
        <v>0.25710648148148146</v>
      </c>
      <c r="G1924" s="7" t="s">
        <v>9</v>
      </c>
    </row>
    <row r="1925" spans="1:7" x14ac:dyDescent="0.45">
      <c r="A1925" t="s">
        <v>2020</v>
      </c>
      <c r="B1925" s="2" t="s">
        <v>158</v>
      </c>
      <c r="C1925" s="8" t="s">
        <v>12</v>
      </c>
      <c r="D1925" s="4">
        <f>2383/(60*60*24)</f>
        <v>2.7581018518518519E-2</v>
      </c>
      <c r="E1925" s="3">
        <f>6545/(60*60*24)</f>
        <v>7.5752314814814814E-2</v>
      </c>
      <c r="F1925" s="5">
        <f>23471/(60*60*24)</f>
        <v>0.27165509259259257</v>
      </c>
      <c r="G1925" s="7" t="s">
        <v>9</v>
      </c>
    </row>
    <row r="1926" spans="1:7" x14ac:dyDescent="0.45">
      <c r="A1926" t="s">
        <v>2021</v>
      </c>
      <c r="B1926" s="2" t="s">
        <v>164</v>
      </c>
      <c r="C1926" s="5">
        <f>12797/(60*60*24)</f>
        <v>0.14811342592592591</v>
      </c>
      <c r="D1926" s="4">
        <f>2386/(60*60*24)</f>
        <v>2.7615740740740739E-2</v>
      </c>
      <c r="E1926" s="3">
        <f>6964/(60*60*24)</f>
        <v>8.0601851851851855E-2</v>
      </c>
      <c r="F1926" s="6">
        <f>24527/(60*60*24)</f>
        <v>0.28387731481481482</v>
      </c>
      <c r="G1926" s="7" t="s">
        <v>9</v>
      </c>
    </row>
    <row r="1927" spans="1:7" x14ac:dyDescent="0.45">
      <c r="A1927" t="s">
        <v>2022</v>
      </c>
      <c r="B1927" s="2" t="s">
        <v>162</v>
      </c>
      <c r="C1927" s="8" t="s">
        <v>12</v>
      </c>
      <c r="D1927" s="4">
        <f>2310/(60*60*24)</f>
        <v>2.673611111111111E-2</v>
      </c>
      <c r="E1927" s="3">
        <f>6762/(60*60*24)</f>
        <v>7.8263888888888883E-2</v>
      </c>
      <c r="F1927" s="5">
        <f>23719/(60*60*24)</f>
        <v>0.27452546296296299</v>
      </c>
      <c r="G1927" s="7" t="s">
        <v>9</v>
      </c>
    </row>
    <row r="1928" spans="1:7" x14ac:dyDescent="0.45">
      <c r="A1928" t="s">
        <v>2023</v>
      </c>
      <c r="B1928" s="2" t="s">
        <v>168</v>
      </c>
      <c r="C1928" s="5">
        <f>9499/(60*60*24)</f>
        <v>0.10994212962962963</v>
      </c>
      <c r="D1928" s="4">
        <f>2518/(60*60*24)</f>
        <v>2.914351851851852E-2</v>
      </c>
      <c r="E1928" s="3">
        <f>7541/(60*60*24)</f>
        <v>8.728009259259259E-2</v>
      </c>
      <c r="F1928" s="6">
        <f>25791/(60*60*24)</f>
        <v>0.29850694444444442</v>
      </c>
      <c r="G1928" s="7" t="s">
        <v>9</v>
      </c>
    </row>
    <row r="1929" spans="1:7" x14ac:dyDescent="0.45">
      <c r="A1929" t="s">
        <v>2024</v>
      </c>
      <c r="B1929" s="2" t="s">
        <v>166</v>
      </c>
      <c r="C1929" s="3">
        <f>6845/(60*60*24)</f>
        <v>7.9224537037037038E-2</v>
      </c>
      <c r="D1929" s="4">
        <f>2390/(60*60*24)</f>
        <v>2.7662037037037037E-2</v>
      </c>
      <c r="E1929" s="5">
        <f>7372/(60*60*24)</f>
        <v>8.532407407407408E-2</v>
      </c>
      <c r="F1929" s="6">
        <f>26185/(60*60*24)</f>
        <v>0.30306712962962962</v>
      </c>
      <c r="G1929" s="7" t="s">
        <v>9</v>
      </c>
    </row>
    <row r="1930" spans="1:7" x14ac:dyDescent="0.45">
      <c r="A1930" t="s">
        <v>2025</v>
      </c>
      <c r="B1930" s="2" t="s">
        <v>170</v>
      </c>
      <c r="C1930" s="3">
        <f>6608/(60*60*24)</f>
        <v>7.6481481481481484E-2</v>
      </c>
      <c r="D1930" s="4">
        <f>2405/(60*60*24)</f>
        <v>2.7835648148148148E-2</v>
      </c>
      <c r="E1930" s="5">
        <f>7449/(60*60*24)</f>
        <v>8.621527777777778E-2</v>
      </c>
      <c r="F1930" s="6">
        <f>26760/(60*60*24)</f>
        <v>0.30972222222222223</v>
      </c>
      <c r="G1930" s="7" t="s">
        <v>9</v>
      </c>
    </row>
    <row r="1931" spans="1:7" x14ac:dyDescent="0.45">
      <c r="A1931" t="s">
        <v>2026</v>
      </c>
      <c r="B1931" s="2" t="s">
        <v>172</v>
      </c>
      <c r="C1931" s="3">
        <f>6993/(60*60*24)</f>
        <v>8.0937499999999996E-2</v>
      </c>
      <c r="D1931" s="4">
        <f>2526/(60*60*24)</f>
        <v>2.9236111111111112E-2</v>
      </c>
      <c r="E1931" s="5">
        <f>7574/(60*60*24)</f>
        <v>8.7662037037037038E-2</v>
      </c>
      <c r="F1931" s="6">
        <f>26884/(60*60*24)</f>
        <v>0.31115740740740738</v>
      </c>
      <c r="G1931" s="7" t="s">
        <v>9</v>
      </c>
    </row>
    <row r="1932" spans="1:7" x14ac:dyDescent="0.45">
      <c r="A1932" t="s">
        <v>2027</v>
      </c>
      <c r="B1932" s="2" t="s">
        <v>176</v>
      </c>
      <c r="C1932" s="5">
        <f>10360/(60*60*24)</f>
        <v>0.11990740740740741</v>
      </c>
      <c r="D1932" s="4">
        <f>2670/(60*60*24)</f>
        <v>3.0902777777777779E-2</v>
      </c>
      <c r="E1932" s="3">
        <f>7809/(60*60*24)</f>
        <v>9.0381944444444445E-2</v>
      </c>
      <c r="F1932" s="6">
        <f>27512/(60*60*24)</f>
        <v>0.31842592592592595</v>
      </c>
      <c r="G1932" s="7" t="s">
        <v>9</v>
      </c>
    </row>
    <row r="1933" spans="1:7" x14ac:dyDescent="0.45">
      <c r="A1933" t="s">
        <v>2028</v>
      </c>
      <c r="B1933" s="2" t="s">
        <v>174</v>
      </c>
      <c r="C1933" s="8" t="s">
        <v>12</v>
      </c>
      <c r="D1933" s="4">
        <f>2725/(60*60*24)</f>
        <v>3.1539351851851853E-2</v>
      </c>
      <c r="E1933" s="3">
        <f>8100/(60*60*24)</f>
        <v>9.375E-2</v>
      </c>
      <c r="F1933" s="5">
        <f>28513/(60*60*24)</f>
        <v>0.33001157407407405</v>
      </c>
      <c r="G1933" s="7" t="s">
        <v>9</v>
      </c>
    </row>
    <row r="1934" spans="1:7" x14ac:dyDescent="0.45">
      <c r="A1934" t="s">
        <v>2029</v>
      </c>
      <c r="B1934" s="2" t="s">
        <v>180</v>
      </c>
      <c r="C1934" s="5">
        <f>9366/(60*60*24)</f>
        <v>0.10840277777777778</v>
      </c>
      <c r="D1934" s="4">
        <f>2774/(60*60*24)</f>
        <v>3.2106481481481479E-2</v>
      </c>
      <c r="E1934" s="3">
        <f>8239/(60*60*24)</f>
        <v>9.5358796296296303E-2</v>
      </c>
      <c r="F1934" s="6">
        <f>29293/(60*60*24)</f>
        <v>0.33903935185185186</v>
      </c>
      <c r="G1934" s="7" t="s">
        <v>9</v>
      </c>
    </row>
    <row r="1935" spans="1:7" x14ac:dyDescent="0.45">
      <c r="A1935" t="s">
        <v>2030</v>
      </c>
      <c r="B1935" s="2" t="s">
        <v>178</v>
      </c>
      <c r="C1935" s="8" t="s">
        <v>12</v>
      </c>
      <c r="D1935" s="4">
        <f>2766/(60*60*24)</f>
        <v>3.201388888888889E-2</v>
      </c>
      <c r="E1935" s="3">
        <f>8565/(60*60*24)</f>
        <v>9.9131944444444439E-2</v>
      </c>
      <c r="F1935" s="5">
        <f>29908/(60*60*24)</f>
        <v>0.34615740740740741</v>
      </c>
      <c r="G1935" s="7" t="s">
        <v>9</v>
      </c>
    </row>
    <row r="1936" spans="1:7" x14ac:dyDescent="0.45">
      <c r="A1936" t="s">
        <v>2031</v>
      </c>
      <c r="B1936" s="2" t="s">
        <v>182</v>
      </c>
      <c r="C1936" s="8" t="s">
        <v>12</v>
      </c>
      <c r="D1936" s="4">
        <f>2842/(60*60*24)</f>
        <v>3.2893518518518516E-2</v>
      </c>
      <c r="E1936" s="3">
        <f>8669/(60*60*24)</f>
        <v>0.10033564814814815</v>
      </c>
      <c r="F1936" s="5">
        <f>30406/(60*60*24)</f>
        <v>0.35192129629629632</v>
      </c>
      <c r="G1936" s="7" t="s">
        <v>9</v>
      </c>
    </row>
    <row r="1937" spans="1:7" x14ac:dyDescent="0.45">
      <c r="A1937" t="s">
        <v>2032</v>
      </c>
      <c r="B1937" s="2" t="s">
        <v>184</v>
      </c>
      <c r="C1937" s="8" t="s">
        <v>12</v>
      </c>
      <c r="D1937" s="4">
        <f>2961/(60*60*24)</f>
        <v>3.4270833333333334E-2</v>
      </c>
      <c r="E1937" s="3">
        <f>8955/(60*60*24)</f>
        <v>0.10364583333333334</v>
      </c>
      <c r="F1937" s="5">
        <f>31076/(60*60*24)</f>
        <v>0.3596759259259259</v>
      </c>
      <c r="G1937" s="7" t="s">
        <v>9</v>
      </c>
    </row>
    <row r="1938" spans="1:7" x14ac:dyDescent="0.45">
      <c r="A1938" t="s">
        <v>2033</v>
      </c>
      <c r="B1938" s="2" t="s">
        <v>8</v>
      </c>
      <c r="C1938" s="8" t="s">
        <v>12</v>
      </c>
      <c r="D1938" s="4">
        <f>2489/(60*60*24)</f>
        <v>2.8807870370370369E-2</v>
      </c>
      <c r="E1938" s="3">
        <f>9039/(60*60*24)</f>
        <v>0.10461805555555556</v>
      </c>
      <c r="F1938" s="5">
        <f>30675/(60*60*24)</f>
        <v>0.35503472222222221</v>
      </c>
      <c r="G1938" s="7" t="s">
        <v>9</v>
      </c>
    </row>
    <row r="1939" spans="1:7" x14ac:dyDescent="0.45">
      <c r="A1939" t="s">
        <v>2034</v>
      </c>
      <c r="B1939" s="2" t="s">
        <v>11</v>
      </c>
      <c r="C1939" s="8" t="s">
        <v>12</v>
      </c>
      <c r="D1939" s="4">
        <f>2401/(60*60*24)</f>
        <v>2.7789351851851853E-2</v>
      </c>
      <c r="E1939" s="3">
        <f>8827/(60*60*24)</f>
        <v>0.10216435185185185</v>
      </c>
      <c r="F1939" s="5">
        <f>30102/(60*60*24)</f>
        <v>0.34840277777777778</v>
      </c>
      <c r="G1939" s="7" t="s">
        <v>9</v>
      </c>
    </row>
    <row r="1940" spans="1:7" x14ac:dyDescent="0.45">
      <c r="A1940" t="s">
        <v>2035</v>
      </c>
      <c r="B1940" s="2" t="s">
        <v>14</v>
      </c>
      <c r="C1940" s="8" t="s">
        <v>12</v>
      </c>
      <c r="D1940" s="4">
        <f>2267/(60*60*24)</f>
        <v>2.6238425925925925E-2</v>
      </c>
      <c r="E1940" s="3">
        <f>8623/(60*60*24)</f>
        <v>9.9803240740740734E-2</v>
      </c>
      <c r="F1940" s="5">
        <f>29417/(60*60*24)</f>
        <v>0.34047453703703706</v>
      </c>
      <c r="G1940" s="7" t="s">
        <v>9</v>
      </c>
    </row>
    <row r="1941" spans="1:7" x14ac:dyDescent="0.45">
      <c r="A1941" t="s">
        <v>2036</v>
      </c>
      <c r="B1941" s="2" t="s">
        <v>16</v>
      </c>
      <c r="C1941" s="8" t="s">
        <v>12</v>
      </c>
      <c r="D1941" s="4">
        <f>2143/(60*60*24)</f>
        <v>2.480324074074074E-2</v>
      </c>
      <c r="E1941" s="3">
        <f>8451/(60*60*24)</f>
        <v>9.7812499999999997E-2</v>
      </c>
      <c r="F1941" s="5">
        <f>28796/(60*60*24)</f>
        <v>0.33328703703703705</v>
      </c>
      <c r="G1941" s="7" t="s">
        <v>9</v>
      </c>
    </row>
    <row r="1942" spans="1:7" x14ac:dyDescent="0.45">
      <c r="A1942" t="s">
        <v>2037</v>
      </c>
      <c r="B1942" s="2" t="s">
        <v>18</v>
      </c>
      <c r="C1942" s="3">
        <f>6519/(60*60*24)</f>
        <v>7.5451388888888887E-2</v>
      </c>
      <c r="D1942" s="4">
        <f>2104/(60*60*24)</f>
        <v>2.435185185185185E-2</v>
      </c>
      <c r="E1942" s="5">
        <f>8273/(60*60*24)</f>
        <v>9.5752314814814818E-2</v>
      </c>
      <c r="F1942" s="6">
        <f>27871/(60*60*24)</f>
        <v>0.3225810185185185</v>
      </c>
      <c r="G1942" s="7" t="s">
        <v>9</v>
      </c>
    </row>
    <row r="1943" spans="1:7" x14ac:dyDescent="0.45">
      <c r="A1943" t="s">
        <v>2038</v>
      </c>
      <c r="B1943" s="2" t="s">
        <v>20</v>
      </c>
      <c r="C1943" s="3">
        <f>6120/(60*60*24)</f>
        <v>7.0833333333333331E-2</v>
      </c>
      <c r="D1943" s="4">
        <f>2041/(60*60*24)</f>
        <v>2.3622685185185184E-2</v>
      </c>
      <c r="E1943" s="5">
        <f>8211/(60*60*24)</f>
        <v>9.5034722222222229E-2</v>
      </c>
      <c r="F1943" s="6">
        <f>27324/(60*60*24)</f>
        <v>0.31624999999999998</v>
      </c>
      <c r="G1943" s="7" t="s">
        <v>9</v>
      </c>
    </row>
    <row r="1944" spans="1:7" x14ac:dyDescent="0.45">
      <c r="A1944" t="s">
        <v>2039</v>
      </c>
      <c r="B1944" s="2" t="s">
        <v>22</v>
      </c>
      <c r="C1944" s="8" t="s">
        <v>12</v>
      </c>
      <c r="D1944" s="4">
        <f>2154/(60*60*24)</f>
        <v>2.4930555555555556E-2</v>
      </c>
      <c r="E1944" s="3">
        <f>7804/(60*60*24)</f>
        <v>9.0324074074074071E-2</v>
      </c>
      <c r="F1944" s="5">
        <f>26550/(60*60*24)</f>
        <v>0.30729166666666669</v>
      </c>
      <c r="G1944" s="7" t="s">
        <v>9</v>
      </c>
    </row>
    <row r="1945" spans="1:7" x14ac:dyDescent="0.45">
      <c r="A1945" t="s">
        <v>2040</v>
      </c>
      <c r="B1945" s="2" t="s">
        <v>24</v>
      </c>
      <c r="C1945" s="8" t="s">
        <v>12</v>
      </c>
      <c r="D1945" s="4">
        <f>2201/(60*60*24)</f>
        <v>2.5474537037037039E-2</v>
      </c>
      <c r="E1945" s="3">
        <f>7603/(60*60*24)</f>
        <v>8.7997685185185179E-2</v>
      </c>
      <c r="F1945" s="5">
        <f>25981/(60*60*24)</f>
        <v>0.30070601851851853</v>
      </c>
      <c r="G1945" s="7" t="s">
        <v>9</v>
      </c>
    </row>
    <row r="1946" spans="1:7" x14ac:dyDescent="0.45">
      <c r="A1946" t="s">
        <v>2041</v>
      </c>
      <c r="B1946" s="2" t="s">
        <v>26</v>
      </c>
      <c r="C1946" s="3">
        <f>7328/(60*60*24)</f>
        <v>8.4814814814814815E-2</v>
      </c>
      <c r="D1946" s="4">
        <f>1996/(60*60*24)</f>
        <v>2.3101851851851853E-2</v>
      </c>
      <c r="E1946" s="5">
        <f>7459/(60*60*24)</f>
        <v>8.6331018518518515E-2</v>
      </c>
      <c r="F1946" s="6">
        <f>25353/(60*60*24)</f>
        <v>0.29343750000000002</v>
      </c>
      <c r="G1946" s="7" t="s">
        <v>9</v>
      </c>
    </row>
    <row r="1947" spans="1:7" x14ac:dyDescent="0.45">
      <c r="A1947" t="s">
        <v>2042</v>
      </c>
      <c r="B1947" s="2" t="s">
        <v>28</v>
      </c>
      <c r="C1947" s="8" t="s">
        <v>12</v>
      </c>
      <c r="D1947" s="4">
        <f>1930/(60*60*24)</f>
        <v>2.2337962962962962E-2</v>
      </c>
      <c r="E1947" s="3">
        <f>7177/(60*60*24)</f>
        <v>8.306712962962963E-2</v>
      </c>
      <c r="F1947" s="5">
        <f>24592/(60*60*24)</f>
        <v>0.28462962962962962</v>
      </c>
      <c r="G1947" s="7" t="s">
        <v>9</v>
      </c>
    </row>
    <row r="1948" spans="1:7" x14ac:dyDescent="0.45">
      <c r="A1948" t="s">
        <v>2043</v>
      </c>
      <c r="B1948" s="2" t="s">
        <v>30</v>
      </c>
      <c r="C1948" s="3">
        <f>5650/(60*60*24)</f>
        <v>6.5393518518518517E-2</v>
      </c>
      <c r="D1948" s="4">
        <f>2028/(60*60*24)</f>
        <v>2.3472222222222221E-2</v>
      </c>
      <c r="E1948" s="5">
        <f>7114/(60*60*24)</f>
        <v>8.233796296296296E-2</v>
      </c>
      <c r="F1948" s="6">
        <f>24318/(60*60*24)</f>
        <v>0.28145833333333331</v>
      </c>
      <c r="G1948" s="7" t="s">
        <v>9</v>
      </c>
    </row>
    <row r="1949" spans="1:7" x14ac:dyDescent="0.45">
      <c r="A1949" t="s">
        <v>2044</v>
      </c>
      <c r="B1949" s="2" t="s">
        <v>32</v>
      </c>
      <c r="C1949" s="3">
        <f>5209/(60*60*24)</f>
        <v>6.0289351851851851E-2</v>
      </c>
      <c r="D1949" s="4">
        <f>1763/(60*60*24)</f>
        <v>2.0405092592592593E-2</v>
      </c>
      <c r="E1949" s="5">
        <f>7050/(60*60*24)</f>
        <v>8.1597222222222224E-2</v>
      </c>
      <c r="F1949" s="6">
        <f>24049/(60*60*24)</f>
        <v>0.27834490740740742</v>
      </c>
      <c r="G1949" s="7" t="s">
        <v>9</v>
      </c>
    </row>
    <row r="1950" spans="1:7" x14ac:dyDescent="0.45">
      <c r="A1950" t="s">
        <v>2045</v>
      </c>
      <c r="B1950" s="2" t="s">
        <v>36</v>
      </c>
      <c r="C1950" s="3">
        <f>4783/(60*60*24)</f>
        <v>5.5358796296296295E-2</v>
      </c>
      <c r="D1950" s="4">
        <f>1622/(60*60*24)</f>
        <v>1.8773148148148146E-2</v>
      </c>
      <c r="E1950" s="5">
        <f>6918/(60*60*24)</f>
        <v>8.0069444444444443E-2</v>
      </c>
      <c r="F1950" s="6">
        <f>23293/(60*60*24)</f>
        <v>0.26959490740740738</v>
      </c>
      <c r="G1950" s="7" t="s">
        <v>9</v>
      </c>
    </row>
    <row r="1951" spans="1:7" x14ac:dyDescent="0.45">
      <c r="A1951" t="s">
        <v>2046</v>
      </c>
      <c r="B1951" s="2" t="s">
        <v>34</v>
      </c>
      <c r="C1951" s="8" t="s">
        <v>12</v>
      </c>
      <c r="D1951" s="4">
        <f>1473/(60*60*24)</f>
        <v>1.7048611111111112E-2</v>
      </c>
      <c r="E1951" s="3">
        <f>7055/(60*60*24)</f>
        <v>8.1655092592592599E-2</v>
      </c>
      <c r="F1951" s="5">
        <f>22692/(60*60*24)</f>
        <v>0.26263888888888887</v>
      </c>
      <c r="G1951" s="7" t="s">
        <v>9</v>
      </c>
    </row>
    <row r="1952" spans="1:7" x14ac:dyDescent="0.45">
      <c r="A1952" t="s">
        <v>2047</v>
      </c>
      <c r="B1952" s="2" t="s">
        <v>40</v>
      </c>
      <c r="C1952" s="3">
        <f>5051/(60*60*24)</f>
        <v>5.846064814814815E-2</v>
      </c>
      <c r="D1952" s="4">
        <f>2303/(60*60*24)</f>
        <v>2.6655092592592591E-2</v>
      </c>
      <c r="E1952" s="5">
        <f>6551/(60*60*24)</f>
        <v>7.5821759259259255E-2</v>
      </c>
      <c r="F1952" s="6">
        <f>21437/(60*60*24)</f>
        <v>0.24811342592592592</v>
      </c>
      <c r="G1952" s="7" t="s">
        <v>9</v>
      </c>
    </row>
    <row r="1953" spans="1:7" x14ac:dyDescent="0.45">
      <c r="A1953" t="s">
        <v>2048</v>
      </c>
      <c r="B1953" s="2" t="s">
        <v>38</v>
      </c>
      <c r="C1953" s="8" t="s">
        <v>12</v>
      </c>
      <c r="D1953" s="4">
        <f>1793/(60*60*24)</f>
        <v>2.0752314814814814E-2</v>
      </c>
      <c r="E1953" s="3">
        <f>6762/(60*60*24)</f>
        <v>7.8263888888888883E-2</v>
      </c>
      <c r="F1953" s="5">
        <f>22053/(60*60*24)</f>
        <v>0.25524305555555554</v>
      </c>
      <c r="G1953" s="7" t="s">
        <v>9</v>
      </c>
    </row>
    <row r="1954" spans="1:7" x14ac:dyDescent="0.45">
      <c r="A1954" t="s">
        <v>2049</v>
      </c>
      <c r="B1954" s="2" t="s">
        <v>44</v>
      </c>
      <c r="C1954" s="3">
        <f>4289/(60*60*24)</f>
        <v>4.9641203703703701E-2</v>
      </c>
      <c r="D1954" s="4">
        <f>2054/(60*60*24)</f>
        <v>2.3773148148148147E-2</v>
      </c>
      <c r="E1954" s="5">
        <f>6290/(60*60*24)</f>
        <v>7.2800925925925922E-2</v>
      </c>
      <c r="F1954" s="6">
        <f>20593/(60*60*24)</f>
        <v>0.23834490740740741</v>
      </c>
      <c r="G1954" s="7" t="s">
        <v>9</v>
      </c>
    </row>
    <row r="1955" spans="1:7" x14ac:dyDescent="0.45">
      <c r="A1955" t="s">
        <v>2050</v>
      </c>
      <c r="B1955" s="2" t="s">
        <v>42</v>
      </c>
      <c r="C1955" s="3">
        <f>4097/(60*60*24)</f>
        <v>4.7418981481481479E-2</v>
      </c>
      <c r="D1955" s="4">
        <f>1918/(60*60*24)</f>
        <v>2.2199074074074072E-2</v>
      </c>
      <c r="E1955" s="5">
        <f>6056/(60*60*24)</f>
        <v>7.0092592592592595E-2</v>
      </c>
      <c r="F1955" s="6">
        <f>19742/(60*60*24)</f>
        <v>0.22849537037037038</v>
      </c>
      <c r="G1955" s="7" t="s">
        <v>9</v>
      </c>
    </row>
    <row r="1956" spans="1:7" x14ac:dyDescent="0.45">
      <c r="A1956" t="s">
        <v>2051</v>
      </c>
      <c r="B1956" s="2" t="s">
        <v>46</v>
      </c>
      <c r="C1956" s="3">
        <f>4602/(60*60*24)</f>
        <v>5.3263888888888888E-2</v>
      </c>
      <c r="D1956" s="4">
        <f>1781/(60*60*24)</f>
        <v>2.0613425925925927E-2</v>
      </c>
      <c r="E1956" s="5">
        <f>5903/(60*60*24)</f>
        <v>6.8321759259259263E-2</v>
      </c>
      <c r="F1956" s="6">
        <f>19086/(60*60*24)</f>
        <v>0.22090277777777778</v>
      </c>
      <c r="G1956" s="7" t="s">
        <v>9</v>
      </c>
    </row>
    <row r="1957" spans="1:7" x14ac:dyDescent="0.45">
      <c r="A1957" t="s">
        <v>2052</v>
      </c>
      <c r="B1957" s="2" t="s">
        <v>48</v>
      </c>
      <c r="C1957" s="3">
        <f>4552/(60*60*24)</f>
        <v>5.2685185185185182E-2</v>
      </c>
      <c r="D1957" s="4">
        <f>1825/(60*60*24)</f>
        <v>2.1122685185185185E-2</v>
      </c>
      <c r="E1957" s="5">
        <f>5754/(60*60*24)</f>
        <v>6.6597222222222224E-2</v>
      </c>
      <c r="F1957" s="6">
        <f>18497/(60*60*24)</f>
        <v>0.21408564814814815</v>
      </c>
      <c r="G1957" s="7" t="s">
        <v>9</v>
      </c>
    </row>
    <row r="1958" spans="1:7" x14ac:dyDescent="0.45">
      <c r="A1958" t="s">
        <v>2053</v>
      </c>
      <c r="B1958" s="2" t="s">
        <v>50</v>
      </c>
      <c r="C1958" s="3">
        <f>4807/(60*60*24)</f>
        <v>5.5636574074074074E-2</v>
      </c>
      <c r="D1958" s="4">
        <f>2056/(60*60*24)</f>
        <v>2.3796296296296298E-2</v>
      </c>
      <c r="E1958" s="5">
        <f>5578/(60*60*24)</f>
        <v>6.4560185185185179E-2</v>
      </c>
      <c r="F1958" s="6">
        <f>17899/(60*60*24)</f>
        <v>0.20716435185185186</v>
      </c>
      <c r="G1958" s="7" t="s">
        <v>9</v>
      </c>
    </row>
    <row r="1959" spans="1:7" x14ac:dyDescent="0.45">
      <c r="A1959" t="s">
        <v>2054</v>
      </c>
      <c r="B1959" s="2" t="s">
        <v>52</v>
      </c>
      <c r="C1959" s="3">
        <f>4331/(60*60*24)</f>
        <v>5.0127314814814812E-2</v>
      </c>
      <c r="D1959" s="4">
        <f>1857/(60*60*24)</f>
        <v>2.1493055555555557E-2</v>
      </c>
      <c r="E1959" s="5">
        <f>5416/(60*60*24)</f>
        <v>6.2685185185185191E-2</v>
      </c>
      <c r="F1959" s="6">
        <f>17284/(60*60*24)</f>
        <v>0.20004629629629631</v>
      </c>
      <c r="G1959" s="7" t="s">
        <v>9</v>
      </c>
    </row>
    <row r="1960" spans="1:7" x14ac:dyDescent="0.45">
      <c r="A1960" t="s">
        <v>2055</v>
      </c>
      <c r="B1960" s="2" t="s">
        <v>54</v>
      </c>
      <c r="C1960" s="3">
        <f>4008/(60*60*24)</f>
        <v>4.6388888888888889E-2</v>
      </c>
      <c r="D1960" s="4">
        <f>2076/(60*60*24)</f>
        <v>2.4027777777777776E-2</v>
      </c>
      <c r="E1960" s="5">
        <f>5288/(60*60*24)</f>
        <v>6.1203703703703705E-2</v>
      </c>
      <c r="F1960" s="6">
        <f>16598/(60*60*24)</f>
        <v>0.19210648148148149</v>
      </c>
      <c r="G1960" s="7" t="s">
        <v>9</v>
      </c>
    </row>
    <row r="1961" spans="1:7" x14ac:dyDescent="0.45">
      <c r="A1961" t="s">
        <v>2056</v>
      </c>
      <c r="B1961" s="2" t="s">
        <v>56</v>
      </c>
      <c r="C1961" s="3">
        <f>3894/(60*60*24)</f>
        <v>4.5069444444444447E-2</v>
      </c>
      <c r="D1961" s="4">
        <f>2036/(60*60*24)</f>
        <v>2.3564814814814816E-2</v>
      </c>
      <c r="E1961" s="5">
        <f>5069/(60*60*24)</f>
        <v>5.8668981481481482E-2</v>
      </c>
      <c r="F1961" s="6">
        <f>16008/(60*60*24)</f>
        <v>0.18527777777777779</v>
      </c>
      <c r="G1961" s="7" t="s">
        <v>9</v>
      </c>
    </row>
    <row r="1962" spans="1:7" x14ac:dyDescent="0.45">
      <c r="A1962" t="s">
        <v>2057</v>
      </c>
      <c r="B1962" s="2" t="s">
        <v>58</v>
      </c>
      <c r="C1962" s="3">
        <f>3830/(60*60*24)</f>
        <v>4.4328703703703703E-2</v>
      </c>
      <c r="D1962" s="4">
        <f>2122/(60*60*24)</f>
        <v>2.4560185185185185E-2</v>
      </c>
      <c r="E1962" s="5">
        <f>4899/(60*60*24)</f>
        <v>5.6701388888888891E-2</v>
      </c>
      <c r="F1962" s="6">
        <f>15295/(60*60*24)</f>
        <v>0.17702546296296295</v>
      </c>
      <c r="G1962" s="7" t="s">
        <v>9</v>
      </c>
    </row>
    <row r="1963" spans="1:7" x14ac:dyDescent="0.45">
      <c r="A1963" t="s">
        <v>2058</v>
      </c>
      <c r="B1963" s="2" t="s">
        <v>60</v>
      </c>
      <c r="C1963" s="3">
        <f>3870/(60*60*24)</f>
        <v>4.4791666666666667E-2</v>
      </c>
      <c r="D1963" s="4">
        <f>2128/(60*60*24)</f>
        <v>2.462962962962963E-2</v>
      </c>
      <c r="E1963" s="5">
        <f>4700/(60*60*24)</f>
        <v>5.4398148148148147E-2</v>
      </c>
      <c r="F1963" s="6">
        <f>14656/(60*60*24)</f>
        <v>0.16962962962962963</v>
      </c>
      <c r="G1963" s="7" t="s">
        <v>9</v>
      </c>
    </row>
    <row r="1964" spans="1:7" x14ac:dyDescent="0.45">
      <c r="A1964" t="s">
        <v>2059</v>
      </c>
      <c r="B1964" s="2" t="s">
        <v>62</v>
      </c>
      <c r="C1964" s="3">
        <f>3372/(60*60*24)</f>
        <v>3.9027777777777779E-2</v>
      </c>
      <c r="D1964" s="4">
        <f>2027/(60*60*24)</f>
        <v>2.3460648148148147E-2</v>
      </c>
      <c r="E1964" s="5">
        <f>4534/(60*60*24)</f>
        <v>5.2476851851851851E-2</v>
      </c>
      <c r="F1964" s="6">
        <f>14021/(60*60*24)</f>
        <v>0.1622800925925926</v>
      </c>
      <c r="G1964" s="7" t="s">
        <v>9</v>
      </c>
    </row>
    <row r="1965" spans="1:7" x14ac:dyDescent="0.45">
      <c r="A1965" t="s">
        <v>2060</v>
      </c>
      <c r="B1965" s="2" t="s">
        <v>64</v>
      </c>
      <c r="C1965" s="3">
        <f>3231/(60*60*24)</f>
        <v>3.7395833333333336E-2</v>
      </c>
      <c r="D1965" s="4">
        <f>1872/(60*60*24)</f>
        <v>2.1666666666666667E-2</v>
      </c>
      <c r="E1965" s="5">
        <f>4360/(60*60*24)</f>
        <v>5.0462962962962966E-2</v>
      </c>
      <c r="F1965" s="6">
        <f>13368/(60*60*24)</f>
        <v>0.15472222222222223</v>
      </c>
      <c r="G1965" s="7" t="s">
        <v>9</v>
      </c>
    </row>
    <row r="1966" spans="1:7" x14ac:dyDescent="0.45">
      <c r="A1966" t="s">
        <v>2061</v>
      </c>
      <c r="B1966" s="2" t="s">
        <v>66</v>
      </c>
      <c r="C1966" s="3">
        <f>3197/(60*60*24)</f>
        <v>3.7002314814814814E-2</v>
      </c>
      <c r="D1966" s="4">
        <f>1677/(60*60*24)</f>
        <v>1.9409722222222221E-2</v>
      </c>
      <c r="E1966" s="5">
        <f>4052/(60*60*24)</f>
        <v>4.6898148148148147E-2</v>
      </c>
      <c r="F1966" s="6">
        <f>12597/(60*60*24)</f>
        <v>0.14579861111111111</v>
      </c>
      <c r="G1966" s="7" t="s">
        <v>9</v>
      </c>
    </row>
    <row r="1967" spans="1:7" x14ac:dyDescent="0.45">
      <c r="A1967" t="s">
        <v>2062</v>
      </c>
      <c r="B1967" s="2" t="s">
        <v>68</v>
      </c>
      <c r="C1967" s="3">
        <f>3062/(60*60*24)</f>
        <v>3.5439814814814813E-2</v>
      </c>
      <c r="D1967" s="4">
        <f>1671/(60*60*24)</f>
        <v>1.9340277777777779E-2</v>
      </c>
      <c r="E1967" s="5">
        <f>3818/(60*60*24)</f>
        <v>4.4189814814814814E-2</v>
      </c>
      <c r="F1967" s="6">
        <f>12049/(60*60*24)</f>
        <v>0.13945601851851852</v>
      </c>
      <c r="G1967" s="7" t="s">
        <v>9</v>
      </c>
    </row>
    <row r="1968" spans="1:7" x14ac:dyDescent="0.45">
      <c r="A1968" t="s">
        <v>2063</v>
      </c>
      <c r="B1968" s="2" t="s">
        <v>70</v>
      </c>
      <c r="C1968" s="3">
        <f>2599/(60*60*24)</f>
        <v>3.0081018518518517E-2</v>
      </c>
      <c r="D1968" s="4">
        <f>1482/(60*60*24)</f>
        <v>1.7152777777777777E-2</v>
      </c>
      <c r="E1968" s="5">
        <f>3685/(60*60*24)</f>
        <v>4.2650462962962966E-2</v>
      </c>
      <c r="F1968" s="6">
        <f>11483/(60*60*24)</f>
        <v>0.13290509259259259</v>
      </c>
      <c r="G1968" s="7" t="s">
        <v>9</v>
      </c>
    </row>
    <row r="1969" spans="1:7" x14ac:dyDescent="0.45">
      <c r="A1969" t="s">
        <v>2064</v>
      </c>
      <c r="B1969" s="2" t="s">
        <v>72</v>
      </c>
      <c r="C1969" s="3">
        <f>2205/(60*60*24)</f>
        <v>2.5520833333333333E-2</v>
      </c>
      <c r="D1969" s="4">
        <f>1400/(60*60*24)</f>
        <v>1.6203703703703703E-2</v>
      </c>
      <c r="E1969" s="5">
        <f>3470/(60*60*24)</f>
        <v>4.0162037037037038E-2</v>
      </c>
      <c r="F1969" s="6">
        <f>11116/(60*60*24)</f>
        <v>0.12865740740740741</v>
      </c>
      <c r="G1969" s="7" t="s">
        <v>9</v>
      </c>
    </row>
    <row r="1970" spans="1:7" x14ac:dyDescent="0.45">
      <c r="A1970" t="s">
        <v>2065</v>
      </c>
      <c r="B1970" s="2" t="s">
        <v>74</v>
      </c>
      <c r="C1970" s="3">
        <f>2500/(60*60*24)</f>
        <v>2.8935185185185185E-2</v>
      </c>
      <c r="D1970" s="4">
        <f>1273/(60*60*24)</f>
        <v>1.4733796296296297E-2</v>
      </c>
      <c r="E1970" s="5">
        <f>3224/(60*60*24)</f>
        <v>3.7314814814814815E-2</v>
      </c>
      <c r="F1970" s="6">
        <f>10589/(60*60*24)</f>
        <v>0.12255787037037037</v>
      </c>
      <c r="G1970" s="7" t="s">
        <v>9</v>
      </c>
    </row>
    <row r="1971" spans="1:7" x14ac:dyDescent="0.45">
      <c r="A1971" t="s">
        <v>2066</v>
      </c>
      <c r="B1971" s="2" t="s">
        <v>76</v>
      </c>
      <c r="C1971" s="3">
        <f>2564/(60*60*24)</f>
        <v>2.9675925925925925E-2</v>
      </c>
      <c r="D1971" s="4">
        <f>1311/(60*60*24)</f>
        <v>1.5173611111111112E-2</v>
      </c>
      <c r="E1971" s="5">
        <f>3174/(60*60*24)</f>
        <v>3.6736111111111108E-2</v>
      </c>
      <c r="F1971" s="6">
        <f>10037/(60*60*24)</f>
        <v>0.11616898148148148</v>
      </c>
      <c r="G1971" s="7" t="s">
        <v>9</v>
      </c>
    </row>
    <row r="1972" spans="1:7" x14ac:dyDescent="0.45">
      <c r="A1972" t="s">
        <v>2067</v>
      </c>
      <c r="B1972" s="2" t="s">
        <v>78</v>
      </c>
      <c r="C1972" s="3">
        <f>2627/(60*60*24)</f>
        <v>3.0405092592592591E-2</v>
      </c>
      <c r="D1972" s="4">
        <f>1316/(60*60*24)</f>
        <v>1.5231481481481481E-2</v>
      </c>
      <c r="E1972" s="5">
        <f>2874/(60*60*24)</f>
        <v>3.3263888888888891E-2</v>
      </c>
      <c r="F1972" s="6">
        <f>9430/(60*60*24)</f>
        <v>0.10914351851851851</v>
      </c>
      <c r="G1972" s="7" t="s">
        <v>9</v>
      </c>
    </row>
    <row r="1973" spans="1:7" x14ac:dyDescent="0.45">
      <c r="A1973" t="s">
        <v>2068</v>
      </c>
      <c r="B1973" s="2" t="s">
        <v>80</v>
      </c>
      <c r="C1973" s="5">
        <f>2885/(60*60*24)</f>
        <v>3.3391203703703701E-2</v>
      </c>
      <c r="D1973" s="4">
        <f>1208/(60*60*24)</f>
        <v>1.3981481481481482E-2</v>
      </c>
      <c r="E1973" s="3">
        <f>2644/(60*60*24)</f>
        <v>3.0601851851851852E-2</v>
      </c>
      <c r="F1973" s="6">
        <f>8760/(60*60*24)</f>
        <v>0.10138888888888889</v>
      </c>
      <c r="G1973" s="7" t="s">
        <v>9</v>
      </c>
    </row>
    <row r="1974" spans="1:7" x14ac:dyDescent="0.45">
      <c r="A1974" t="s">
        <v>2069</v>
      </c>
      <c r="B1974" s="2" t="s">
        <v>84</v>
      </c>
      <c r="C1974" s="5">
        <f>2858/(60*60*24)</f>
        <v>3.30787037037037E-2</v>
      </c>
      <c r="D1974" s="4">
        <f>1242/(60*60*24)</f>
        <v>1.4375000000000001E-2</v>
      </c>
      <c r="E1974" s="3">
        <f>2402/(60*60*24)</f>
        <v>2.7800925925925927E-2</v>
      </c>
      <c r="F1974" s="6">
        <f>8303/(60*60*24)</f>
        <v>9.6099537037037039E-2</v>
      </c>
      <c r="G1974" s="7" t="s">
        <v>9</v>
      </c>
    </row>
    <row r="1975" spans="1:7" x14ac:dyDescent="0.45">
      <c r="A1975" t="s">
        <v>2070</v>
      </c>
      <c r="B1975" s="2" t="s">
        <v>82</v>
      </c>
      <c r="C1975" s="5">
        <f>2759/(60*60*24)</f>
        <v>3.1932870370370368E-2</v>
      </c>
      <c r="D1975" s="4">
        <f>1188/(60*60*24)</f>
        <v>1.375E-2</v>
      </c>
      <c r="E1975" s="3">
        <f>2276/(60*60*24)</f>
        <v>2.6342592592592591E-2</v>
      </c>
      <c r="F1975" s="6">
        <f>8059/(60*60*24)</f>
        <v>9.3275462962962963E-2</v>
      </c>
      <c r="G1975" s="7" t="s">
        <v>9</v>
      </c>
    </row>
    <row r="1976" spans="1:7" x14ac:dyDescent="0.45">
      <c r="A1976" t="s">
        <v>2071</v>
      </c>
      <c r="B1976" s="2" t="s">
        <v>88</v>
      </c>
      <c r="C1976" s="5">
        <f>2902/(60*60*24)</f>
        <v>3.3587962962962965E-2</v>
      </c>
      <c r="D1976" s="4">
        <f>1145/(60*60*24)</f>
        <v>1.3252314814814814E-2</v>
      </c>
      <c r="E1976" s="3">
        <f>2046/(60*60*24)</f>
        <v>2.3680555555555555E-2</v>
      </c>
      <c r="F1976" s="6">
        <f>7366/(60*60*24)</f>
        <v>8.5254629629629625E-2</v>
      </c>
      <c r="G1976" s="7" t="s">
        <v>9</v>
      </c>
    </row>
    <row r="1977" spans="1:7" x14ac:dyDescent="0.45">
      <c r="A1977" t="s">
        <v>2072</v>
      </c>
      <c r="B1977" s="2" t="s">
        <v>86</v>
      </c>
      <c r="C1977" s="5">
        <f>2861/(60*60*24)</f>
        <v>3.3113425925925928E-2</v>
      </c>
      <c r="D1977" s="4">
        <f>1200/(60*60*24)</f>
        <v>1.3888888888888888E-2</v>
      </c>
      <c r="E1977" s="3">
        <f>1916/(60*60*24)</f>
        <v>2.2175925925925925E-2</v>
      </c>
      <c r="F1977" s="6">
        <f>6885/(60*60*24)</f>
        <v>7.9687499999999994E-2</v>
      </c>
      <c r="G1977" s="7" t="s">
        <v>9</v>
      </c>
    </row>
    <row r="1978" spans="1:7" x14ac:dyDescent="0.45">
      <c r="A1978" t="s">
        <v>2073</v>
      </c>
      <c r="B1978" s="2" t="s">
        <v>90</v>
      </c>
      <c r="C1978" s="5">
        <f>2605/(60*60*24)</f>
        <v>3.0150462962962962E-2</v>
      </c>
      <c r="D1978" s="4">
        <f>1165/(60*60*24)</f>
        <v>1.3483796296296296E-2</v>
      </c>
      <c r="E1978" s="3">
        <f>1800/(60*60*24)</f>
        <v>2.0833333333333332E-2</v>
      </c>
      <c r="F1978" s="6">
        <f>6395/(60*60*24)</f>
        <v>7.4016203703703709E-2</v>
      </c>
      <c r="G1978" s="7" t="s">
        <v>9</v>
      </c>
    </row>
    <row r="1979" spans="1:7" x14ac:dyDescent="0.45">
      <c r="A1979" t="s">
        <v>2074</v>
      </c>
      <c r="B1979" s="2" t="s">
        <v>92</v>
      </c>
      <c r="C1979" s="5">
        <f>3117/(60*60*24)</f>
        <v>3.6076388888888887E-2</v>
      </c>
      <c r="D1979" s="4">
        <f>1210/(60*60*24)</f>
        <v>1.4004629629629629E-2</v>
      </c>
      <c r="E1979" s="3">
        <f>1977/(60*60*24)</f>
        <v>2.2881944444444444E-2</v>
      </c>
      <c r="F1979" s="6">
        <f>6823/(60*60*24)</f>
        <v>7.8969907407407405E-2</v>
      </c>
      <c r="G1979" s="7" t="s">
        <v>9</v>
      </c>
    </row>
    <row r="1980" spans="1:7" x14ac:dyDescent="0.45">
      <c r="A1980" t="s">
        <v>2075</v>
      </c>
      <c r="B1980" s="2" t="s">
        <v>96</v>
      </c>
      <c r="C1980" s="5">
        <f>2970/(60*60*24)</f>
        <v>3.4375000000000003E-2</v>
      </c>
      <c r="D1980" s="4">
        <f>1104/(60*60*24)</f>
        <v>1.2777777777777779E-2</v>
      </c>
      <c r="E1980" s="3">
        <f>1813/(60*60*24)</f>
        <v>2.0983796296296296E-2</v>
      </c>
      <c r="F1980" s="6">
        <f>5817/(60*60*24)</f>
        <v>6.7326388888888894E-2</v>
      </c>
      <c r="G1980" s="7" t="s">
        <v>9</v>
      </c>
    </row>
    <row r="1981" spans="1:7" x14ac:dyDescent="0.45">
      <c r="A1981" t="s">
        <v>2076</v>
      </c>
      <c r="B1981" s="2" t="s">
        <v>94</v>
      </c>
      <c r="C1981" s="8" t="s">
        <v>12</v>
      </c>
      <c r="D1981" s="4">
        <f>1152/(60*60*24)</f>
        <v>1.3333333333333334E-2</v>
      </c>
      <c r="E1981" s="3">
        <f>1809/(60*60*24)</f>
        <v>2.0937500000000001E-2</v>
      </c>
      <c r="F1981" s="5">
        <f>6294/(60*60*24)</f>
        <v>7.2847222222222216E-2</v>
      </c>
      <c r="G1981" s="7" t="s">
        <v>9</v>
      </c>
    </row>
    <row r="1982" spans="1:7" x14ac:dyDescent="0.45">
      <c r="A1982" t="s">
        <v>2077</v>
      </c>
      <c r="B1982" s="2" t="s">
        <v>98</v>
      </c>
      <c r="C1982" s="5">
        <f>2320/(60*60*24)</f>
        <v>2.6851851851851852E-2</v>
      </c>
      <c r="D1982" s="4">
        <f>908/(60*60*24)</f>
        <v>1.050925925925926E-2</v>
      </c>
      <c r="E1982" s="3">
        <f>1591/(60*60*24)</f>
        <v>1.8414351851851852E-2</v>
      </c>
      <c r="F1982" s="6">
        <f>5401/(60*60*24)</f>
        <v>6.2511574074074081E-2</v>
      </c>
      <c r="G1982" s="7" t="s">
        <v>9</v>
      </c>
    </row>
    <row r="1983" spans="1:7" x14ac:dyDescent="0.45">
      <c r="A1983" t="s">
        <v>2078</v>
      </c>
      <c r="B1983" s="2" t="s">
        <v>100</v>
      </c>
      <c r="C1983" s="5">
        <f>3006/(60*60*24)</f>
        <v>3.4791666666666665E-2</v>
      </c>
      <c r="D1983" s="4">
        <f>1013/(60*60*24)</f>
        <v>1.1724537037037037E-2</v>
      </c>
      <c r="E1983" s="3">
        <f>1747/(60*60*24)</f>
        <v>2.0219907407407409E-2</v>
      </c>
      <c r="F1983" s="6">
        <f>5675/(60*60*24)</f>
        <v>6.5682870370370364E-2</v>
      </c>
      <c r="G1983" s="7" t="s">
        <v>9</v>
      </c>
    </row>
    <row r="1984" spans="1:7" x14ac:dyDescent="0.45">
      <c r="A1984" t="s">
        <v>2079</v>
      </c>
      <c r="B1984" s="2" t="s">
        <v>104</v>
      </c>
      <c r="C1984" s="5">
        <f>4062/(60*60*24)</f>
        <v>4.701388888888889E-2</v>
      </c>
      <c r="D1984" s="4">
        <f>782/(60*60*24)</f>
        <v>9.0509259259259258E-3</v>
      </c>
      <c r="E1984" s="3">
        <f>1411/(60*60*24)</f>
        <v>1.6331018518518519E-2</v>
      </c>
      <c r="F1984" s="6">
        <f>5013/(60*60*24)</f>
        <v>5.8020833333333334E-2</v>
      </c>
      <c r="G1984" s="7" t="s">
        <v>9</v>
      </c>
    </row>
    <row r="1985" spans="1:7" x14ac:dyDescent="0.45">
      <c r="A1985" t="s">
        <v>2080</v>
      </c>
      <c r="B1985" s="2" t="s">
        <v>102</v>
      </c>
      <c r="C1985" s="5">
        <f>4149/(60*60*24)</f>
        <v>4.8020833333333332E-2</v>
      </c>
      <c r="D1985" s="4">
        <f>1091/(60*60*24)</f>
        <v>1.2627314814814815E-2</v>
      </c>
      <c r="E1985" s="3">
        <f>1705/(60*60*24)</f>
        <v>1.9733796296296298E-2</v>
      </c>
      <c r="F1985" s="6">
        <f>5603/(60*60*24)</f>
        <v>6.4849537037037039E-2</v>
      </c>
      <c r="G1985" s="7" t="s">
        <v>9</v>
      </c>
    </row>
    <row r="1986" spans="1:7" x14ac:dyDescent="0.45">
      <c r="A1986" t="s">
        <v>2081</v>
      </c>
      <c r="B1986" s="2" t="s">
        <v>106</v>
      </c>
      <c r="C1986" s="5">
        <f>3936/(60*60*24)</f>
        <v>4.5555555555555557E-2</v>
      </c>
      <c r="D1986" s="4">
        <f>954/(60*60*24)</f>
        <v>1.1041666666666667E-2</v>
      </c>
      <c r="E1986" s="3">
        <f>1754/(60*60*24)</f>
        <v>2.0300925925925927E-2</v>
      </c>
      <c r="F1986" s="6">
        <f>5982/(60*60*24)</f>
        <v>6.9236111111111109E-2</v>
      </c>
      <c r="G1986" s="7" t="s">
        <v>9</v>
      </c>
    </row>
    <row r="1987" spans="1:7" x14ac:dyDescent="0.45">
      <c r="A1987" t="s">
        <v>2082</v>
      </c>
      <c r="B1987" s="2" t="s">
        <v>108</v>
      </c>
      <c r="C1987" s="5">
        <f>3947/(60*60*24)</f>
        <v>4.5682870370370374E-2</v>
      </c>
      <c r="D1987" s="4">
        <f>855/(60*60*24)</f>
        <v>9.8958333333333329E-3</v>
      </c>
      <c r="E1987" s="3">
        <f>1660/(60*60*24)</f>
        <v>1.9212962962962963E-2</v>
      </c>
      <c r="F1987" s="6">
        <f>5773/(60*60*24)</f>
        <v>6.6817129629629629E-2</v>
      </c>
      <c r="G1987" s="7" t="s">
        <v>9</v>
      </c>
    </row>
    <row r="1988" spans="1:7" x14ac:dyDescent="0.45">
      <c r="A1988" t="s">
        <v>2083</v>
      </c>
      <c r="B1988" s="2" t="s">
        <v>110</v>
      </c>
      <c r="C1988" s="5">
        <f>3920/(60*60*24)</f>
        <v>4.5370370370370373E-2</v>
      </c>
      <c r="D1988" s="4">
        <f>1084/(60*60*24)</f>
        <v>1.2546296296296297E-2</v>
      </c>
      <c r="E1988" s="3">
        <f>1839/(60*60*24)</f>
        <v>2.1284722222222222E-2</v>
      </c>
      <c r="F1988" s="6">
        <f>6280/(60*60*24)</f>
        <v>7.2685185185185186E-2</v>
      </c>
      <c r="G1988" s="7" t="s">
        <v>9</v>
      </c>
    </row>
    <row r="1989" spans="1:7" x14ac:dyDescent="0.45">
      <c r="A1989" t="s">
        <v>2084</v>
      </c>
      <c r="B1989" s="2" t="s">
        <v>112</v>
      </c>
      <c r="C1989" s="5">
        <f>4305/(60*60*24)</f>
        <v>4.9826388888888892E-2</v>
      </c>
      <c r="D1989" s="4">
        <f>1159/(60*60*24)</f>
        <v>1.3414351851851853E-2</v>
      </c>
      <c r="E1989" s="3">
        <f>2227/(60*60*24)</f>
        <v>2.5775462962962962E-2</v>
      </c>
      <c r="F1989" s="6">
        <f>6625/(60*60*24)</f>
        <v>7.6678240740740741E-2</v>
      </c>
      <c r="G1989" s="7" t="s">
        <v>9</v>
      </c>
    </row>
    <row r="1990" spans="1:7" x14ac:dyDescent="0.45">
      <c r="A1990" t="s">
        <v>2085</v>
      </c>
      <c r="B1990" s="2" t="s">
        <v>114</v>
      </c>
      <c r="C1990" s="8" t="s">
        <v>12</v>
      </c>
      <c r="D1990" s="4">
        <f>1052/(60*60*24)</f>
        <v>1.2175925925925925E-2</v>
      </c>
      <c r="E1990" s="3">
        <f>2377/(60*60*24)</f>
        <v>2.7511574074074074E-2</v>
      </c>
      <c r="F1990" s="5">
        <f>7404/(60*60*24)</f>
        <v>8.5694444444444448E-2</v>
      </c>
      <c r="G1990" s="7" t="s">
        <v>9</v>
      </c>
    </row>
    <row r="1991" spans="1:7" x14ac:dyDescent="0.45">
      <c r="A1991" t="s">
        <v>2086</v>
      </c>
      <c r="B1991" s="2" t="s">
        <v>116</v>
      </c>
      <c r="C1991" s="8" t="s">
        <v>12</v>
      </c>
      <c r="D1991" s="4">
        <f>1158/(60*60*24)</f>
        <v>1.3402777777777777E-2</v>
      </c>
      <c r="E1991" s="3">
        <f>2515/(60*60*24)</f>
        <v>2.9108796296296296E-2</v>
      </c>
      <c r="F1991" s="5">
        <f>7810/(60*60*24)</f>
        <v>9.0393518518518512E-2</v>
      </c>
      <c r="G1991" s="7" t="s">
        <v>9</v>
      </c>
    </row>
    <row r="1992" spans="1:7" x14ac:dyDescent="0.45">
      <c r="A1992" t="s">
        <v>2087</v>
      </c>
      <c r="B1992" s="2" t="s">
        <v>118</v>
      </c>
      <c r="C1992" s="8" t="s">
        <v>12</v>
      </c>
      <c r="D1992" s="4">
        <f>1138/(60*60*24)</f>
        <v>1.3171296296296296E-2</v>
      </c>
      <c r="E1992" s="3">
        <f>2842/(60*60*24)</f>
        <v>3.2893518518518516E-2</v>
      </c>
      <c r="F1992" s="5">
        <f>8478/(60*60*24)</f>
        <v>9.8125000000000004E-2</v>
      </c>
      <c r="G1992" s="7" t="s">
        <v>9</v>
      </c>
    </row>
    <row r="1993" spans="1:7" x14ac:dyDescent="0.45">
      <c r="A1993" t="s">
        <v>2088</v>
      </c>
      <c r="B1993" s="2" t="s">
        <v>120</v>
      </c>
      <c r="C1993" s="8" t="s">
        <v>12</v>
      </c>
      <c r="D1993" s="8" t="s">
        <v>12</v>
      </c>
      <c r="E1993" s="4">
        <f>3066/(60*60*24)</f>
        <v>3.5486111111111114E-2</v>
      </c>
      <c r="F1993" s="3">
        <f>8956/(60*60*24)</f>
        <v>0.10365740740740741</v>
      </c>
      <c r="G1993" s="7" t="s">
        <v>9</v>
      </c>
    </row>
    <row r="1994" spans="1:7" x14ac:dyDescent="0.45">
      <c r="A1994" t="s">
        <v>2089</v>
      </c>
      <c r="B1994" s="2" t="s">
        <v>124</v>
      </c>
      <c r="C1994" s="8" t="s">
        <v>12</v>
      </c>
      <c r="D1994" s="4">
        <f>1474/(60*60*24)</f>
        <v>1.7060185185185185E-2</v>
      </c>
      <c r="E1994" s="3">
        <f>2961/(60*60*24)</f>
        <v>3.4270833333333334E-2</v>
      </c>
      <c r="F1994" s="5">
        <f>9553/(60*60*24)</f>
        <v>0.11056712962962963</v>
      </c>
      <c r="G1994" s="7" t="s">
        <v>9</v>
      </c>
    </row>
    <row r="1995" spans="1:7" x14ac:dyDescent="0.45">
      <c r="A1995" t="s">
        <v>2090</v>
      </c>
      <c r="B1995" s="2" t="s">
        <v>122</v>
      </c>
      <c r="C1995" s="8" t="s">
        <v>12</v>
      </c>
      <c r="D1995" s="4">
        <f>1588/(60*60*24)</f>
        <v>1.8379629629629631E-2</v>
      </c>
      <c r="E1995" s="3">
        <f>3149/(60*60*24)</f>
        <v>3.6446759259259262E-2</v>
      </c>
      <c r="F1995" s="5">
        <f>10040/(60*60*24)</f>
        <v>0.1162037037037037</v>
      </c>
      <c r="G1995" s="7" t="s">
        <v>9</v>
      </c>
    </row>
    <row r="1996" spans="1:7" x14ac:dyDescent="0.45">
      <c r="A1996" t="s">
        <v>2091</v>
      </c>
      <c r="B1996" s="2" t="s">
        <v>126</v>
      </c>
      <c r="C1996" s="8" t="s">
        <v>12</v>
      </c>
      <c r="D1996" s="4">
        <f>1689/(60*60*24)</f>
        <v>1.954861111111111E-2</v>
      </c>
      <c r="E1996" s="3">
        <f>3190/(60*60*24)</f>
        <v>3.6921296296296299E-2</v>
      </c>
      <c r="F1996" s="5">
        <f>10462/(60*60*24)</f>
        <v>0.12108796296296297</v>
      </c>
      <c r="G1996" s="7" t="s">
        <v>9</v>
      </c>
    </row>
    <row r="1997" spans="1:7" x14ac:dyDescent="0.45">
      <c r="A1997" t="s">
        <v>2092</v>
      </c>
      <c r="B1997" s="2" t="s">
        <v>128</v>
      </c>
      <c r="C1997" s="8" t="s">
        <v>12</v>
      </c>
      <c r="D1997" s="4">
        <f>1739/(60*60*24)</f>
        <v>2.0127314814814813E-2</v>
      </c>
      <c r="E1997" s="3">
        <f>3282/(60*60*24)</f>
        <v>3.7986111111111109E-2</v>
      </c>
      <c r="F1997" s="5">
        <f>11486/(60*60*24)</f>
        <v>0.13293981481481482</v>
      </c>
      <c r="G1997" s="7" t="s">
        <v>9</v>
      </c>
    </row>
    <row r="1998" spans="1:7" x14ac:dyDescent="0.45">
      <c r="A1998" t="s">
        <v>2093</v>
      </c>
      <c r="B1998" s="2" t="s">
        <v>132</v>
      </c>
      <c r="C1998" s="5">
        <f>4401/(60*60*24)</f>
        <v>5.0937499999999997E-2</v>
      </c>
      <c r="D1998" s="4">
        <f>1943/(60*60*24)</f>
        <v>2.2488425925925926E-2</v>
      </c>
      <c r="E1998" s="3">
        <f>3608/(60*60*24)</f>
        <v>4.175925925925926E-2</v>
      </c>
      <c r="F1998" s="6">
        <f>12739/(60*60*24)</f>
        <v>0.14744212962962963</v>
      </c>
      <c r="G1998" s="7" t="s">
        <v>9</v>
      </c>
    </row>
    <row r="1999" spans="1:7" x14ac:dyDescent="0.45">
      <c r="A1999" t="s">
        <v>2094</v>
      </c>
      <c r="B1999" s="2" t="s">
        <v>130</v>
      </c>
      <c r="C1999" s="8" t="s">
        <v>12</v>
      </c>
      <c r="D1999" s="4">
        <f>1921/(60*60*24)</f>
        <v>2.2233796296296297E-2</v>
      </c>
      <c r="E1999" s="3">
        <f>3382/(60*60*24)</f>
        <v>3.9143518518518522E-2</v>
      </c>
      <c r="F1999" s="5">
        <f>12034/(60*60*24)</f>
        <v>0.13928240740740741</v>
      </c>
      <c r="G1999" s="7" t="s">
        <v>9</v>
      </c>
    </row>
    <row r="2000" spans="1:7" x14ac:dyDescent="0.45">
      <c r="A2000" t="s">
        <v>2095</v>
      </c>
      <c r="B2000" s="2" t="s">
        <v>134</v>
      </c>
      <c r="C2000" s="5">
        <f>4294/(60*60*24)</f>
        <v>4.9699074074074076E-2</v>
      </c>
      <c r="D2000" s="4">
        <f>1506/(60*60*24)</f>
        <v>1.7430555555555557E-2</v>
      </c>
      <c r="E2000" s="3">
        <f>4105/(60*60*24)</f>
        <v>4.7511574074074074E-2</v>
      </c>
      <c r="F2000" s="6">
        <f>14061/(60*60*24)</f>
        <v>0.16274305555555554</v>
      </c>
      <c r="G2000" s="7" t="s">
        <v>9</v>
      </c>
    </row>
    <row r="2001" spans="1:7" x14ac:dyDescent="0.45">
      <c r="A2001" t="s">
        <v>2096</v>
      </c>
      <c r="B2001" s="2" t="s">
        <v>136</v>
      </c>
      <c r="C2001" s="8" t="s">
        <v>12</v>
      </c>
      <c r="D2001" s="4">
        <f>1355/(60*60*24)</f>
        <v>1.5682870370370371E-2</v>
      </c>
      <c r="E2001" s="3">
        <f>3736/(60*60*24)</f>
        <v>4.3240740740740739E-2</v>
      </c>
      <c r="F2001" s="5">
        <f>13760/(60*60*24)</f>
        <v>0.15925925925925927</v>
      </c>
      <c r="G2001" s="7" t="s">
        <v>9</v>
      </c>
    </row>
    <row r="2002" spans="1:7" x14ac:dyDescent="0.45">
      <c r="A2002" t="s">
        <v>2097</v>
      </c>
      <c r="B2002" s="2" t="s">
        <v>140</v>
      </c>
      <c r="C2002" s="5">
        <f>6750/(60*60*24)</f>
        <v>7.8125E-2</v>
      </c>
      <c r="D2002" s="4">
        <f>1707/(60*60*24)</f>
        <v>1.9756944444444445E-2</v>
      </c>
      <c r="E2002" s="3">
        <f>4658/(60*60*24)</f>
        <v>5.3912037037037036E-2</v>
      </c>
      <c r="F2002" s="6">
        <f>15888/(60*60*24)</f>
        <v>0.18388888888888888</v>
      </c>
      <c r="G2002" s="7" t="s">
        <v>9</v>
      </c>
    </row>
    <row r="2003" spans="1:7" x14ac:dyDescent="0.45">
      <c r="A2003" t="s">
        <v>2098</v>
      </c>
      <c r="B2003" s="2" t="s">
        <v>138</v>
      </c>
      <c r="C2003" s="8" t="s">
        <v>12</v>
      </c>
      <c r="D2003" s="4">
        <f>1598/(60*60*24)</f>
        <v>1.849537037037037E-2</v>
      </c>
      <c r="E2003" s="3">
        <f>4381/(60*60*24)</f>
        <v>5.0706018518518518E-2</v>
      </c>
      <c r="F2003" s="5">
        <f>15086/(60*60*24)</f>
        <v>0.17460648148148147</v>
      </c>
      <c r="G2003" s="7" t="s">
        <v>9</v>
      </c>
    </row>
    <row r="2004" spans="1:7" x14ac:dyDescent="0.45">
      <c r="A2004" t="s">
        <v>2099</v>
      </c>
      <c r="B2004" s="2" t="s">
        <v>142</v>
      </c>
      <c r="C2004" s="5">
        <f>6155/(60*60*24)</f>
        <v>7.1238425925925927E-2</v>
      </c>
      <c r="D2004" s="4">
        <f>1899/(60*60*24)</f>
        <v>2.1979166666666668E-2</v>
      </c>
      <c r="E2004" s="3">
        <f>4944/(60*60*24)</f>
        <v>5.7222222222222223E-2</v>
      </c>
      <c r="F2004" s="6">
        <f>16306/(60*60*24)</f>
        <v>0.18872685185185184</v>
      </c>
      <c r="G2004" s="7" t="s">
        <v>9</v>
      </c>
    </row>
    <row r="2005" spans="1:7" x14ac:dyDescent="0.45">
      <c r="A2005" t="s">
        <v>2100</v>
      </c>
      <c r="B2005" s="2" t="s">
        <v>144</v>
      </c>
      <c r="C2005" s="5">
        <f>5463/(60*60*24)</f>
        <v>6.322916666666667E-2</v>
      </c>
      <c r="D2005" s="4">
        <f>1888/(60*60*24)</f>
        <v>2.1851851851851851E-2</v>
      </c>
      <c r="E2005" s="3">
        <f>5049/(60*60*24)</f>
        <v>5.8437500000000003E-2</v>
      </c>
      <c r="F2005" s="6">
        <f>16726/(60*60*24)</f>
        <v>0.19358796296296296</v>
      </c>
      <c r="G2005" s="7" t="s">
        <v>9</v>
      </c>
    </row>
    <row r="2006" spans="1:7" x14ac:dyDescent="0.45">
      <c r="A2006" t="s">
        <v>2101</v>
      </c>
      <c r="B2006" s="2" t="s">
        <v>146</v>
      </c>
      <c r="C2006" s="5">
        <f>6133/(60*60*24)</f>
        <v>7.0983796296296295E-2</v>
      </c>
      <c r="D2006" s="4">
        <f>2118/(60*60*24)</f>
        <v>2.4513888888888891E-2</v>
      </c>
      <c r="E2006" s="3">
        <f>5689/(60*60*24)</f>
        <v>6.5844907407407408E-2</v>
      </c>
      <c r="F2006" s="6">
        <f>18403/(60*60*24)</f>
        <v>0.21299768518518519</v>
      </c>
      <c r="G2006" s="7" t="s">
        <v>9</v>
      </c>
    </row>
    <row r="2007" spans="1:7" x14ac:dyDescent="0.45">
      <c r="A2007" t="s">
        <v>2102</v>
      </c>
      <c r="B2007" s="2" t="s">
        <v>148</v>
      </c>
      <c r="C2007" s="5">
        <f>6030/(60*60*24)</f>
        <v>6.9791666666666669E-2</v>
      </c>
      <c r="D2007" s="4">
        <f>2085/(60*60*24)</f>
        <v>2.4131944444444445E-2</v>
      </c>
      <c r="E2007" s="3">
        <f>5681/(60*60*24)</f>
        <v>6.5752314814814819E-2</v>
      </c>
      <c r="F2007" s="6">
        <f>18578/(60*60*24)</f>
        <v>0.21502314814814816</v>
      </c>
      <c r="G2007" s="7" t="s">
        <v>9</v>
      </c>
    </row>
    <row r="2008" spans="1:7" x14ac:dyDescent="0.45">
      <c r="A2008" t="s">
        <v>2103</v>
      </c>
      <c r="B2008" s="2" t="s">
        <v>150</v>
      </c>
      <c r="C2008" s="5">
        <f>5999/(60*60*24)</f>
        <v>6.9432870370370367E-2</v>
      </c>
      <c r="D2008" s="4">
        <f>2018/(60*60*24)</f>
        <v>2.3356481481481482E-2</v>
      </c>
      <c r="E2008" s="3">
        <f>5584/(60*60*24)</f>
        <v>6.4629629629629634E-2</v>
      </c>
      <c r="F2008" s="6">
        <f>19415/(60*60*24)</f>
        <v>0.22471064814814815</v>
      </c>
      <c r="G2008" s="7" t="s">
        <v>9</v>
      </c>
    </row>
    <row r="2009" spans="1:7" x14ac:dyDescent="0.45">
      <c r="A2009" t="s">
        <v>2104</v>
      </c>
      <c r="B2009" s="2" t="s">
        <v>152</v>
      </c>
      <c r="C2009" s="5">
        <f>5661/(60*60*24)</f>
        <v>6.5520833333333334E-2</v>
      </c>
      <c r="D2009" s="4">
        <f>2038/(60*60*24)</f>
        <v>2.3587962962962963E-2</v>
      </c>
      <c r="E2009" s="3">
        <f>5647/(60*60*24)</f>
        <v>6.535879629629629E-2</v>
      </c>
      <c r="F2009" s="6">
        <f>20154/(60*60*24)</f>
        <v>0.23326388888888888</v>
      </c>
      <c r="G2009" s="7" t="s">
        <v>9</v>
      </c>
    </row>
    <row r="2010" spans="1:7" x14ac:dyDescent="0.45">
      <c r="A2010" t="s">
        <v>2105</v>
      </c>
      <c r="B2010" s="2" t="s">
        <v>154</v>
      </c>
      <c r="C2010" s="5">
        <f>6333/(60*60*24)</f>
        <v>7.3298611111111106E-2</v>
      </c>
      <c r="D2010" s="4">
        <f>2092/(60*60*24)</f>
        <v>2.4212962962962964E-2</v>
      </c>
      <c r="E2010" s="3">
        <f>5853/(60*60*24)</f>
        <v>6.7743055555555556E-2</v>
      </c>
      <c r="F2010" s="6">
        <f>20896/(60*60*24)</f>
        <v>0.24185185185185185</v>
      </c>
      <c r="G2010" s="7" t="s">
        <v>9</v>
      </c>
    </row>
    <row r="2011" spans="1:7" x14ac:dyDescent="0.45">
      <c r="A2011" t="s">
        <v>2106</v>
      </c>
      <c r="B2011" s="2" t="s">
        <v>156</v>
      </c>
      <c r="C2011" s="8" t="s">
        <v>12</v>
      </c>
      <c r="D2011" s="4">
        <f>2130/(60*60*24)</f>
        <v>2.4652777777777777E-2</v>
      </c>
      <c r="E2011" s="3">
        <f>6024/(60*60*24)</f>
        <v>6.9722222222222227E-2</v>
      </c>
      <c r="F2011" s="5">
        <f>22516/(60*60*24)</f>
        <v>0.26060185185185186</v>
      </c>
      <c r="G2011" s="7" t="s">
        <v>9</v>
      </c>
    </row>
    <row r="2012" spans="1:7" x14ac:dyDescent="0.45">
      <c r="A2012" t="s">
        <v>2107</v>
      </c>
      <c r="B2012" s="2" t="s">
        <v>160</v>
      </c>
      <c r="C2012" s="5">
        <f>6418/(60*60*24)</f>
        <v>7.4282407407407408E-2</v>
      </c>
      <c r="D2012" s="4">
        <f>2246/(60*60*24)</f>
        <v>2.599537037037037E-2</v>
      </c>
      <c r="E2012" s="3">
        <f>6335/(60*60*24)</f>
        <v>7.3321759259259253E-2</v>
      </c>
      <c r="F2012" s="6">
        <f>23477/(60*60*24)</f>
        <v>0.27172453703703703</v>
      </c>
      <c r="G2012" s="7" t="s">
        <v>9</v>
      </c>
    </row>
    <row r="2013" spans="1:7" x14ac:dyDescent="0.45">
      <c r="A2013" t="s">
        <v>2108</v>
      </c>
      <c r="B2013" s="2" t="s">
        <v>158</v>
      </c>
      <c r="C2013" s="5">
        <f>6503/(60*60*24)</f>
        <v>7.526620370370371E-2</v>
      </c>
      <c r="D2013" s="4">
        <f>2188/(60*60*24)</f>
        <v>2.5324074074074075E-2</v>
      </c>
      <c r="E2013" s="3">
        <f>6236/(60*60*24)</f>
        <v>7.2175925925925921E-2</v>
      </c>
      <c r="F2013" s="6">
        <f>23235/(60*60*24)</f>
        <v>0.26892361111111113</v>
      </c>
      <c r="G2013" s="7" t="s">
        <v>9</v>
      </c>
    </row>
    <row r="2014" spans="1:7" x14ac:dyDescent="0.45">
      <c r="A2014" t="s">
        <v>2109</v>
      </c>
      <c r="B2014" s="2" t="s">
        <v>162</v>
      </c>
      <c r="C2014" s="5">
        <f>6610/(60*60*24)</f>
        <v>7.6504629629629631E-2</v>
      </c>
      <c r="D2014" s="4">
        <f>2226/(60*60*24)</f>
        <v>2.5763888888888888E-2</v>
      </c>
      <c r="E2014" s="3">
        <f>6417/(60*60*24)</f>
        <v>7.4270833333333328E-2</v>
      </c>
      <c r="F2014" s="6">
        <f>24312/(60*60*24)</f>
        <v>0.28138888888888891</v>
      </c>
      <c r="G2014" s="7" t="s">
        <v>9</v>
      </c>
    </row>
    <row r="2015" spans="1:7" x14ac:dyDescent="0.45">
      <c r="A2015" t="s">
        <v>2110</v>
      </c>
      <c r="B2015" s="2" t="s">
        <v>164</v>
      </c>
      <c r="C2015" s="3">
        <f>6292/(60*60*24)</f>
        <v>7.2824074074074069E-2</v>
      </c>
      <c r="D2015" s="4">
        <f>2329/(60*60*24)</f>
        <v>2.6956018518518518E-2</v>
      </c>
      <c r="E2015" s="5">
        <f>6720/(60*60*24)</f>
        <v>7.7777777777777779E-2</v>
      </c>
      <c r="F2015" s="6">
        <f>25276/(60*60*24)</f>
        <v>0.2925462962962963</v>
      </c>
      <c r="G2015" s="7" t="s">
        <v>9</v>
      </c>
    </row>
    <row r="2016" spans="1:7" x14ac:dyDescent="0.45">
      <c r="A2016" t="s">
        <v>2111</v>
      </c>
      <c r="B2016" s="2" t="s">
        <v>168</v>
      </c>
      <c r="C2016" s="3">
        <f>6783/(60*60*24)</f>
        <v>7.8506944444444449E-2</v>
      </c>
      <c r="D2016" s="4">
        <f>2403/(60*60*24)</f>
        <v>2.78125E-2</v>
      </c>
      <c r="E2016" s="5">
        <f>6957/(60*60*24)</f>
        <v>8.0520833333333333E-2</v>
      </c>
      <c r="F2016" s="6">
        <f>25453/(60*60*24)</f>
        <v>0.2945949074074074</v>
      </c>
      <c r="G2016" s="7" t="s">
        <v>9</v>
      </c>
    </row>
    <row r="2017" spans="1:7" x14ac:dyDescent="0.45">
      <c r="A2017" t="s">
        <v>2112</v>
      </c>
      <c r="B2017" s="2" t="s">
        <v>166</v>
      </c>
      <c r="C2017" s="3">
        <f>6853/(60*60*24)</f>
        <v>7.9317129629629626E-2</v>
      </c>
      <c r="D2017" s="4">
        <f>2425/(60*60*24)</f>
        <v>2.8067129629629629E-2</v>
      </c>
      <c r="E2017" s="5">
        <f>7068/(60*60*24)</f>
        <v>8.1805555555555562E-2</v>
      </c>
      <c r="F2017" s="6">
        <f>26327/(60*60*24)</f>
        <v>0.30471064814814813</v>
      </c>
      <c r="G2017" s="7" t="s">
        <v>9</v>
      </c>
    </row>
    <row r="2018" spans="1:7" x14ac:dyDescent="0.45">
      <c r="A2018" t="s">
        <v>2113</v>
      </c>
      <c r="B2018" s="2" t="s">
        <v>170</v>
      </c>
      <c r="C2018" s="3">
        <f>6834/(60*60*24)</f>
        <v>7.9097222222222222E-2</v>
      </c>
      <c r="D2018" s="4">
        <f>2415/(60*60*24)</f>
        <v>2.795138888888889E-2</v>
      </c>
      <c r="E2018" s="5">
        <f>7533/(60*60*24)</f>
        <v>8.7187500000000001E-2</v>
      </c>
      <c r="F2018" s="6">
        <f>26889/(60*60*24)</f>
        <v>0.3112152777777778</v>
      </c>
      <c r="G2018" s="7" t="s">
        <v>9</v>
      </c>
    </row>
    <row r="2019" spans="1:7" x14ac:dyDescent="0.45">
      <c r="A2019" t="s">
        <v>2114</v>
      </c>
      <c r="B2019" s="2" t="s">
        <v>172</v>
      </c>
      <c r="C2019" s="8" t="s">
        <v>12</v>
      </c>
      <c r="D2019" s="4">
        <f>2535/(60*60*24)</f>
        <v>2.9340277777777778E-2</v>
      </c>
      <c r="E2019" s="3">
        <f>7832/(60*60*24)</f>
        <v>9.0648148148148144E-2</v>
      </c>
      <c r="F2019" s="5">
        <f>27607/(60*60*24)</f>
        <v>0.31952546296296297</v>
      </c>
      <c r="G2019" s="7" t="s">
        <v>9</v>
      </c>
    </row>
    <row r="2020" spans="1:7" x14ac:dyDescent="0.45">
      <c r="A2020" t="s">
        <v>2115</v>
      </c>
      <c r="B2020" s="2" t="s">
        <v>176</v>
      </c>
      <c r="C2020" s="5">
        <f>10530/(60*60*24)</f>
        <v>0.121875</v>
      </c>
      <c r="D2020" s="4">
        <f>2621/(60*60*24)</f>
        <v>3.033564814814815E-2</v>
      </c>
      <c r="E2020" s="3">
        <f>7878/(60*60*24)</f>
        <v>9.1180555555555556E-2</v>
      </c>
      <c r="F2020" s="6">
        <f>28337/(60*60*24)</f>
        <v>0.32797453703703705</v>
      </c>
      <c r="G2020" s="7" t="s">
        <v>9</v>
      </c>
    </row>
    <row r="2021" spans="1:7" x14ac:dyDescent="0.45">
      <c r="A2021" t="s">
        <v>2116</v>
      </c>
      <c r="B2021" s="2" t="s">
        <v>174</v>
      </c>
      <c r="C2021" s="8" t="s">
        <v>12</v>
      </c>
      <c r="D2021" s="4">
        <f>2841/(60*60*24)</f>
        <v>3.2881944444444443E-2</v>
      </c>
      <c r="E2021" s="3">
        <f>8242/(60*60*24)</f>
        <v>9.5393518518518516E-2</v>
      </c>
      <c r="F2021" s="5">
        <f>29384/(60*60*24)</f>
        <v>0.34009259259259261</v>
      </c>
      <c r="G2021" s="7" t="s">
        <v>9</v>
      </c>
    </row>
    <row r="2022" spans="1:7" x14ac:dyDescent="0.45">
      <c r="A2022" t="s">
        <v>2117</v>
      </c>
      <c r="B2022" s="2" t="s">
        <v>178</v>
      </c>
      <c r="C2022" s="3">
        <f>7023/(60*60*24)</f>
        <v>8.1284722222222217E-2</v>
      </c>
      <c r="D2022" s="4">
        <f>2884/(60*60*24)</f>
        <v>3.3379629629629627E-2</v>
      </c>
      <c r="E2022" s="5">
        <f>8530/(60*60*24)</f>
        <v>9.8726851851851857E-2</v>
      </c>
      <c r="F2022" s="6">
        <f>30731/(60*60*24)</f>
        <v>0.35568287037037039</v>
      </c>
      <c r="G2022" s="7" t="s">
        <v>9</v>
      </c>
    </row>
    <row r="2023" spans="1:7" x14ac:dyDescent="0.45">
      <c r="A2023" t="s">
        <v>2118</v>
      </c>
      <c r="B2023" s="2" t="s">
        <v>180</v>
      </c>
      <c r="C2023" s="8" t="s">
        <v>12</v>
      </c>
      <c r="D2023" s="4">
        <f>2827/(60*60*24)</f>
        <v>3.2719907407407406E-2</v>
      </c>
      <c r="E2023" s="3">
        <f>8446/(60*60*24)</f>
        <v>9.7754629629629636E-2</v>
      </c>
      <c r="F2023" s="5">
        <f>29538/(60*60*24)</f>
        <v>0.34187499999999998</v>
      </c>
      <c r="G2023" s="7" t="s">
        <v>9</v>
      </c>
    </row>
    <row r="2024" spans="1:7" x14ac:dyDescent="0.45">
      <c r="A2024" t="s">
        <v>2119</v>
      </c>
      <c r="B2024" s="2" t="s">
        <v>182</v>
      </c>
      <c r="C2024" s="8" t="s">
        <v>12</v>
      </c>
      <c r="D2024" s="4">
        <f>2959/(60*60*24)</f>
        <v>3.4247685185185187E-2</v>
      </c>
      <c r="E2024" s="3">
        <f>8709/(60*60*24)</f>
        <v>0.10079861111111112</v>
      </c>
      <c r="F2024" s="5">
        <f>31325/(60*60*24)</f>
        <v>0.36255787037037035</v>
      </c>
      <c r="G2024" s="7" t="s">
        <v>9</v>
      </c>
    </row>
    <row r="2025" spans="1:7" x14ac:dyDescent="0.45">
      <c r="A2025" t="s">
        <v>2120</v>
      </c>
      <c r="B2025" s="2" t="s">
        <v>184</v>
      </c>
      <c r="C2025" s="8" t="s">
        <v>12</v>
      </c>
      <c r="D2025" s="4">
        <f>3080/(60*60*24)</f>
        <v>3.5648148148148151E-2</v>
      </c>
      <c r="E2025" s="3">
        <f>9065/(60*60*24)</f>
        <v>0.10491898148148149</v>
      </c>
      <c r="F2025" s="5">
        <f>31833/(60*60*24)</f>
        <v>0.36843749999999997</v>
      </c>
      <c r="G2025" s="7" t="s">
        <v>9</v>
      </c>
    </row>
    <row r="2026" spans="1:7" x14ac:dyDescent="0.45">
      <c r="A2026" t="s">
        <v>2121</v>
      </c>
      <c r="B2026" s="2" t="s">
        <v>8</v>
      </c>
      <c r="C2026" s="8" t="s">
        <v>12</v>
      </c>
      <c r="D2026" s="4">
        <f>2455/(60*60*24)</f>
        <v>2.841435185185185E-2</v>
      </c>
      <c r="E2026" s="3">
        <f>9308/(60*60*24)</f>
        <v>0.10773148148148148</v>
      </c>
      <c r="F2026" s="5">
        <f>31015/(60*60*24)</f>
        <v>0.35896990740740742</v>
      </c>
      <c r="G2026" s="7" t="s">
        <v>9</v>
      </c>
    </row>
    <row r="2027" spans="1:7" x14ac:dyDescent="0.45">
      <c r="A2027" t="s">
        <v>2122</v>
      </c>
      <c r="B2027" s="2" t="s">
        <v>11</v>
      </c>
      <c r="C2027" s="8" t="s">
        <v>12</v>
      </c>
      <c r="D2027" s="4">
        <f>2295/(60*60*24)</f>
        <v>2.6562499999999999E-2</v>
      </c>
      <c r="E2027" s="3">
        <f>9019/(60*60*24)</f>
        <v>0.10438657407407408</v>
      </c>
      <c r="F2027" s="5">
        <f>30603/(60*60*24)</f>
        <v>0.35420138888888891</v>
      </c>
      <c r="G2027" s="7" t="s">
        <v>9</v>
      </c>
    </row>
    <row r="2028" spans="1:7" x14ac:dyDescent="0.45">
      <c r="A2028" t="s">
        <v>2123</v>
      </c>
      <c r="B2028" s="2" t="s">
        <v>16</v>
      </c>
      <c r="C2028" s="3">
        <f>7315/(60*60*24)</f>
        <v>8.4664351851851852E-2</v>
      </c>
      <c r="D2028" s="4">
        <f>2104/(60*60*24)</f>
        <v>2.435185185185185E-2</v>
      </c>
      <c r="E2028" s="5">
        <f>8526/(60*60*24)</f>
        <v>9.8680555555555549E-2</v>
      </c>
      <c r="F2028" s="6">
        <f>28878/(60*60*24)</f>
        <v>0.33423611111111112</v>
      </c>
      <c r="G2028" s="7" t="s">
        <v>9</v>
      </c>
    </row>
    <row r="2029" spans="1:7" x14ac:dyDescent="0.45">
      <c r="A2029" t="s">
        <v>2124</v>
      </c>
      <c r="B2029" s="2" t="s">
        <v>14</v>
      </c>
      <c r="C2029" s="8" t="s">
        <v>12</v>
      </c>
      <c r="D2029" s="4">
        <f>2189/(60*60*24)</f>
        <v>2.5335648148148149E-2</v>
      </c>
      <c r="E2029" s="3">
        <f>8724/(60*60*24)</f>
        <v>0.10097222222222223</v>
      </c>
      <c r="F2029" s="5">
        <f>29653/(60*60*24)</f>
        <v>0.34320601851851851</v>
      </c>
      <c r="G2029" s="7" t="s">
        <v>9</v>
      </c>
    </row>
    <row r="2030" spans="1:7" x14ac:dyDescent="0.45">
      <c r="A2030" t="s">
        <v>2125</v>
      </c>
      <c r="B2030" s="2" t="s">
        <v>18</v>
      </c>
      <c r="C2030" s="3">
        <f>6213/(60*60*24)</f>
        <v>7.1909722222222222E-2</v>
      </c>
      <c r="D2030" s="4">
        <f>1965/(60*60*24)</f>
        <v>2.2743055555555555E-2</v>
      </c>
      <c r="E2030" s="5">
        <f>8305/(60*60*24)</f>
        <v>9.6122685185185186E-2</v>
      </c>
      <c r="F2030" s="6">
        <f>28255/(60*60*24)</f>
        <v>0.32702546296296298</v>
      </c>
      <c r="G2030" s="7" t="s">
        <v>9</v>
      </c>
    </row>
    <row r="2031" spans="1:7" x14ac:dyDescent="0.45">
      <c r="A2031" t="s">
        <v>2126</v>
      </c>
      <c r="B2031" s="2" t="s">
        <v>20</v>
      </c>
      <c r="C2031" s="3">
        <f>5951/(60*60*24)</f>
        <v>6.8877314814814808E-2</v>
      </c>
      <c r="D2031" s="4">
        <f>2013/(60*60*24)</f>
        <v>2.329861111111111E-2</v>
      </c>
      <c r="E2031" s="5">
        <f>8087/(60*60*24)</f>
        <v>9.3599537037037037E-2</v>
      </c>
      <c r="F2031" s="6">
        <f>27382/(60*60*24)</f>
        <v>0.31692129629629628</v>
      </c>
      <c r="G2031" s="7" t="s">
        <v>9</v>
      </c>
    </row>
    <row r="2032" spans="1:7" x14ac:dyDescent="0.45">
      <c r="A2032" t="s">
        <v>2127</v>
      </c>
      <c r="B2032" s="2" t="s">
        <v>22</v>
      </c>
      <c r="C2032" s="3">
        <f>5818/(60*60*24)</f>
        <v>6.7337962962962961E-2</v>
      </c>
      <c r="D2032" s="4">
        <f>2339/(60*60*24)</f>
        <v>2.7071759259259261E-2</v>
      </c>
      <c r="E2032" s="5">
        <f>7926/(60*60*24)</f>
        <v>9.1736111111111115E-2</v>
      </c>
      <c r="F2032" s="6">
        <f>26759/(60*60*24)</f>
        <v>0.30971064814814814</v>
      </c>
      <c r="G2032" s="7" t="s">
        <v>9</v>
      </c>
    </row>
    <row r="2033" spans="1:7" x14ac:dyDescent="0.45">
      <c r="A2033" t="s">
        <v>2128</v>
      </c>
      <c r="B2033" s="2" t="s">
        <v>24</v>
      </c>
      <c r="C2033" s="3">
        <f>5617/(60*60*24)</f>
        <v>6.5011574074074069E-2</v>
      </c>
      <c r="D2033" s="4">
        <f>1965/(60*60*24)</f>
        <v>2.2743055555555555E-2</v>
      </c>
      <c r="E2033" s="5">
        <f>7672/(60*60*24)</f>
        <v>8.879629629629629E-2</v>
      </c>
      <c r="F2033" s="6">
        <f>26162/(60*60*24)</f>
        <v>0.30280092592592595</v>
      </c>
      <c r="G2033" s="7" t="s">
        <v>9</v>
      </c>
    </row>
    <row r="2034" spans="1:7" x14ac:dyDescent="0.45">
      <c r="A2034" t="s">
        <v>2129</v>
      </c>
      <c r="B2034" s="2" t="s">
        <v>26</v>
      </c>
      <c r="C2034" s="3">
        <f>5332/(60*60*24)</f>
        <v>6.1712962962962963E-2</v>
      </c>
      <c r="D2034" s="4">
        <f>1919/(60*60*24)</f>
        <v>2.2210648148148149E-2</v>
      </c>
      <c r="E2034" s="5">
        <f>7496/(60*60*24)</f>
        <v>8.6759259259259258E-2</v>
      </c>
      <c r="F2034" s="6">
        <f>25696/(60*60*24)</f>
        <v>0.2974074074074074</v>
      </c>
      <c r="G2034" s="7" t="s">
        <v>9</v>
      </c>
    </row>
    <row r="2035" spans="1:7" x14ac:dyDescent="0.45">
      <c r="A2035" t="s">
        <v>2130</v>
      </c>
      <c r="B2035" s="2" t="s">
        <v>28</v>
      </c>
      <c r="C2035" s="8" t="s">
        <v>12</v>
      </c>
      <c r="D2035" s="4">
        <f>2165/(60*60*24)</f>
        <v>2.5057870370370369E-2</v>
      </c>
      <c r="E2035" s="3">
        <f>7764/(60*60*24)</f>
        <v>8.9861111111111114E-2</v>
      </c>
      <c r="F2035" s="5">
        <f>26149/(60*60*24)</f>
        <v>0.30265046296296294</v>
      </c>
      <c r="G2035" s="7" t="s">
        <v>9</v>
      </c>
    </row>
    <row r="2036" spans="1:7" x14ac:dyDescent="0.45">
      <c r="A2036" t="s">
        <v>2131</v>
      </c>
      <c r="B2036" s="2" t="s">
        <v>32</v>
      </c>
      <c r="C2036" s="3">
        <f>6095/(60*60*24)</f>
        <v>7.0543981481481485E-2</v>
      </c>
      <c r="D2036" s="4">
        <f>1762/(60*60*24)</f>
        <v>2.0393518518518519E-2</v>
      </c>
      <c r="E2036" s="5">
        <f>7211/(60*60*24)</f>
        <v>8.3460648148148145E-2</v>
      </c>
      <c r="F2036" s="6">
        <f>24150/(60*60*24)</f>
        <v>0.2795138888888889</v>
      </c>
      <c r="G2036" s="7" t="s">
        <v>9</v>
      </c>
    </row>
    <row r="2037" spans="1:7" x14ac:dyDescent="0.45">
      <c r="A2037" t="s">
        <v>2132</v>
      </c>
      <c r="B2037" s="2" t="s">
        <v>30</v>
      </c>
      <c r="C2037" s="8" t="s">
        <v>12</v>
      </c>
      <c r="D2037" s="4">
        <f>2113/(60*60*24)</f>
        <v>2.4456018518518519E-2</v>
      </c>
      <c r="E2037" s="3">
        <f>7301/(60*60*24)</f>
        <v>8.4502314814814808E-2</v>
      </c>
      <c r="F2037" s="5">
        <f>24766/(60*60*24)</f>
        <v>0.28664351851851849</v>
      </c>
      <c r="G2037" s="7" t="s">
        <v>9</v>
      </c>
    </row>
    <row r="2038" spans="1:7" x14ac:dyDescent="0.45">
      <c r="A2038" t="s">
        <v>2133</v>
      </c>
      <c r="B2038" s="2" t="s">
        <v>36</v>
      </c>
      <c r="C2038" s="3">
        <f>6621/(60*60*24)</f>
        <v>7.6631944444444447E-2</v>
      </c>
      <c r="D2038" s="4">
        <f>1701/(60*60*24)</f>
        <v>1.96875E-2</v>
      </c>
      <c r="E2038" s="5">
        <f>7084/(60*60*24)</f>
        <v>8.1990740740740739E-2</v>
      </c>
      <c r="F2038" s="6">
        <f>23718/(60*60*24)</f>
        <v>0.27451388888888889</v>
      </c>
      <c r="G2038" s="7" t="s">
        <v>9</v>
      </c>
    </row>
    <row r="2039" spans="1:7" x14ac:dyDescent="0.45">
      <c r="A2039" t="s">
        <v>2134</v>
      </c>
      <c r="B2039" s="2" t="s">
        <v>34</v>
      </c>
      <c r="C2039" s="8" t="s">
        <v>12</v>
      </c>
      <c r="D2039" s="4">
        <f>1736/(60*60*24)</f>
        <v>2.0092592592592592E-2</v>
      </c>
      <c r="E2039" s="3">
        <f>7077/(60*60*24)</f>
        <v>8.1909722222222217E-2</v>
      </c>
      <c r="F2039" s="5">
        <f>22801/(60*60*24)</f>
        <v>0.26390046296296299</v>
      </c>
      <c r="G2039" s="7" t="s">
        <v>9</v>
      </c>
    </row>
    <row r="2040" spans="1:7" x14ac:dyDescent="0.45">
      <c r="A2040" t="s">
        <v>2135</v>
      </c>
      <c r="B2040" s="2" t="s">
        <v>40</v>
      </c>
      <c r="C2040" s="3">
        <f>4408/(60*60*24)</f>
        <v>5.1018518518518519E-2</v>
      </c>
      <c r="D2040" s="4">
        <f>1783/(60*60*24)</f>
        <v>2.0636574074074075E-2</v>
      </c>
      <c r="E2040" s="5">
        <f>6583/(60*60*24)</f>
        <v>7.6192129629629624E-2</v>
      </c>
      <c r="F2040" s="6">
        <f>21435/(60*60*24)</f>
        <v>0.24809027777777778</v>
      </c>
      <c r="G2040" s="7" t="s">
        <v>9</v>
      </c>
    </row>
    <row r="2041" spans="1:7" x14ac:dyDescent="0.45">
      <c r="A2041" t="s">
        <v>2136</v>
      </c>
      <c r="B2041" s="2" t="s">
        <v>38</v>
      </c>
      <c r="C2041" s="8" t="s">
        <v>12</v>
      </c>
      <c r="D2041" s="4">
        <f>1670/(60*60*24)</f>
        <v>1.9328703703703702E-2</v>
      </c>
      <c r="E2041" s="3">
        <f>6768/(60*60*24)</f>
        <v>7.8333333333333338E-2</v>
      </c>
      <c r="F2041" s="5">
        <f>22200/(60*60*24)</f>
        <v>0.25694444444444442</v>
      </c>
      <c r="G2041" s="7" t="s">
        <v>9</v>
      </c>
    </row>
    <row r="2042" spans="1:7" x14ac:dyDescent="0.45">
      <c r="A2042" t="s">
        <v>2137</v>
      </c>
      <c r="B2042" s="2" t="s">
        <v>44</v>
      </c>
      <c r="C2042" s="3">
        <f>4529/(60*60*24)</f>
        <v>5.2418981481481483E-2</v>
      </c>
      <c r="D2042" s="4">
        <f>1925/(60*60*24)</f>
        <v>2.2280092592592591E-2</v>
      </c>
      <c r="E2042" s="5">
        <f>6374/(60*60*24)</f>
        <v>7.3773148148148143E-2</v>
      </c>
      <c r="F2042" s="6">
        <f>20673/(60*60*24)</f>
        <v>0.23927083333333332</v>
      </c>
      <c r="G2042" s="7" t="s">
        <v>9</v>
      </c>
    </row>
    <row r="2043" spans="1:7" x14ac:dyDescent="0.45">
      <c r="A2043" t="s">
        <v>2138</v>
      </c>
      <c r="B2043" s="2" t="s">
        <v>42</v>
      </c>
      <c r="C2043" s="3">
        <f>4634/(60*60*24)</f>
        <v>5.3634259259259257E-2</v>
      </c>
      <c r="D2043" s="4">
        <f>2006/(60*60*24)</f>
        <v>2.3217592592592592E-2</v>
      </c>
      <c r="E2043" s="5">
        <f>6147/(60*60*24)</f>
        <v>7.1145833333333339E-2</v>
      </c>
      <c r="F2043" s="6">
        <f>20043/(60*60*24)</f>
        <v>0.23197916666666665</v>
      </c>
      <c r="G2043" s="7" t="s">
        <v>9</v>
      </c>
    </row>
    <row r="2044" spans="1:7" x14ac:dyDescent="0.45">
      <c r="A2044" t="s">
        <v>2139</v>
      </c>
      <c r="B2044" s="2" t="s">
        <v>46</v>
      </c>
      <c r="C2044" s="3">
        <f>5066/(60*60*24)</f>
        <v>5.8634259259259261E-2</v>
      </c>
      <c r="D2044" s="4">
        <f>2100/(60*60*24)</f>
        <v>2.4305555555555556E-2</v>
      </c>
      <c r="E2044" s="5">
        <f>5912/(60*60*24)</f>
        <v>6.8425925925925932E-2</v>
      </c>
      <c r="F2044" s="6">
        <f>19191/(60*60*24)</f>
        <v>0.22211805555555555</v>
      </c>
      <c r="G2044" s="7" t="s">
        <v>9</v>
      </c>
    </row>
    <row r="2045" spans="1:7" x14ac:dyDescent="0.45">
      <c r="A2045" t="s">
        <v>2140</v>
      </c>
      <c r="B2045" s="2" t="s">
        <v>48</v>
      </c>
      <c r="C2045" s="3">
        <f>4681/(60*60*24)</f>
        <v>5.4178240740740742E-2</v>
      </c>
      <c r="D2045" s="4">
        <f>1990/(60*60*24)</f>
        <v>2.3032407407407408E-2</v>
      </c>
      <c r="E2045" s="5">
        <f>5793/(60*60*24)</f>
        <v>6.7048611111111114E-2</v>
      </c>
      <c r="F2045" s="6">
        <f>18641/(60*60*24)</f>
        <v>0.21575231481481483</v>
      </c>
      <c r="G2045" s="7" t="s">
        <v>9</v>
      </c>
    </row>
    <row r="2046" spans="1:7" x14ac:dyDescent="0.45">
      <c r="A2046" t="s">
        <v>2141</v>
      </c>
      <c r="B2046" s="2" t="s">
        <v>50</v>
      </c>
      <c r="C2046" s="3">
        <f>4597/(60*60*24)</f>
        <v>5.3206018518518521E-2</v>
      </c>
      <c r="D2046" s="4">
        <f>2249/(60*60*24)</f>
        <v>2.6030092592592594E-2</v>
      </c>
      <c r="E2046" s="5">
        <f>5623/(60*60*24)</f>
        <v>6.5081018518518524E-2</v>
      </c>
      <c r="F2046" s="6">
        <f>18033/(60*60*24)</f>
        <v>0.20871527777777779</v>
      </c>
      <c r="G2046" s="7" t="s">
        <v>9</v>
      </c>
    </row>
    <row r="2047" spans="1:7" x14ac:dyDescent="0.45">
      <c r="A2047" t="s">
        <v>2142</v>
      </c>
      <c r="B2047" s="2" t="s">
        <v>52</v>
      </c>
      <c r="C2047" s="3">
        <f>4453/(60*60*24)</f>
        <v>5.153935185185185E-2</v>
      </c>
      <c r="D2047" s="4">
        <f>1984/(60*60*24)</f>
        <v>2.2962962962962963E-2</v>
      </c>
      <c r="E2047" s="5">
        <f>5395/(60*60*24)</f>
        <v>6.2442129629629632E-2</v>
      </c>
      <c r="F2047" s="6">
        <f>17358/(60*60*24)</f>
        <v>0.20090277777777779</v>
      </c>
      <c r="G2047" s="7" t="s">
        <v>9</v>
      </c>
    </row>
    <row r="2048" spans="1:7" x14ac:dyDescent="0.45">
      <c r="A2048" t="s">
        <v>2143</v>
      </c>
      <c r="B2048" s="2" t="s">
        <v>54</v>
      </c>
      <c r="C2048" s="3">
        <f>4588/(60*60*24)</f>
        <v>5.3101851851851851E-2</v>
      </c>
      <c r="D2048" s="4">
        <f>2088/(60*60*24)</f>
        <v>2.4166666666666666E-2</v>
      </c>
      <c r="E2048" s="5">
        <f>5205/(60*60*24)</f>
        <v>6.0243055555555557E-2</v>
      </c>
      <c r="F2048" s="6">
        <f>16663/(60*60*24)</f>
        <v>0.19285879629629629</v>
      </c>
      <c r="G2048" s="7" t="s">
        <v>9</v>
      </c>
    </row>
    <row r="2049" spans="1:7" x14ac:dyDescent="0.45">
      <c r="A2049" t="s">
        <v>2144</v>
      </c>
      <c r="B2049" s="2" t="s">
        <v>56</v>
      </c>
      <c r="C2049" s="3">
        <f>3953/(60*60*24)</f>
        <v>4.5752314814814815E-2</v>
      </c>
      <c r="D2049" s="4">
        <f>2073/(60*60*24)</f>
        <v>2.3993055555555556E-2</v>
      </c>
      <c r="E2049" s="8" t="s">
        <v>12</v>
      </c>
      <c r="F2049" s="5">
        <f>16063/(60*60*24)</f>
        <v>0.18591435185185184</v>
      </c>
      <c r="G2049" s="7" t="s">
        <v>9</v>
      </c>
    </row>
    <row r="2050" spans="1:7" x14ac:dyDescent="0.45">
      <c r="A2050" t="s">
        <v>2145</v>
      </c>
      <c r="B2050" s="2" t="s">
        <v>58</v>
      </c>
      <c r="C2050" s="3">
        <f>4113/(60*60*24)</f>
        <v>4.760416666666667E-2</v>
      </c>
      <c r="D2050" s="4">
        <f>2157/(60*60*24)</f>
        <v>2.4965277777777777E-2</v>
      </c>
      <c r="E2050" s="5">
        <f>4843/(60*60*24)</f>
        <v>5.6053240740740744E-2</v>
      </c>
      <c r="F2050" s="6">
        <f>15505/(60*60*24)</f>
        <v>0.17945601851851853</v>
      </c>
      <c r="G2050" s="7" t="s">
        <v>9</v>
      </c>
    </row>
    <row r="2051" spans="1:7" x14ac:dyDescent="0.45">
      <c r="A2051" t="s">
        <v>2146</v>
      </c>
      <c r="B2051" s="2" t="s">
        <v>60</v>
      </c>
      <c r="C2051" s="3">
        <f>4165/(60*60*24)</f>
        <v>4.8206018518518516E-2</v>
      </c>
      <c r="D2051" s="4">
        <f>1957/(60*60*24)</f>
        <v>2.2650462962962963E-2</v>
      </c>
      <c r="E2051" s="5">
        <f>4603/(60*60*24)</f>
        <v>5.3275462962962962E-2</v>
      </c>
      <c r="F2051" s="6">
        <f>14757/(60*60*24)</f>
        <v>0.17079861111111111</v>
      </c>
      <c r="G2051" s="7" t="s">
        <v>9</v>
      </c>
    </row>
    <row r="2052" spans="1:7" x14ac:dyDescent="0.45">
      <c r="A2052" t="s">
        <v>2147</v>
      </c>
      <c r="B2052" s="2" t="s">
        <v>62</v>
      </c>
      <c r="C2052" s="3">
        <f>3688/(60*60*24)</f>
        <v>4.2685185185185187E-2</v>
      </c>
      <c r="D2052" s="4">
        <f>1971/(60*60*24)</f>
        <v>2.2812499999999999E-2</v>
      </c>
      <c r="E2052" s="5">
        <f>4516/(60*60*24)</f>
        <v>5.226851851851852E-2</v>
      </c>
      <c r="F2052" s="6">
        <f>14321/(60*60*24)</f>
        <v>0.16575231481481481</v>
      </c>
      <c r="G2052" s="7" t="s">
        <v>9</v>
      </c>
    </row>
    <row r="2053" spans="1:7" x14ac:dyDescent="0.45">
      <c r="A2053" t="s">
        <v>2148</v>
      </c>
      <c r="B2053" s="2" t="s">
        <v>64</v>
      </c>
      <c r="C2053" s="3">
        <f>3331/(60*60*24)</f>
        <v>3.8553240740740742E-2</v>
      </c>
      <c r="D2053" s="4">
        <f>1806/(60*60*24)</f>
        <v>2.0902777777777777E-2</v>
      </c>
      <c r="E2053" s="5">
        <f>4252/(60*60*24)</f>
        <v>4.9212962962962965E-2</v>
      </c>
      <c r="F2053" s="6">
        <f>13545/(60*60*24)</f>
        <v>0.15677083333333333</v>
      </c>
      <c r="G2053" s="7" t="s">
        <v>9</v>
      </c>
    </row>
    <row r="2054" spans="1:7" x14ac:dyDescent="0.45">
      <c r="A2054" t="s">
        <v>2149</v>
      </c>
      <c r="B2054" s="2" t="s">
        <v>66</v>
      </c>
      <c r="C2054" s="3">
        <f>3592/(60*60*24)</f>
        <v>4.1574074074074076E-2</v>
      </c>
      <c r="D2054" s="4">
        <f>1786/(60*60*24)</f>
        <v>2.0671296296296295E-2</v>
      </c>
      <c r="E2054" s="5">
        <f>4135/(60*60*24)</f>
        <v>4.7858796296296295E-2</v>
      </c>
      <c r="F2054" s="6">
        <f>13105/(60*60*24)</f>
        <v>0.15167824074074074</v>
      </c>
      <c r="G2054" s="7" t="s">
        <v>9</v>
      </c>
    </row>
    <row r="2055" spans="1:7" x14ac:dyDescent="0.45">
      <c r="A2055" t="s">
        <v>2150</v>
      </c>
      <c r="B2055" s="2" t="s">
        <v>68</v>
      </c>
      <c r="C2055" s="3">
        <f>3071/(60*60*24)</f>
        <v>3.5543981481481482E-2</v>
      </c>
      <c r="D2055" s="4">
        <f>1779/(60*60*24)</f>
        <v>2.0590277777777777E-2</v>
      </c>
      <c r="E2055" s="5">
        <f>3858/(60*60*24)</f>
        <v>4.4652777777777777E-2</v>
      </c>
      <c r="F2055" s="6">
        <f>12475/(60*60*24)</f>
        <v>0.14438657407407407</v>
      </c>
      <c r="G2055" s="7" t="s">
        <v>9</v>
      </c>
    </row>
    <row r="2056" spans="1:7" x14ac:dyDescent="0.45">
      <c r="A2056" t="s">
        <v>2151</v>
      </c>
      <c r="B2056" s="2" t="s">
        <v>70</v>
      </c>
      <c r="C2056" s="3">
        <f>2857/(60*60*24)</f>
        <v>3.3067129629629627E-2</v>
      </c>
      <c r="D2056" s="4">
        <f>1652/(60*60*24)</f>
        <v>1.9120370370370371E-2</v>
      </c>
      <c r="E2056" s="5">
        <f>3710/(60*60*24)</f>
        <v>4.2939814814814813E-2</v>
      </c>
      <c r="F2056" s="6">
        <f>12141/(60*60*24)</f>
        <v>0.14052083333333334</v>
      </c>
      <c r="G2056" s="7" t="s">
        <v>9</v>
      </c>
    </row>
    <row r="2057" spans="1:7" x14ac:dyDescent="0.45">
      <c r="A2057" t="s">
        <v>2152</v>
      </c>
      <c r="B2057" s="2" t="s">
        <v>72</v>
      </c>
      <c r="C2057" s="3">
        <f>2336/(60*60*24)</f>
        <v>2.7037037037037037E-2</v>
      </c>
      <c r="D2057" s="4">
        <f>1507/(60*60*24)</f>
        <v>1.744212962962963E-2</v>
      </c>
      <c r="E2057" s="5">
        <f>3592/(60*60*24)</f>
        <v>4.1574074074074076E-2</v>
      </c>
      <c r="F2057" s="6">
        <f>11653/(60*60*24)</f>
        <v>0.13487268518518519</v>
      </c>
      <c r="G2057" s="7" t="s">
        <v>9</v>
      </c>
    </row>
    <row r="2058" spans="1:7" x14ac:dyDescent="0.45">
      <c r="A2058" t="s">
        <v>2153</v>
      </c>
      <c r="B2058" s="2" t="s">
        <v>74</v>
      </c>
      <c r="C2058" s="3">
        <f>2743/(60*60*24)</f>
        <v>3.1747685185185184E-2</v>
      </c>
      <c r="D2058" s="4">
        <f>1423/(60*60*24)</f>
        <v>1.6469907407407409E-2</v>
      </c>
      <c r="E2058" s="5">
        <f>3366/(60*60*24)</f>
        <v>3.8958333333333331E-2</v>
      </c>
      <c r="F2058" s="6">
        <f>11002/(60*60*24)</f>
        <v>0.12733796296296296</v>
      </c>
      <c r="G2058" s="7" t="s">
        <v>9</v>
      </c>
    </row>
    <row r="2059" spans="1:7" x14ac:dyDescent="0.45">
      <c r="A2059" t="s">
        <v>2154</v>
      </c>
      <c r="B2059" s="2" t="s">
        <v>76</v>
      </c>
      <c r="C2059" s="3">
        <f>2760/(60*60*24)</f>
        <v>3.1944444444444442E-2</v>
      </c>
      <c r="D2059" s="4">
        <f>1357/(60*60*24)</f>
        <v>1.5706018518518518E-2</v>
      </c>
      <c r="E2059" s="5">
        <f>3112/(60*60*24)</f>
        <v>3.6018518518518519E-2</v>
      </c>
      <c r="F2059" s="6">
        <f>10492/(60*60*24)</f>
        <v>0.12143518518518519</v>
      </c>
      <c r="G2059" s="7" t="s">
        <v>9</v>
      </c>
    </row>
    <row r="2060" spans="1:7" x14ac:dyDescent="0.45">
      <c r="A2060" t="s">
        <v>2155</v>
      </c>
      <c r="B2060" s="2" t="s">
        <v>78</v>
      </c>
      <c r="C2060" s="5">
        <f>3148/(60*60*24)</f>
        <v>3.6435185185185189E-2</v>
      </c>
      <c r="D2060" s="4">
        <f>1497/(60*60*24)</f>
        <v>1.7326388888888888E-2</v>
      </c>
      <c r="E2060" s="3">
        <f>2856/(60*60*24)</f>
        <v>3.3055555555555553E-2</v>
      </c>
      <c r="F2060" s="6">
        <f>9885/(60*60*24)</f>
        <v>0.11440972222222222</v>
      </c>
      <c r="G2060" s="7" t="s">
        <v>9</v>
      </c>
    </row>
    <row r="2061" spans="1:7" x14ac:dyDescent="0.45">
      <c r="A2061" t="s">
        <v>2156</v>
      </c>
      <c r="B2061" s="2" t="s">
        <v>80</v>
      </c>
      <c r="C2061" s="5">
        <f>3030/(60*60*24)</f>
        <v>3.5069444444444445E-2</v>
      </c>
      <c r="D2061" s="4">
        <f>1357/(60*60*24)</f>
        <v>1.5706018518518518E-2</v>
      </c>
      <c r="E2061" s="3">
        <f>2655/(60*60*24)</f>
        <v>3.0729166666666665E-2</v>
      </c>
      <c r="F2061" s="6">
        <f>9329/(60*60*24)</f>
        <v>0.10797453703703704</v>
      </c>
      <c r="G2061" s="7" t="s">
        <v>9</v>
      </c>
    </row>
    <row r="2062" spans="1:7" x14ac:dyDescent="0.45">
      <c r="A2062" t="s">
        <v>2157</v>
      </c>
      <c r="B2062" s="2" t="s">
        <v>84</v>
      </c>
      <c r="C2062" s="5">
        <f>2859/(60*60*24)</f>
        <v>3.3090277777777781E-2</v>
      </c>
      <c r="D2062" s="4">
        <f>1347/(60*60*24)</f>
        <v>1.5590277777777778E-2</v>
      </c>
      <c r="E2062" s="3">
        <f>2532/(60*60*24)</f>
        <v>2.9305555555555557E-2</v>
      </c>
      <c r="F2062" s="6">
        <f>8967/(60*60*24)</f>
        <v>0.10378472222222222</v>
      </c>
      <c r="G2062" s="7" t="s">
        <v>9</v>
      </c>
    </row>
    <row r="2063" spans="1:7" x14ac:dyDescent="0.45">
      <c r="A2063" t="s">
        <v>2158</v>
      </c>
      <c r="B2063" s="2" t="s">
        <v>82</v>
      </c>
      <c r="C2063" s="5">
        <f>3333/(60*60*24)</f>
        <v>3.8576388888888889E-2</v>
      </c>
      <c r="D2063" s="4">
        <f>1251/(60*60*24)</f>
        <v>1.4479166666666666E-2</v>
      </c>
      <c r="E2063" s="3">
        <f>2353/(60*60*24)</f>
        <v>2.7233796296296298E-2</v>
      </c>
      <c r="F2063" s="6">
        <f>8326/(60*60*24)</f>
        <v>9.6365740740740738E-2</v>
      </c>
      <c r="G2063" s="7" t="s">
        <v>9</v>
      </c>
    </row>
    <row r="2064" spans="1:7" x14ac:dyDescent="0.45">
      <c r="A2064" t="s">
        <v>2159</v>
      </c>
      <c r="B2064" s="2" t="s">
        <v>88</v>
      </c>
      <c r="C2064" s="5">
        <f>3034/(60*60*24)</f>
        <v>3.5115740740740739E-2</v>
      </c>
      <c r="D2064" s="4">
        <f>1241/(60*60*24)</f>
        <v>1.4363425925925925E-2</v>
      </c>
      <c r="E2064" s="3">
        <f>2134/(60*60*24)</f>
        <v>2.4699074074074075E-2</v>
      </c>
      <c r="F2064" s="6">
        <f>7665/(60*60*24)</f>
        <v>8.8715277777777782E-2</v>
      </c>
      <c r="G2064" s="7" t="s">
        <v>9</v>
      </c>
    </row>
    <row r="2065" spans="1:7" x14ac:dyDescent="0.45">
      <c r="A2065" t="s">
        <v>2160</v>
      </c>
      <c r="B2065" s="2" t="s">
        <v>86</v>
      </c>
      <c r="C2065" s="5">
        <f>3268/(60*60*24)</f>
        <v>3.7824074074074072E-2</v>
      </c>
      <c r="D2065" s="4">
        <f>1377/(60*60*24)</f>
        <v>1.59375E-2</v>
      </c>
      <c r="E2065" s="3">
        <f>2063/(60*60*24)</f>
        <v>2.3877314814814816E-2</v>
      </c>
      <c r="F2065" s="6">
        <f>7342/(60*60*24)</f>
        <v>8.4976851851851845E-2</v>
      </c>
      <c r="G2065" s="7" t="s">
        <v>9</v>
      </c>
    </row>
    <row r="2066" spans="1:7" x14ac:dyDescent="0.45">
      <c r="A2066" t="s">
        <v>2161</v>
      </c>
      <c r="B2066" s="2" t="s">
        <v>90</v>
      </c>
      <c r="C2066" s="5">
        <f>3116/(60*60*24)</f>
        <v>3.6064814814814813E-2</v>
      </c>
      <c r="D2066" s="4">
        <f>1273/(60*60*24)</f>
        <v>1.4733796296296297E-2</v>
      </c>
      <c r="E2066" s="3">
        <f>2043/(60*60*24)</f>
        <v>2.3645833333333335E-2</v>
      </c>
      <c r="F2066" s="6">
        <f>7240/(60*60*24)</f>
        <v>8.3796296296296299E-2</v>
      </c>
      <c r="G2066" s="7" t="s">
        <v>9</v>
      </c>
    </row>
    <row r="2067" spans="1:7" x14ac:dyDescent="0.45">
      <c r="A2067" t="s">
        <v>2162</v>
      </c>
      <c r="B2067" s="2" t="s">
        <v>92</v>
      </c>
      <c r="C2067" s="5">
        <f>3520/(60*60*24)</f>
        <v>4.0740740740740744E-2</v>
      </c>
      <c r="D2067" s="4">
        <f>1091/(60*60*24)</f>
        <v>1.2627314814814815E-2</v>
      </c>
      <c r="E2067" s="3">
        <f>1980/(60*60*24)</f>
        <v>2.2916666666666665E-2</v>
      </c>
      <c r="F2067" s="6">
        <f>7174/(60*60*24)</f>
        <v>8.3032407407407402E-2</v>
      </c>
      <c r="G2067" s="7" t="s">
        <v>9</v>
      </c>
    </row>
    <row r="2068" spans="1:7" x14ac:dyDescent="0.45">
      <c r="A2068" t="s">
        <v>2163</v>
      </c>
      <c r="B2068" s="2" t="s">
        <v>94</v>
      </c>
      <c r="C2068" s="5">
        <f>3077/(60*60*24)</f>
        <v>3.5613425925925923E-2</v>
      </c>
      <c r="D2068" s="4">
        <f>946/(60*60*24)</f>
        <v>1.0949074074074075E-2</v>
      </c>
      <c r="E2068" s="3">
        <f>1967/(60*60*24)</f>
        <v>2.2766203703703705E-2</v>
      </c>
      <c r="F2068" s="6">
        <f>6869/(60*60*24)</f>
        <v>7.9502314814814817E-2</v>
      </c>
      <c r="G2068" s="7" t="s">
        <v>9</v>
      </c>
    </row>
    <row r="2069" spans="1:7" x14ac:dyDescent="0.45">
      <c r="A2069" t="s">
        <v>2164</v>
      </c>
      <c r="B2069" s="2" t="s">
        <v>96</v>
      </c>
      <c r="C2069" s="5">
        <f>2671/(60*60*24)</f>
        <v>3.0914351851851853E-2</v>
      </c>
      <c r="D2069" s="4">
        <f>918/(60*60*24)</f>
        <v>1.0625000000000001E-2</v>
      </c>
      <c r="E2069" s="3">
        <f>1837/(60*60*24)</f>
        <v>2.1261574074074075E-2</v>
      </c>
      <c r="F2069" s="6">
        <f>6269/(60*60*24)</f>
        <v>7.255787037037037E-2</v>
      </c>
      <c r="G2069" s="7" t="s">
        <v>9</v>
      </c>
    </row>
    <row r="2070" spans="1:7" x14ac:dyDescent="0.45">
      <c r="A2070" t="s">
        <v>2165</v>
      </c>
      <c r="B2070" s="2" t="s">
        <v>98</v>
      </c>
      <c r="C2070" s="5">
        <f>3475/(60*60*24)</f>
        <v>4.0219907407407406E-2</v>
      </c>
      <c r="D2070" s="4">
        <f>821/(60*60*24)</f>
        <v>9.5023148148148141E-3</v>
      </c>
      <c r="E2070" s="3">
        <f>1856/(60*60*24)</f>
        <v>2.148148148148148E-2</v>
      </c>
      <c r="F2070" s="6">
        <f>6121/(60*60*24)</f>
        <v>7.0844907407407412E-2</v>
      </c>
      <c r="G2070" s="7" t="s">
        <v>9</v>
      </c>
    </row>
    <row r="2071" spans="1:7" x14ac:dyDescent="0.45">
      <c r="A2071" t="s">
        <v>2166</v>
      </c>
      <c r="B2071" s="2" t="s">
        <v>100</v>
      </c>
      <c r="C2071" s="5">
        <f>4353/(60*60*24)</f>
        <v>5.0381944444444444E-2</v>
      </c>
      <c r="D2071" s="4">
        <f>747/(60*60*24)</f>
        <v>8.6458333333333335E-3</v>
      </c>
      <c r="E2071" s="3">
        <f>1866/(60*60*24)</f>
        <v>2.1597222222222223E-2</v>
      </c>
      <c r="F2071" s="6">
        <f>6143/(60*60*24)</f>
        <v>7.1099537037037031E-2</v>
      </c>
      <c r="G2071" s="7" t="s">
        <v>9</v>
      </c>
    </row>
    <row r="2072" spans="1:7" x14ac:dyDescent="0.45">
      <c r="A2072" t="s">
        <v>2167</v>
      </c>
      <c r="B2072" s="2" t="s">
        <v>104</v>
      </c>
      <c r="C2072" s="5">
        <f>3146/(60*60*24)</f>
        <v>3.6412037037037034E-2</v>
      </c>
      <c r="D2072" s="4">
        <f>1012/(60*60*24)</f>
        <v>1.1712962962962963E-2</v>
      </c>
      <c r="E2072" s="3">
        <f>1636/(60*60*24)</f>
        <v>1.8935185185185187E-2</v>
      </c>
      <c r="F2072" s="6">
        <f>5663/(60*60*24)</f>
        <v>6.5543981481481481E-2</v>
      </c>
      <c r="G2072" s="7" t="s">
        <v>9</v>
      </c>
    </row>
    <row r="2073" spans="1:7" x14ac:dyDescent="0.45">
      <c r="A2073" t="s">
        <v>2168</v>
      </c>
      <c r="B2073" s="2" t="s">
        <v>102</v>
      </c>
      <c r="C2073" s="5">
        <f>3756/(60*60*24)</f>
        <v>4.3472222222222225E-2</v>
      </c>
      <c r="D2073" s="4">
        <f>917/(60*60*24)</f>
        <v>1.0613425925925925E-2</v>
      </c>
      <c r="E2073" s="3">
        <f>1675/(60*60*24)</f>
        <v>1.9386574074074073E-2</v>
      </c>
      <c r="F2073" s="6">
        <f>5985/(60*60*24)</f>
        <v>6.9270833333333337E-2</v>
      </c>
      <c r="G2073" s="7" t="s">
        <v>9</v>
      </c>
    </row>
    <row r="2074" spans="1:7" x14ac:dyDescent="0.45">
      <c r="A2074" t="s">
        <v>2169</v>
      </c>
      <c r="B2074" s="2" t="s">
        <v>106</v>
      </c>
      <c r="C2074" s="5">
        <f>4083/(60*60*24)</f>
        <v>4.7256944444444442E-2</v>
      </c>
      <c r="D2074" s="4">
        <f>982/(60*60*24)</f>
        <v>1.136574074074074E-2</v>
      </c>
      <c r="E2074" s="3">
        <f>1841/(60*60*24)</f>
        <v>2.1307870370370369E-2</v>
      </c>
      <c r="F2074" s="6">
        <f>6269/(60*60*24)</f>
        <v>7.255787037037037E-2</v>
      </c>
      <c r="G2074" s="7" t="s">
        <v>9</v>
      </c>
    </row>
    <row r="2075" spans="1:7" x14ac:dyDescent="0.45">
      <c r="A2075" t="s">
        <v>2170</v>
      </c>
      <c r="B2075" s="2" t="s">
        <v>108</v>
      </c>
      <c r="C2075" s="8" t="s">
        <v>12</v>
      </c>
      <c r="D2075" s="4">
        <f>964/(60*60*24)</f>
        <v>1.1157407407407408E-2</v>
      </c>
      <c r="E2075" s="3">
        <f>1837/(60*60*24)</f>
        <v>2.1261574074074075E-2</v>
      </c>
      <c r="F2075" s="5">
        <f>6209/(60*60*24)</f>
        <v>7.1863425925925928E-2</v>
      </c>
      <c r="G2075" s="7" t="s">
        <v>9</v>
      </c>
    </row>
    <row r="2076" spans="1:7" x14ac:dyDescent="0.45">
      <c r="A2076" t="s">
        <v>2171</v>
      </c>
      <c r="B2076" s="2" t="s">
        <v>112</v>
      </c>
      <c r="C2076" s="5">
        <f>4199/(60*60*24)</f>
        <v>4.8599537037037038E-2</v>
      </c>
      <c r="D2076" s="4">
        <f>1061/(60*60*24)</f>
        <v>1.2280092592592592E-2</v>
      </c>
      <c r="E2076" s="3">
        <f>2308/(60*60*24)</f>
        <v>2.6712962962962963E-2</v>
      </c>
      <c r="F2076" s="6">
        <f>7213/(60*60*24)</f>
        <v>8.3483796296296292E-2</v>
      </c>
      <c r="G2076" s="7" t="s">
        <v>9</v>
      </c>
    </row>
    <row r="2077" spans="1:7" x14ac:dyDescent="0.45">
      <c r="A2077" t="s">
        <v>2172</v>
      </c>
      <c r="B2077" s="2" t="s">
        <v>110</v>
      </c>
      <c r="C2077" s="8" t="s">
        <v>12</v>
      </c>
      <c r="D2077" s="4">
        <f>1052/(60*60*24)</f>
        <v>1.2175925925925925E-2</v>
      </c>
      <c r="E2077" s="3">
        <f>2199/(60*60*24)</f>
        <v>2.5451388888888888E-2</v>
      </c>
      <c r="F2077" s="5">
        <f>7178/(60*60*24)</f>
        <v>8.307870370370371E-2</v>
      </c>
      <c r="G2077" s="7" t="s">
        <v>9</v>
      </c>
    </row>
    <row r="2078" spans="1:7" x14ac:dyDescent="0.45">
      <c r="A2078" t="s">
        <v>2173</v>
      </c>
      <c r="B2078" s="2" t="s">
        <v>114</v>
      </c>
      <c r="C2078" s="5">
        <f>3913/(60*60*24)</f>
        <v>4.5289351851851851E-2</v>
      </c>
      <c r="D2078" s="4">
        <f>1012/(60*60*24)</f>
        <v>1.1712962962962963E-2</v>
      </c>
      <c r="E2078" s="3">
        <f>2231/(60*60*24)</f>
        <v>2.582175925925926E-2</v>
      </c>
      <c r="F2078" s="6">
        <f>7925/(60*60*24)</f>
        <v>9.1724537037037035E-2</v>
      </c>
      <c r="G2078" s="7" t="s">
        <v>9</v>
      </c>
    </row>
    <row r="2079" spans="1:7" x14ac:dyDescent="0.45">
      <c r="A2079" t="s">
        <v>2174</v>
      </c>
      <c r="B2079" s="2" t="s">
        <v>116</v>
      </c>
      <c r="C2079" s="8" t="s">
        <v>12</v>
      </c>
      <c r="D2079" s="4">
        <f>1063/(60*60*24)</f>
        <v>1.2303240740740741E-2</v>
      </c>
      <c r="E2079" s="3">
        <f>2572/(60*60*24)</f>
        <v>2.9768518518518517E-2</v>
      </c>
      <c r="F2079" s="5">
        <f>8231/(60*60*24)</f>
        <v>9.52662037037037E-2</v>
      </c>
      <c r="G2079" s="7" t="s">
        <v>9</v>
      </c>
    </row>
    <row r="2080" spans="1:7" x14ac:dyDescent="0.45">
      <c r="A2080" t="s">
        <v>2175</v>
      </c>
      <c r="B2080" s="2" t="s">
        <v>118</v>
      </c>
      <c r="C2080" s="8" t="s">
        <v>12</v>
      </c>
      <c r="D2080" s="4">
        <f>1063/(60*60*24)</f>
        <v>1.2303240740740741E-2</v>
      </c>
      <c r="E2080" s="3">
        <f>2805/(60*60*24)</f>
        <v>3.246527777777778E-2</v>
      </c>
      <c r="F2080" s="5">
        <f>8817/(60*60*24)</f>
        <v>0.10204861111111112</v>
      </c>
      <c r="G2080" s="7" t="s">
        <v>9</v>
      </c>
    </row>
    <row r="2081" spans="1:7" x14ac:dyDescent="0.45">
      <c r="A2081" t="s">
        <v>2176</v>
      </c>
      <c r="B2081" s="2" t="s">
        <v>120</v>
      </c>
      <c r="C2081" s="8" t="s">
        <v>12</v>
      </c>
      <c r="D2081" s="8" t="s">
        <v>12</v>
      </c>
      <c r="E2081" s="4">
        <f>3261/(60*60*24)</f>
        <v>3.7743055555555557E-2</v>
      </c>
      <c r="F2081" s="3">
        <f>9411/(60*60*24)</f>
        <v>0.10892361111111111</v>
      </c>
      <c r="G2081" s="7" t="s">
        <v>9</v>
      </c>
    </row>
    <row r="2082" spans="1:7" x14ac:dyDescent="0.45">
      <c r="A2082" t="s">
        <v>2177</v>
      </c>
      <c r="B2082" s="2" t="s">
        <v>124</v>
      </c>
      <c r="C2082" s="8" t="s">
        <v>12</v>
      </c>
      <c r="D2082" s="8" t="s">
        <v>12</v>
      </c>
      <c r="E2082" s="4">
        <f>3313/(60*60*24)</f>
        <v>3.8344907407407404E-2</v>
      </c>
      <c r="F2082" s="3">
        <f>10012/(60*60*24)</f>
        <v>0.11587962962962962</v>
      </c>
      <c r="G2082" s="7" t="s">
        <v>9</v>
      </c>
    </row>
    <row r="2083" spans="1:7" x14ac:dyDescent="0.45">
      <c r="A2083" t="s">
        <v>2178</v>
      </c>
      <c r="B2083" s="2" t="s">
        <v>122</v>
      </c>
      <c r="C2083" s="8" t="s">
        <v>12</v>
      </c>
      <c r="D2083" s="4">
        <f>1708/(60*60*24)</f>
        <v>1.9768518518518519E-2</v>
      </c>
      <c r="E2083" s="3">
        <f>3282/(60*60*24)</f>
        <v>3.7986111111111109E-2</v>
      </c>
      <c r="F2083" s="5">
        <f>10359/(60*60*24)</f>
        <v>0.11989583333333333</v>
      </c>
      <c r="G2083" s="7" t="s">
        <v>9</v>
      </c>
    </row>
    <row r="2084" spans="1:7" x14ac:dyDescent="0.45">
      <c r="A2084" t="s">
        <v>2179</v>
      </c>
      <c r="B2084" s="2" t="s">
        <v>126</v>
      </c>
      <c r="C2084" s="8" t="s">
        <v>12</v>
      </c>
      <c r="D2084" s="4">
        <f>1732/(60*60*24)</f>
        <v>2.0046296296296295E-2</v>
      </c>
      <c r="E2084" s="3">
        <f>3453/(60*60*24)</f>
        <v>3.996527777777778E-2</v>
      </c>
      <c r="F2084" s="5">
        <f>10959/(60*60*24)</f>
        <v>0.12684027777777779</v>
      </c>
      <c r="G2084" s="7" t="s">
        <v>9</v>
      </c>
    </row>
    <row r="2085" spans="1:7" x14ac:dyDescent="0.45">
      <c r="A2085" t="s">
        <v>2180</v>
      </c>
      <c r="B2085" s="2" t="s">
        <v>128</v>
      </c>
      <c r="C2085" s="8" t="s">
        <v>12</v>
      </c>
      <c r="D2085" s="4">
        <f>1786/(60*60*24)</f>
        <v>2.0671296296296295E-2</v>
      </c>
      <c r="E2085" s="3">
        <f>3380/(60*60*24)</f>
        <v>3.9120370370370368E-2</v>
      </c>
      <c r="F2085" s="5">
        <f>11474/(60*60*24)</f>
        <v>0.13280092592592593</v>
      </c>
      <c r="G2085" s="7" t="s">
        <v>9</v>
      </c>
    </row>
    <row r="2086" spans="1:7" x14ac:dyDescent="0.45">
      <c r="A2086" t="s">
        <v>2181</v>
      </c>
      <c r="B2086" s="2" t="s">
        <v>130</v>
      </c>
      <c r="C2086" s="8" t="s">
        <v>12</v>
      </c>
      <c r="D2086" s="4">
        <f>1729/(60*60*24)</f>
        <v>2.0011574074074074E-2</v>
      </c>
      <c r="E2086" s="3">
        <f>3510/(60*60*24)</f>
        <v>4.0625000000000001E-2</v>
      </c>
      <c r="F2086" s="5">
        <f>11885/(60*60*24)</f>
        <v>0.13755787037037037</v>
      </c>
      <c r="G2086" s="7" t="s">
        <v>9</v>
      </c>
    </row>
    <row r="2087" spans="1:7" x14ac:dyDescent="0.45">
      <c r="A2087" t="s">
        <v>2182</v>
      </c>
      <c r="B2087" s="2" t="s">
        <v>132</v>
      </c>
      <c r="C2087" s="8" t="s">
        <v>12</v>
      </c>
      <c r="D2087" s="4">
        <f>1845/(60*60*24)</f>
        <v>2.1354166666666667E-2</v>
      </c>
      <c r="E2087" s="3">
        <f>3784/(60*60*24)</f>
        <v>4.3796296296296298E-2</v>
      </c>
      <c r="F2087" s="5">
        <f>12520/(60*60*24)</f>
        <v>0.1449074074074074</v>
      </c>
      <c r="G2087" s="7" t="s">
        <v>9</v>
      </c>
    </row>
    <row r="2088" spans="1:7" x14ac:dyDescent="0.45">
      <c r="A2088" t="s">
        <v>2183</v>
      </c>
      <c r="B2088" s="2" t="s">
        <v>136</v>
      </c>
      <c r="C2088" s="8" t="s">
        <v>12</v>
      </c>
      <c r="D2088" s="4">
        <f>1396/(60*60*24)</f>
        <v>1.6157407407407409E-2</v>
      </c>
      <c r="E2088" s="3">
        <f>4118/(60*60*24)</f>
        <v>4.7662037037037037E-2</v>
      </c>
      <c r="F2088" s="5">
        <f>14379/(60*60*24)</f>
        <v>0.16642361111111112</v>
      </c>
      <c r="G2088" s="7" t="s">
        <v>9</v>
      </c>
    </row>
    <row r="2089" spans="1:7" x14ac:dyDescent="0.45">
      <c r="A2089" t="s">
        <v>2184</v>
      </c>
      <c r="B2089" s="2" t="s">
        <v>134</v>
      </c>
      <c r="C2089" s="8" t="s">
        <v>12</v>
      </c>
      <c r="D2089" s="4">
        <f>1460/(60*60*24)</f>
        <v>1.6898148148148148E-2</v>
      </c>
      <c r="E2089" s="3">
        <f>4170/(60*60*24)</f>
        <v>4.8263888888888891E-2</v>
      </c>
      <c r="F2089" s="5">
        <f>14493/(60*60*24)</f>
        <v>0.16774305555555555</v>
      </c>
      <c r="G2089" s="7" t="s">
        <v>9</v>
      </c>
    </row>
    <row r="2090" spans="1:7" x14ac:dyDescent="0.45">
      <c r="A2090" t="s">
        <v>2185</v>
      </c>
      <c r="B2090" s="2" t="s">
        <v>138</v>
      </c>
      <c r="C2090" s="5">
        <f>6762/(60*60*24)</f>
        <v>7.8263888888888883E-2</v>
      </c>
      <c r="D2090" s="4">
        <f>1749/(60*60*24)</f>
        <v>2.0243055555555556E-2</v>
      </c>
      <c r="E2090" s="3">
        <f>4568/(60*60*24)</f>
        <v>5.2870370370370373E-2</v>
      </c>
      <c r="F2090" s="6">
        <f>15336/(60*60*24)</f>
        <v>0.17749999999999999</v>
      </c>
      <c r="G2090" s="7" t="s">
        <v>9</v>
      </c>
    </row>
    <row r="2091" spans="1:7" x14ac:dyDescent="0.45">
      <c r="A2091" t="s">
        <v>2186</v>
      </c>
      <c r="B2091" s="2" t="s">
        <v>140</v>
      </c>
      <c r="C2091" s="5">
        <f>6804/(60*60*24)</f>
        <v>7.8750000000000001E-2</v>
      </c>
      <c r="D2091" s="4">
        <f>1785/(60*60*24)</f>
        <v>2.0659722222222222E-2</v>
      </c>
      <c r="E2091" s="3">
        <f>4692/(60*60*24)</f>
        <v>5.4305555555555558E-2</v>
      </c>
      <c r="F2091" s="6">
        <f>16079/(60*60*24)</f>
        <v>0.18609953703703705</v>
      </c>
      <c r="G2091" s="7" t="s">
        <v>9</v>
      </c>
    </row>
    <row r="2092" spans="1:7" x14ac:dyDescent="0.45">
      <c r="A2092" t="s">
        <v>2187</v>
      </c>
      <c r="B2092" s="2" t="s">
        <v>142</v>
      </c>
      <c r="C2092" s="5">
        <f>5892/(60*60*24)</f>
        <v>6.8194444444444446E-2</v>
      </c>
      <c r="D2092" s="4">
        <f>2046/(60*60*24)</f>
        <v>2.3680555555555555E-2</v>
      </c>
      <c r="E2092" s="3">
        <f>4887/(60*60*24)</f>
        <v>5.6562500000000002E-2</v>
      </c>
      <c r="F2092" s="6">
        <f>17153/(60*60*24)</f>
        <v>0.19853009259259261</v>
      </c>
      <c r="G2092" s="7" t="s">
        <v>9</v>
      </c>
    </row>
    <row r="2093" spans="1:7" x14ac:dyDescent="0.45">
      <c r="A2093" t="s">
        <v>2188</v>
      </c>
      <c r="B2093" s="2" t="s">
        <v>144</v>
      </c>
      <c r="C2093" s="5">
        <f>5959/(60*60*24)</f>
        <v>6.896990740740741E-2</v>
      </c>
      <c r="D2093" s="4">
        <f>1886/(60*60*24)</f>
        <v>2.1828703703703704E-2</v>
      </c>
      <c r="E2093" s="3">
        <f>5088/(60*60*24)</f>
        <v>5.8888888888888886E-2</v>
      </c>
      <c r="F2093" s="6">
        <f>17381/(60*60*24)</f>
        <v>0.20116898148148149</v>
      </c>
      <c r="G2093" s="7" t="s">
        <v>9</v>
      </c>
    </row>
    <row r="2094" spans="1:7" x14ac:dyDescent="0.45">
      <c r="A2094" t="s">
        <v>2189</v>
      </c>
      <c r="B2094" s="2" t="s">
        <v>146</v>
      </c>
      <c r="C2094" s="5">
        <f>6224/(60*60*24)</f>
        <v>7.2037037037037038E-2</v>
      </c>
      <c r="D2094" s="4">
        <f>2112/(60*60*24)</f>
        <v>2.4444444444444446E-2</v>
      </c>
      <c r="E2094" s="3">
        <f>5524/(60*60*24)</f>
        <v>6.3935185185185192E-2</v>
      </c>
      <c r="F2094" s="6">
        <f>17868/(60*60*24)</f>
        <v>0.20680555555555555</v>
      </c>
      <c r="G2094" s="7" t="s">
        <v>9</v>
      </c>
    </row>
    <row r="2095" spans="1:7" x14ac:dyDescent="0.45">
      <c r="A2095" t="s">
        <v>2190</v>
      </c>
      <c r="B2095" s="2" t="s">
        <v>148</v>
      </c>
      <c r="C2095" s="5">
        <f>5895/(60*60*24)</f>
        <v>6.822916666666666E-2</v>
      </c>
      <c r="D2095" s="4">
        <f>2100/(60*60*24)</f>
        <v>2.4305555555555556E-2</v>
      </c>
      <c r="E2095" s="3">
        <f>5497/(60*60*24)</f>
        <v>6.3622685185185185E-2</v>
      </c>
      <c r="F2095" s="6">
        <f>18148/(60*60*24)</f>
        <v>0.21004629629629629</v>
      </c>
      <c r="G2095" s="7" t="s">
        <v>9</v>
      </c>
    </row>
    <row r="2096" spans="1:7" x14ac:dyDescent="0.45">
      <c r="A2096" t="s">
        <v>2191</v>
      </c>
      <c r="B2096" s="2" t="s">
        <v>150</v>
      </c>
      <c r="C2096" s="5">
        <f>6224/(60*60*24)</f>
        <v>7.2037037037037038E-2</v>
      </c>
      <c r="D2096" s="4">
        <f>2042/(60*60*24)</f>
        <v>2.3634259259259258E-2</v>
      </c>
      <c r="E2096" s="3">
        <f>5927/(60*60*24)</f>
        <v>6.8599537037037042E-2</v>
      </c>
      <c r="F2096" s="6">
        <f>19238/(60*60*24)</f>
        <v>0.22266203703703705</v>
      </c>
      <c r="G2096" s="7" t="s">
        <v>9</v>
      </c>
    </row>
    <row r="2097" spans="1:7" x14ac:dyDescent="0.45">
      <c r="A2097" t="s">
        <v>2192</v>
      </c>
      <c r="B2097" s="2" t="s">
        <v>152</v>
      </c>
      <c r="C2097" s="3">
        <f>5749/(60*60*24)</f>
        <v>6.653935185185185E-2</v>
      </c>
      <c r="D2097" s="4">
        <f>2107/(60*60*24)</f>
        <v>2.4386574074074074E-2</v>
      </c>
      <c r="E2097" s="5">
        <f>5839/(60*60*24)</f>
        <v>6.7581018518518512E-2</v>
      </c>
      <c r="F2097" s="6">
        <f>20738/(60*60*24)</f>
        <v>0.24002314814814815</v>
      </c>
      <c r="G2097" s="7" t="s">
        <v>9</v>
      </c>
    </row>
    <row r="2098" spans="1:7" x14ac:dyDescent="0.45">
      <c r="A2098" t="s">
        <v>2193</v>
      </c>
      <c r="B2098" s="2" t="s">
        <v>154</v>
      </c>
      <c r="C2098" s="3">
        <f>5953/(60*60*24)</f>
        <v>6.8900462962962969E-2</v>
      </c>
      <c r="D2098" s="4">
        <f>2179/(60*60*24)</f>
        <v>2.5219907407407406E-2</v>
      </c>
      <c r="E2098" s="5">
        <f>6006/(60*60*24)</f>
        <v>6.9513888888888889E-2</v>
      </c>
      <c r="F2098" s="6">
        <f>21093/(60*60*24)</f>
        <v>0.24413194444444444</v>
      </c>
      <c r="G2098" s="7" t="s">
        <v>9</v>
      </c>
    </row>
    <row r="2099" spans="1:7" x14ac:dyDescent="0.45">
      <c r="A2099" t="s">
        <v>2194</v>
      </c>
      <c r="B2099" s="2" t="s">
        <v>156</v>
      </c>
      <c r="C2099" s="8" t="s">
        <v>12</v>
      </c>
      <c r="D2099" s="4">
        <f>2213/(60*60*24)</f>
        <v>2.5613425925925925E-2</v>
      </c>
      <c r="E2099" s="3">
        <f>6291/(60*60*24)</f>
        <v>7.2812500000000002E-2</v>
      </c>
      <c r="F2099" s="5">
        <f>21727/(60*60*24)</f>
        <v>0.25146990740740743</v>
      </c>
      <c r="G2099" s="7" t="s">
        <v>9</v>
      </c>
    </row>
    <row r="2100" spans="1:7" x14ac:dyDescent="0.45">
      <c r="A2100" t="s">
        <v>2195</v>
      </c>
      <c r="B2100" s="2" t="s">
        <v>160</v>
      </c>
      <c r="C2100" s="3">
        <f>6277/(60*60*24)</f>
        <v>7.2650462962962958E-2</v>
      </c>
      <c r="D2100" s="4">
        <f>2247/(60*60*24)</f>
        <v>2.6006944444444444E-2</v>
      </c>
      <c r="E2100" s="5">
        <f>6402/(60*60*24)</f>
        <v>7.4097222222222217E-2</v>
      </c>
      <c r="F2100" s="6">
        <f>22094/(60*60*24)</f>
        <v>0.25571759259259258</v>
      </c>
      <c r="G2100" s="7" t="s">
        <v>9</v>
      </c>
    </row>
    <row r="2101" spans="1:7" x14ac:dyDescent="0.45">
      <c r="A2101" t="s">
        <v>2196</v>
      </c>
      <c r="B2101" s="2" t="s">
        <v>158</v>
      </c>
      <c r="C2101" s="8" t="s">
        <v>12</v>
      </c>
      <c r="D2101" s="4">
        <f>2310/(60*60*24)</f>
        <v>2.673611111111111E-2</v>
      </c>
      <c r="E2101" s="3">
        <f>6591/(60*60*24)</f>
        <v>7.6284722222222226E-2</v>
      </c>
      <c r="F2101" s="5">
        <f>22885/(60*60*24)</f>
        <v>0.2648726851851852</v>
      </c>
      <c r="G2101" s="7" t="s">
        <v>9</v>
      </c>
    </row>
    <row r="2102" spans="1:7" x14ac:dyDescent="0.45">
      <c r="A2102" t="s">
        <v>2197</v>
      </c>
      <c r="B2102" s="2" t="s">
        <v>162</v>
      </c>
      <c r="C2102" s="3">
        <f>6289/(60*60*24)</f>
        <v>7.2789351851851855E-2</v>
      </c>
      <c r="D2102" s="4">
        <f>2316/(60*60*24)</f>
        <v>2.6805555555555555E-2</v>
      </c>
      <c r="E2102" s="5">
        <f>6559/(60*60*24)</f>
        <v>7.5914351851851858E-2</v>
      </c>
      <c r="F2102" s="6">
        <f>24947/(60*60*24)</f>
        <v>0.28873842592592591</v>
      </c>
      <c r="G2102" s="7" t="s">
        <v>9</v>
      </c>
    </row>
    <row r="2103" spans="1:7" x14ac:dyDescent="0.45">
      <c r="A2103" t="s">
        <v>2198</v>
      </c>
      <c r="B2103" s="2" t="s">
        <v>164</v>
      </c>
      <c r="C2103" s="3">
        <f>6605/(60*60*24)</f>
        <v>7.6446759259259256E-2</v>
      </c>
      <c r="D2103" s="4">
        <f>2290/(60*60*24)</f>
        <v>2.6504629629629628E-2</v>
      </c>
      <c r="E2103" s="5">
        <f>6658/(60*60*24)</f>
        <v>7.706018518518519E-2</v>
      </c>
      <c r="F2103" s="6">
        <f>25345/(60*60*24)</f>
        <v>0.29334490740740743</v>
      </c>
      <c r="G2103" s="7" t="s">
        <v>9</v>
      </c>
    </row>
    <row r="2104" spans="1:7" x14ac:dyDescent="0.45">
      <c r="A2104" t="s">
        <v>2199</v>
      </c>
      <c r="B2104" s="2" t="s">
        <v>168</v>
      </c>
      <c r="C2104" s="5">
        <f>8972/(60*60*24)</f>
        <v>0.1038425925925926</v>
      </c>
      <c r="D2104" s="4">
        <f>2496/(60*60*24)</f>
        <v>2.8888888888888888E-2</v>
      </c>
      <c r="E2104" s="3">
        <f>7001/(60*60*24)</f>
        <v>8.1030092592592598E-2</v>
      </c>
      <c r="F2104" s="6">
        <f>26256/(60*60*24)</f>
        <v>0.30388888888888888</v>
      </c>
      <c r="G2104" s="7" t="s">
        <v>9</v>
      </c>
    </row>
    <row r="2105" spans="1:7" x14ac:dyDescent="0.45">
      <c r="A2105" t="s">
        <v>2200</v>
      </c>
      <c r="B2105" s="2" t="s">
        <v>166</v>
      </c>
      <c r="C2105" s="8" t="s">
        <v>12</v>
      </c>
      <c r="D2105" s="4">
        <f>2581/(60*60*24)</f>
        <v>2.9872685185185186E-2</v>
      </c>
      <c r="E2105" s="3">
        <f>7186/(60*60*24)</f>
        <v>8.3171296296296299E-2</v>
      </c>
      <c r="F2105" s="5">
        <f>26714/(60*60*24)</f>
        <v>0.30918981481481483</v>
      </c>
      <c r="G2105" s="7" t="s">
        <v>9</v>
      </c>
    </row>
    <row r="2106" spans="1:7" x14ac:dyDescent="0.45">
      <c r="A2106" t="s">
        <v>2201</v>
      </c>
      <c r="B2106" s="2" t="s">
        <v>170</v>
      </c>
      <c r="C2106" s="5">
        <f>9259/(60*60*24)</f>
        <v>0.10716435185185186</v>
      </c>
      <c r="D2106" s="4">
        <f>2469/(60*60*24)</f>
        <v>2.8576388888888887E-2</v>
      </c>
      <c r="E2106" s="3">
        <f>7712/(60*60*24)</f>
        <v>8.925925925925926E-2</v>
      </c>
      <c r="F2106" s="6">
        <f>27506/(60*60*24)</f>
        <v>0.31835648148148149</v>
      </c>
      <c r="G2106" s="7" t="s">
        <v>9</v>
      </c>
    </row>
    <row r="2107" spans="1:7" x14ac:dyDescent="0.45">
      <c r="A2107" t="s">
        <v>2202</v>
      </c>
      <c r="B2107" s="2" t="s">
        <v>172</v>
      </c>
      <c r="C2107" s="5">
        <f>9501/(60*60*24)</f>
        <v>0.10996527777777777</v>
      </c>
      <c r="D2107" s="4">
        <f>2554/(60*60*24)</f>
        <v>2.9560185185185186E-2</v>
      </c>
      <c r="E2107" s="3">
        <f>8032/(60*60*24)</f>
        <v>9.2962962962962969E-2</v>
      </c>
      <c r="F2107" s="6">
        <f>28293/(60*60*24)</f>
        <v>0.32746527777777779</v>
      </c>
      <c r="G2107" s="7" t="s">
        <v>9</v>
      </c>
    </row>
    <row r="2108" spans="1:7" x14ac:dyDescent="0.45">
      <c r="A2108" t="s">
        <v>2203</v>
      </c>
      <c r="B2108" s="2" t="s">
        <v>176</v>
      </c>
      <c r="C2108" s="5">
        <f>11158/(60*60*24)</f>
        <v>0.12914351851851852</v>
      </c>
      <c r="D2108" s="4">
        <f>2696/(60*60*24)</f>
        <v>3.1203703703703702E-2</v>
      </c>
      <c r="E2108" s="3">
        <f>8452/(60*60*24)</f>
        <v>9.7824074074074077E-2</v>
      </c>
      <c r="F2108" s="6">
        <f>29397/(60*60*24)</f>
        <v>0.34024305555555556</v>
      </c>
      <c r="G2108" s="7" t="s">
        <v>9</v>
      </c>
    </row>
    <row r="2109" spans="1:7" x14ac:dyDescent="0.45">
      <c r="A2109" t="s">
        <v>2204</v>
      </c>
      <c r="B2109" s="2" t="s">
        <v>174</v>
      </c>
      <c r="C2109" s="5">
        <f>10508/(60*60*24)</f>
        <v>0.12162037037037036</v>
      </c>
      <c r="D2109" s="4">
        <f>2808/(60*60*24)</f>
        <v>3.2500000000000001E-2</v>
      </c>
      <c r="E2109" s="3">
        <f>8311/(60*60*24)</f>
        <v>9.6192129629629627E-2</v>
      </c>
      <c r="F2109" s="6">
        <f>29587/(60*60*24)</f>
        <v>0.34244212962962961</v>
      </c>
      <c r="G2109" s="7" t="s">
        <v>9</v>
      </c>
    </row>
    <row r="2110" spans="1:7" x14ac:dyDescent="0.45">
      <c r="A2110" t="s">
        <v>2205</v>
      </c>
      <c r="B2110" s="2" t="s">
        <v>180</v>
      </c>
      <c r="C2110" s="3">
        <f>6775/(60*60*24)</f>
        <v>7.8414351851851846E-2</v>
      </c>
      <c r="D2110" s="4">
        <f>2882/(60*60*24)</f>
        <v>3.335648148148148E-2</v>
      </c>
      <c r="E2110" s="5">
        <f>8477/(60*60*24)</f>
        <v>9.8113425925925923E-2</v>
      </c>
      <c r="F2110" s="6">
        <f>30310/(60*60*24)</f>
        <v>0.3508101851851852</v>
      </c>
      <c r="G2110" s="7" t="s">
        <v>9</v>
      </c>
    </row>
    <row r="2111" spans="1:7" x14ac:dyDescent="0.45">
      <c r="A2111" t="s">
        <v>2206</v>
      </c>
      <c r="B2111" s="2" t="s">
        <v>178</v>
      </c>
      <c r="C2111" s="3">
        <f>7002/(60*60*24)</f>
        <v>8.1041666666666665E-2</v>
      </c>
      <c r="D2111" s="4">
        <f>2961/(60*60*24)</f>
        <v>3.4270833333333334E-2</v>
      </c>
      <c r="E2111" s="5">
        <f>8664/(60*60*24)</f>
        <v>0.10027777777777777</v>
      </c>
      <c r="F2111" s="6">
        <f>30945/(60*60*24)</f>
        <v>0.3581597222222222</v>
      </c>
      <c r="G2111" s="7" t="s">
        <v>9</v>
      </c>
    </row>
    <row r="2112" spans="1:7" x14ac:dyDescent="0.45">
      <c r="A2112" t="s">
        <v>2207</v>
      </c>
      <c r="B2112" s="2" t="s">
        <v>182</v>
      </c>
      <c r="C2112" s="8" t="s">
        <v>12</v>
      </c>
      <c r="D2112" s="4">
        <f>3069/(60*60*24)</f>
        <v>3.5520833333333335E-2</v>
      </c>
      <c r="E2112" s="3">
        <f>8917/(60*60*24)</f>
        <v>0.10320601851851852</v>
      </c>
      <c r="F2112" s="5">
        <f>31921/(60*60*24)</f>
        <v>0.3694560185185185</v>
      </c>
      <c r="G2112" s="7" t="s">
        <v>9</v>
      </c>
    </row>
    <row r="2113" spans="1:7" x14ac:dyDescent="0.45">
      <c r="A2113" t="s">
        <v>2208</v>
      </c>
      <c r="B2113" s="2" t="s">
        <v>184</v>
      </c>
      <c r="C2113" s="8" t="s">
        <v>12</v>
      </c>
      <c r="D2113" s="4">
        <f>3201/(60*60*24)</f>
        <v>3.7048611111111109E-2</v>
      </c>
      <c r="E2113" s="3">
        <f>9119/(60*60*24)</f>
        <v>0.10554398148148147</v>
      </c>
      <c r="F2113" s="5">
        <f>32684/(60*60*24)</f>
        <v>0.37828703703703703</v>
      </c>
      <c r="G2113" s="7" t="s">
        <v>9</v>
      </c>
    </row>
    <row r="2114" spans="1:7" x14ac:dyDescent="0.45">
      <c r="A2114" t="s">
        <v>2209</v>
      </c>
      <c r="B2114" s="2" t="s">
        <v>8</v>
      </c>
      <c r="C2114" s="8" t="s">
        <v>12</v>
      </c>
      <c r="D2114" s="4">
        <f>2405/(60*60*24)</f>
        <v>2.7835648148148148E-2</v>
      </c>
      <c r="E2114" s="3">
        <f>9422/(60*60*24)</f>
        <v>0.10905092592592593</v>
      </c>
      <c r="F2114" s="5">
        <f>31123/(60*60*24)</f>
        <v>0.36021990740740739</v>
      </c>
      <c r="G2114" s="7" t="s">
        <v>9</v>
      </c>
    </row>
    <row r="2115" spans="1:7" x14ac:dyDescent="0.45">
      <c r="A2115" t="s">
        <v>2210</v>
      </c>
      <c r="B2115" s="2" t="s">
        <v>11</v>
      </c>
      <c r="C2115" s="8" t="s">
        <v>12</v>
      </c>
      <c r="D2115" s="4">
        <f>2330/(60*60*24)</f>
        <v>2.6967592592592592E-2</v>
      </c>
      <c r="E2115" s="3">
        <f>9088/(60*60*24)</f>
        <v>0.10518518518518519</v>
      </c>
      <c r="F2115" s="5">
        <f>30281/(60*60*24)</f>
        <v>0.35047453703703701</v>
      </c>
      <c r="G2115" s="7" t="s">
        <v>9</v>
      </c>
    </row>
    <row r="2116" spans="1:7" x14ac:dyDescent="0.45">
      <c r="A2116" t="s">
        <v>2211</v>
      </c>
      <c r="B2116" s="2" t="s">
        <v>14</v>
      </c>
      <c r="C2116" s="8" t="s">
        <v>12</v>
      </c>
      <c r="D2116" s="4">
        <f>2133/(60*60*24)</f>
        <v>2.4687500000000001E-2</v>
      </c>
      <c r="E2116" s="3">
        <f>8885/(60*60*24)</f>
        <v>0.10283564814814815</v>
      </c>
      <c r="F2116" s="5">
        <f>29683/(60*60*24)</f>
        <v>0.34355324074074073</v>
      </c>
      <c r="G2116" s="7" t="s">
        <v>9</v>
      </c>
    </row>
    <row r="2117" spans="1:7" x14ac:dyDescent="0.45">
      <c r="A2117" t="s">
        <v>2212</v>
      </c>
      <c r="B2117" s="2" t="s">
        <v>16</v>
      </c>
      <c r="C2117" s="8" t="s">
        <v>12</v>
      </c>
      <c r="D2117" s="4">
        <f>1968/(60*60*24)</f>
        <v>2.2777777777777779E-2</v>
      </c>
      <c r="E2117" s="3">
        <f>8667/(60*60*24)</f>
        <v>0.1003125</v>
      </c>
      <c r="F2117" s="5">
        <f>28971/(60*60*24)</f>
        <v>0.33531250000000001</v>
      </c>
      <c r="G2117" s="7" t="s">
        <v>9</v>
      </c>
    </row>
    <row r="2118" spans="1:7" x14ac:dyDescent="0.45">
      <c r="A2118" t="s">
        <v>2213</v>
      </c>
      <c r="B2118" s="2" t="s">
        <v>18</v>
      </c>
      <c r="C2118" s="3">
        <f>6023/(60*60*24)</f>
        <v>6.9710648148148147E-2</v>
      </c>
      <c r="D2118" s="4">
        <f>2074/(60*60*24)</f>
        <v>2.4004629629629629E-2</v>
      </c>
      <c r="E2118" s="5">
        <f>8274/(60*60*24)</f>
        <v>9.5763888888888885E-2</v>
      </c>
      <c r="F2118" s="6">
        <f>28240/(60*60*24)</f>
        <v>0.32685185185185184</v>
      </c>
      <c r="G2118" s="7" t="s">
        <v>9</v>
      </c>
    </row>
    <row r="2119" spans="1:7" x14ac:dyDescent="0.45">
      <c r="A2119" t="s">
        <v>2214</v>
      </c>
      <c r="B2119" s="2" t="s">
        <v>20</v>
      </c>
      <c r="C2119" s="3">
        <f>5762/(60*60*24)</f>
        <v>6.6689814814814813E-2</v>
      </c>
      <c r="D2119" s="4">
        <f>1927/(60*60*24)</f>
        <v>2.2303240740740742E-2</v>
      </c>
      <c r="E2119" s="5">
        <f>8046/(60*60*24)</f>
        <v>9.3124999999999999E-2</v>
      </c>
      <c r="F2119" s="6">
        <f>27707/(60*60*24)</f>
        <v>0.32068287037037035</v>
      </c>
      <c r="G2119" s="7" t="s">
        <v>9</v>
      </c>
    </row>
    <row r="2120" spans="1:7" x14ac:dyDescent="0.45">
      <c r="A2120" t="s">
        <v>2215</v>
      </c>
      <c r="B2120" s="2" t="s">
        <v>22</v>
      </c>
      <c r="C2120" s="3">
        <f>6131/(60*60*24)</f>
        <v>7.0960648148148148E-2</v>
      </c>
      <c r="D2120" s="4">
        <f>1809/(60*60*24)</f>
        <v>2.0937500000000001E-2</v>
      </c>
      <c r="E2120" s="5">
        <f>7889/(60*60*24)</f>
        <v>9.1307870370370373E-2</v>
      </c>
      <c r="F2120" s="6">
        <f>27095/(60*60*24)</f>
        <v>0.31359953703703702</v>
      </c>
      <c r="G2120" s="7" t="s">
        <v>9</v>
      </c>
    </row>
    <row r="2121" spans="1:7" x14ac:dyDescent="0.45">
      <c r="A2121" t="s">
        <v>2216</v>
      </c>
      <c r="B2121" s="2" t="s">
        <v>24</v>
      </c>
      <c r="C2121" s="3">
        <f>7095/(60*60*24)</f>
        <v>8.2118055555555555E-2</v>
      </c>
      <c r="D2121" s="4">
        <f>1802/(60*60*24)</f>
        <v>2.0856481481481483E-2</v>
      </c>
      <c r="E2121" s="5">
        <f>7729/(60*60*24)</f>
        <v>8.9456018518518518E-2</v>
      </c>
      <c r="F2121" s="6">
        <f>26440/(60*60*24)</f>
        <v>0.30601851851851852</v>
      </c>
      <c r="G2121" s="7" t="s">
        <v>9</v>
      </c>
    </row>
    <row r="2122" spans="1:7" x14ac:dyDescent="0.45">
      <c r="A2122" t="s">
        <v>2217</v>
      </c>
      <c r="B2122" s="2" t="s">
        <v>26</v>
      </c>
      <c r="C2122" s="3">
        <f>5786/(60*60*24)</f>
        <v>6.6967592592592592E-2</v>
      </c>
      <c r="D2122" s="4">
        <f>2029/(60*60*24)</f>
        <v>2.3483796296296298E-2</v>
      </c>
      <c r="E2122" s="5">
        <f>7625/(60*60*24)</f>
        <v>8.8252314814814811E-2</v>
      </c>
      <c r="F2122" s="6">
        <f>26191/(60*60*24)</f>
        <v>0.30313657407407407</v>
      </c>
      <c r="G2122" s="7" t="s">
        <v>9</v>
      </c>
    </row>
    <row r="2123" spans="1:7" x14ac:dyDescent="0.45">
      <c r="A2123" t="s">
        <v>2218</v>
      </c>
      <c r="B2123" s="2" t="s">
        <v>28</v>
      </c>
      <c r="C2123" s="8" t="s">
        <v>12</v>
      </c>
      <c r="D2123" s="4">
        <f>1818/(60*60*24)</f>
        <v>2.1041666666666667E-2</v>
      </c>
      <c r="E2123" s="3">
        <f>7767/(60*60*24)</f>
        <v>8.9895833333333328E-2</v>
      </c>
      <c r="F2123" s="5">
        <f>25866/(60*60*24)</f>
        <v>0.299375</v>
      </c>
      <c r="G2123" s="7" t="s">
        <v>9</v>
      </c>
    </row>
    <row r="2124" spans="1:7" x14ac:dyDescent="0.45">
      <c r="A2124" t="s">
        <v>2219</v>
      </c>
      <c r="B2124" s="2" t="s">
        <v>30</v>
      </c>
      <c r="C2124" s="8" t="s">
        <v>12</v>
      </c>
      <c r="D2124" s="4">
        <f>2202/(60*60*24)</f>
        <v>2.5486111111111112E-2</v>
      </c>
      <c r="E2124" s="3">
        <f>7540/(60*60*24)</f>
        <v>8.7268518518518523E-2</v>
      </c>
      <c r="F2124" s="5">
        <f>25278/(60*60*24)</f>
        <v>0.29256944444444444</v>
      </c>
      <c r="G2124" s="7" t="s">
        <v>9</v>
      </c>
    </row>
    <row r="2125" spans="1:7" x14ac:dyDescent="0.45">
      <c r="A2125" t="s">
        <v>2220</v>
      </c>
      <c r="B2125" s="2" t="s">
        <v>32</v>
      </c>
      <c r="C2125" s="8" t="s">
        <v>12</v>
      </c>
      <c r="D2125" s="4">
        <f>1922/(60*60*24)</f>
        <v>2.224537037037037E-2</v>
      </c>
      <c r="E2125" s="3">
        <f>7618/(60*60*24)</f>
        <v>8.8171296296296303E-2</v>
      </c>
      <c r="F2125" s="5">
        <f>25199/(60*60*24)</f>
        <v>0.29165509259259259</v>
      </c>
      <c r="G2125" s="7" t="s">
        <v>9</v>
      </c>
    </row>
    <row r="2126" spans="1:7" x14ac:dyDescent="0.45">
      <c r="A2126" t="s">
        <v>2221</v>
      </c>
      <c r="B2126" s="2" t="s">
        <v>36</v>
      </c>
      <c r="C2126" s="3">
        <f>5388/(60*60*24)</f>
        <v>6.236111111111111E-2</v>
      </c>
      <c r="D2126" s="4">
        <f>1765/(60*60*24)</f>
        <v>2.042824074074074E-2</v>
      </c>
      <c r="E2126" s="5">
        <f>7194/(60*60*24)</f>
        <v>8.3263888888888887E-2</v>
      </c>
      <c r="F2126" s="6">
        <f>23387/(60*60*24)</f>
        <v>0.27068287037037037</v>
      </c>
      <c r="G2126" s="7" t="s">
        <v>9</v>
      </c>
    </row>
    <row r="2127" spans="1:7" x14ac:dyDescent="0.45">
      <c r="A2127" t="s">
        <v>2222</v>
      </c>
      <c r="B2127" s="2" t="s">
        <v>34</v>
      </c>
      <c r="C2127" s="3">
        <f>5041/(60*60*24)</f>
        <v>5.8344907407407408E-2</v>
      </c>
      <c r="D2127" s="4">
        <f>2024/(60*60*24)</f>
        <v>2.3425925925925926E-2</v>
      </c>
      <c r="E2127" s="5">
        <f>7038/(60*60*24)</f>
        <v>8.1458333333333327E-2</v>
      </c>
      <c r="F2127" s="6">
        <f>22887/(60*60*24)</f>
        <v>0.26489583333333333</v>
      </c>
      <c r="G2127" s="7" t="s">
        <v>9</v>
      </c>
    </row>
    <row r="2128" spans="1:7" x14ac:dyDescent="0.45">
      <c r="A2128" t="s">
        <v>2223</v>
      </c>
      <c r="B2128" s="2" t="s">
        <v>38</v>
      </c>
      <c r="C2128" s="3">
        <f>5114/(60*60*24)</f>
        <v>5.9189814814814813E-2</v>
      </c>
      <c r="D2128" s="4">
        <f>1825/(60*60*24)</f>
        <v>2.1122685185185185E-2</v>
      </c>
      <c r="E2128" s="5">
        <f>6862/(60*60*24)</f>
        <v>7.9421296296296295E-2</v>
      </c>
      <c r="F2128" s="6">
        <f>22386/(60*60*24)</f>
        <v>0.2590972222222222</v>
      </c>
      <c r="G2128" s="7" t="s">
        <v>9</v>
      </c>
    </row>
    <row r="2129" spans="1:7" x14ac:dyDescent="0.45">
      <c r="A2129" t="s">
        <v>2224</v>
      </c>
      <c r="B2129" s="2" t="s">
        <v>40</v>
      </c>
      <c r="C2129" s="3">
        <f>4338/(60*60*24)</f>
        <v>5.0208333333333334E-2</v>
      </c>
      <c r="D2129" s="4">
        <f>1851/(60*60*24)</f>
        <v>2.1423611111111112E-2</v>
      </c>
      <c r="E2129" s="5">
        <f>6641/(60*60*24)</f>
        <v>7.6863425925925932E-2</v>
      </c>
      <c r="F2129" s="6">
        <f>21632/(60*60*24)</f>
        <v>0.25037037037037035</v>
      </c>
      <c r="G2129" s="7" t="s">
        <v>9</v>
      </c>
    </row>
    <row r="2130" spans="1:7" x14ac:dyDescent="0.45">
      <c r="A2130" t="s">
        <v>2225</v>
      </c>
      <c r="B2130" s="2" t="s">
        <v>44</v>
      </c>
      <c r="C2130" s="3">
        <f>4333/(60*60*24)</f>
        <v>5.0150462962962966E-2</v>
      </c>
      <c r="D2130" s="4">
        <f>1998/(60*60*24)</f>
        <v>2.3125E-2</v>
      </c>
      <c r="E2130" s="5">
        <f>6449/(60*60*24)</f>
        <v>7.464120370370371E-2</v>
      </c>
      <c r="F2130" s="6">
        <f>20815/(60*60*24)</f>
        <v>0.24091435185185187</v>
      </c>
      <c r="G2130" s="7" t="s">
        <v>9</v>
      </c>
    </row>
    <row r="2131" spans="1:7" x14ac:dyDescent="0.45">
      <c r="A2131" t="s">
        <v>2226</v>
      </c>
      <c r="B2131" s="2" t="s">
        <v>42</v>
      </c>
      <c r="C2131" s="3">
        <f>4641/(60*60*24)</f>
        <v>5.3715277777777778E-2</v>
      </c>
      <c r="D2131" s="4">
        <f>2021/(60*60*24)</f>
        <v>2.3391203703703702E-2</v>
      </c>
      <c r="E2131" s="5">
        <f>6223/(60*60*24)</f>
        <v>7.2025462962962958E-2</v>
      </c>
      <c r="F2131" s="6">
        <f>20168/(60*60*24)</f>
        <v>0.23342592592592593</v>
      </c>
      <c r="G2131" s="7" t="s">
        <v>9</v>
      </c>
    </row>
    <row r="2132" spans="1:7" x14ac:dyDescent="0.45">
      <c r="A2132" t="s">
        <v>2227</v>
      </c>
      <c r="B2132" s="2" t="s">
        <v>46</v>
      </c>
      <c r="C2132" s="3">
        <f>4958/(60*60*24)</f>
        <v>5.738425925925926E-2</v>
      </c>
      <c r="D2132" s="4">
        <f>2118/(60*60*24)</f>
        <v>2.4513888888888891E-2</v>
      </c>
      <c r="E2132" s="5">
        <f>5998/(60*60*24)</f>
        <v>6.94212962962963E-2</v>
      </c>
      <c r="F2132" s="6">
        <f>19500/(60*60*24)</f>
        <v>0.22569444444444445</v>
      </c>
      <c r="G2132" s="7" t="s">
        <v>9</v>
      </c>
    </row>
    <row r="2133" spans="1:7" x14ac:dyDescent="0.45">
      <c r="A2133" t="s">
        <v>2228</v>
      </c>
      <c r="B2133" s="2" t="s">
        <v>48</v>
      </c>
      <c r="C2133" s="3">
        <f>5171/(60*60*24)</f>
        <v>5.9849537037037034E-2</v>
      </c>
      <c r="D2133" s="4">
        <f>2166/(60*60*24)</f>
        <v>2.5069444444444443E-2</v>
      </c>
      <c r="E2133" s="5">
        <f>5949/(60*60*24)</f>
        <v>6.8854166666666661E-2</v>
      </c>
      <c r="F2133" s="6">
        <f>18881/(60*60*24)</f>
        <v>0.2185300925925926</v>
      </c>
      <c r="G2133" s="7" t="s">
        <v>9</v>
      </c>
    </row>
    <row r="2134" spans="1:7" x14ac:dyDescent="0.45">
      <c r="A2134" t="s">
        <v>2229</v>
      </c>
      <c r="B2134" s="2" t="s">
        <v>50</v>
      </c>
      <c r="C2134" s="3">
        <f>4951/(60*60*24)</f>
        <v>5.7303240740740738E-2</v>
      </c>
      <c r="D2134" s="4">
        <f>2109/(60*60*24)</f>
        <v>2.4409722222222222E-2</v>
      </c>
      <c r="E2134" s="5">
        <f>5670/(60*60*24)</f>
        <v>6.5625000000000003E-2</v>
      </c>
      <c r="F2134" s="6">
        <f>18234/(60*60*24)</f>
        <v>0.21104166666666666</v>
      </c>
      <c r="G2134" s="7" t="s">
        <v>9</v>
      </c>
    </row>
    <row r="2135" spans="1:7" x14ac:dyDescent="0.45">
      <c r="A2135" t="s">
        <v>2230</v>
      </c>
      <c r="B2135" s="2" t="s">
        <v>52</v>
      </c>
      <c r="C2135" s="3">
        <f>4806/(60*60*24)</f>
        <v>5.5625000000000001E-2</v>
      </c>
      <c r="D2135" s="4">
        <f>2118/(60*60*24)</f>
        <v>2.4513888888888891E-2</v>
      </c>
      <c r="E2135" s="5">
        <f>5522/(60*60*24)</f>
        <v>6.3912037037037031E-2</v>
      </c>
      <c r="F2135" s="6">
        <f>17774/(60*60*24)</f>
        <v>0.20571759259259259</v>
      </c>
      <c r="G2135" s="7" t="s">
        <v>9</v>
      </c>
    </row>
    <row r="2136" spans="1:7" x14ac:dyDescent="0.45">
      <c r="A2136" t="s">
        <v>2231</v>
      </c>
      <c r="B2136" s="2" t="s">
        <v>54</v>
      </c>
      <c r="C2136" s="3">
        <f>4636/(60*60*24)</f>
        <v>5.3657407407407411E-2</v>
      </c>
      <c r="D2136" s="4">
        <f>2209/(60*60*24)</f>
        <v>2.5567129629629631E-2</v>
      </c>
      <c r="E2136" s="5">
        <f>5345/(60*60*24)</f>
        <v>6.1863425925925926E-2</v>
      </c>
      <c r="F2136" s="6">
        <f>17038/(60*60*24)</f>
        <v>0.19719907407407408</v>
      </c>
      <c r="G2136" s="7" t="s">
        <v>9</v>
      </c>
    </row>
    <row r="2137" spans="1:7" x14ac:dyDescent="0.45">
      <c r="A2137" t="s">
        <v>2232</v>
      </c>
      <c r="B2137" s="2" t="s">
        <v>56</v>
      </c>
      <c r="C2137" s="3">
        <f>4288/(60*60*24)</f>
        <v>4.9629629629629628E-2</v>
      </c>
      <c r="D2137" s="4">
        <f>2150/(60*60*24)</f>
        <v>2.4884259259259259E-2</v>
      </c>
      <c r="E2137" s="5">
        <f>5167/(60*60*24)</f>
        <v>5.980324074074074E-2</v>
      </c>
      <c r="F2137" s="6">
        <f>16543/(60*60*24)</f>
        <v>0.19146990740740741</v>
      </c>
      <c r="G2137" s="7" t="s">
        <v>9</v>
      </c>
    </row>
    <row r="2138" spans="1:7" x14ac:dyDescent="0.45">
      <c r="A2138" t="s">
        <v>2233</v>
      </c>
      <c r="B2138" s="2" t="s">
        <v>58</v>
      </c>
      <c r="C2138" s="3">
        <f>4347/(60*60*24)</f>
        <v>5.0312500000000003E-2</v>
      </c>
      <c r="D2138" s="4">
        <f>2116/(60*60*24)</f>
        <v>2.449074074074074E-2</v>
      </c>
      <c r="E2138" s="5">
        <f>4847/(60*60*24)</f>
        <v>5.6099537037037038E-2</v>
      </c>
      <c r="F2138" s="6">
        <f>15617/(60*60*24)</f>
        <v>0.18075231481481482</v>
      </c>
      <c r="G2138" s="7" t="s">
        <v>9</v>
      </c>
    </row>
    <row r="2139" spans="1:7" x14ac:dyDescent="0.45">
      <c r="A2139" t="s">
        <v>2234</v>
      </c>
      <c r="B2139" s="2" t="s">
        <v>60</v>
      </c>
      <c r="C2139" s="3">
        <f>3900/(60*60*24)</f>
        <v>4.5138888888888888E-2</v>
      </c>
      <c r="D2139" s="4">
        <f>2081/(60*60*24)</f>
        <v>2.4085648148148148E-2</v>
      </c>
      <c r="E2139" s="5">
        <f>4778/(60*60*24)</f>
        <v>5.5300925925925927E-2</v>
      </c>
      <c r="F2139" s="6">
        <f>15178/(60*60*24)</f>
        <v>0.1756712962962963</v>
      </c>
      <c r="G2139" s="7" t="s">
        <v>9</v>
      </c>
    </row>
    <row r="2140" spans="1:7" x14ac:dyDescent="0.45">
      <c r="A2140" t="s">
        <v>2235</v>
      </c>
      <c r="B2140" s="2" t="s">
        <v>62</v>
      </c>
      <c r="C2140" s="3">
        <f>3890/(60*60*24)</f>
        <v>4.5023148148148145E-2</v>
      </c>
      <c r="D2140" s="4">
        <f>2101/(60*60*24)</f>
        <v>2.431712962962963E-2</v>
      </c>
      <c r="E2140" s="5">
        <f>4677/(60*60*24)</f>
        <v>5.4131944444444448E-2</v>
      </c>
      <c r="F2140" s="6">
        <f>14692/(60*60*24)</f>
        <v>0.17004629629629631</v>
      </c>
      <c r="G2140" s="7" t="s">
        <v>9</v>
      </c>
    </row>
    <row r="2141" spans="1:7" x14ac:dyDescent="0.45">
      <c r="A2141" t="s">
        <v>2236</v>
      </c>
      <c r="B2141" s="2" t="s">
        <v>64</v>
      </c>
      <c r="C2141" s="3">
        <f>3515/(60*60*24)</f>
        <v>4.0682870370370369E-2</v>
      </c>
      <c r="D2141" s="4">
        <f>1860/(60*60*24)</f>
        <v>2.1527777777777778E-2</v>
      </c>
      <c r="E2141" s="5">
        <f>4454/(60*60*24)</f>
        <v>5.1550925925925924E-2</v>
      </c>
      <c r="F2141" s="6">
        <f>13971/(60*60*24)</f>
        <v>0.16170138888888888</v>
      </c>
      <c r="G2141" s="7" t="s">
        <v>9</v>
      </c>
    </row>
    <row r="2142" spans="1:7" x14ac:dyDescent="0.45">
      <c r="A2142" t="s">
        <v>2237</v>
      </c>
      <c r="B2142" s="2" t="s">
        <v>66</v>
      </c>
      <c r="C2142" s="3">
        <f>3468/(60*60*24)</f>
        <v>4.0138888888888891E-2</v>
      </c>
      <c r="D2142" s="4">
        <f>1828/(60*60*24)</f>
        <v>2.1157407407407406E-2</v>
      </c>
      <c r="E2142" s="5">
        <f>4351/(60*60*24)</f>
        <v>5.0358796296296297E-2</v>
      </c>
      <c r="F2142" s="6">
        <f>13467/(60*60*24)</f>
        <v>0.15586805555555555</v>
      </c>
      <c r="G2142" s="7" t="s">
        <v>9</v>
      </c>
    </row>
    <row r="2143" spans="1:7" x14ac:dyDescent="0.45">
      <c r="A2143" t="s">
        <v>2238</v>
      </c>
      <c r="B2143" s="2" t="s">
        <v>68</v>
      </c>
      <c r="C2143" s="3">
        <f>3430/(60*60*24)</f>
        <v>3.9699074074074074E-2</v>
      </c>
      <c r="D2143" s="4">
        <f>1726/(60*60*24)</f>
        <v>1.9976851851851853E-2</v>
      </c>
      <c r="E2143" s="5">
        <f>3957/(60*60*24)</f>
        <v>4.5798611111111109E-2</v>
      </c>
      <c r="F2143" s="6">
        <f>12978/(60*60*24)</f>
        <v>0.15020833333333333</v>
      </c>
      <c r="G2143" s="7" t="s">
        <v>9</v>
      </c>
    </row>
    <row r="2144" spans="1:7" x14ac:dyDescent="0.45">
      <c r="A2144" t="s">
        <v>2239</v>
      </c>
      <c r="B2144" s="2" t="s">
        <v>70</v>
      </c>
      <c r="C2144" s="3">
        <f>2962/(60*60*24)</f>
        <v>3.4282407407407407E-2</v>
      </c>
      <c r="D2144" s="4">
        <f>1493/(60*60*24)</f>
        <v>1.7280092592592593E-2</v>
      </c>
      <c r="E2144" s="5">
        <f>3758/(60*60*24)</f>
        <v>4.3495370370370372E-2</v>
      </c>
      <c r="F2144" s="6">
        <f>12448/(60*60*24)</f>
        <v>0.14407407407407408</v>
      </c>
      <c r="G2144" s="7" t="s">
        <v>9</v>
      </c>
    </row>
    <row r="2145" spans="1:7" x14ac:dyDescent="0.45">
      <c r="A2145" t="s">
        <v>2240</v>
      </c>
      <c r="B2145" s="2" t="s">
        <v>72</v>
      </c>
      <c r="C2145" s="3">
        <f>2924/(60*60*24)</f>
        <v>3.3842592592592591E-2</v>
      </c>
      <c r="D2145" s="4">
        <f>1493/(60*60*24)</f>
        <v>1.7280092592592593E-2</v>
      </c>
      <c r="E2145" s="5">
        <f>3624/(60*60*24)</f>
        <v>4.1944444444444444E-2</v>
      </c>
      <c r="F2145" s="6">
        <f>11924/(60*60*24)</f>
        <v>0.13800925925925925</v>
      </c>
      <c r="G2145" s="7" t="s">
        <v>9</v>
      </c>
    </row>
    <row r="2146" spans="1:7" x14ac:dyDescent="0.45">
      <c r="A2146" t="s">
        <v>2241</v>
      </c>
      <c r="B2146" s="2" t="s">
        <v>74</v>
      </c>
      <c r="C2146" s="3">
        <f>3037/(60*60*24)</f>
        <v>3.515046296296296E-2</v>
      </c>
      <c r="D2146" s="4">
        <f>1488/(60*60*24)</f>
        <v>1.7222222222222222E-2</v>
      </c>
      <c r="E2146" s="5">
        <f>3492/(60*60*24)</f>
        <v>4.0416666666666663E-2</v>
      </c>
      <c r="F2146" s="6">
        <f>11485/(60*60*24)</f>
        <v>0.13292824074074075</v>
      </c>
      <c r="G2146" s="7" t="s">
        <v>9</v>
      </c>
    </row>
    <row r="2147" spans="1:7" x14ac:dyDescent="0.45">
      <c r="A2147" t="s">
        <v>2242</v>
      </c>
      <c r="B2147" s="2" t="s">
        <v>76</v>
      </c>
      <c r="C2147" s="3">
        <f>3156/(60*60*24)</f>
        <v>3.6527777777777777E-2</v>
      </c>
      <c r="D2147" s="4">
        <f>1538/(60*60*24)</f>
        <v>1.7800925925925925E-2</v>
      </c>
      <c r="E2147" s="5">
        <f>3174/(60*60*24)</f>
        <v>3.6736111111111108E-2</v>
      </c>
      <c r="F2147" s="6">
        <f>11040/(60*60*24)</f>
        <v>0.12777777777777777</v>
      </c>
      <c r="G2147" s="7" t="s">
        <v>9</v>
      </c>
    </row>
    <row r="2148" spans="1:7" x14ac:dyDescent="0.45">
      <c r="A2148" t="s">
        <v>2243</v>
      </c>
      <c r="B2148" s="2" t="s">
        <v>78</v>
      </c>
      <c r="C2148" s="3">
        <f>2937/(60*60*24)</f>
        <v>3.3993055555555554E-2</v>
      </c>
      <c r="D2148" s="4">
        <f>1460/(60*60*24)</f>
        <v>1.6898148148148148E-2</v>
      </c>
      <c r="E2148" s="5">
        <f>3064/(60*60*24)</f>
        <v>3.546296296296296E-2</v>
      </c>
      <c r="F2148" s="6">
        <f>10469/(60*60*24)</f>
        <v>0.12116898148148147</v>
      </c>
      <c r="G2148" s="7" t="s">
        <v>9</v>
      </c>
    </row>
    <row r="2149" spans="1:7" x14ac:dyDescent="0.45">
      <c r="A2149" t="s">
        <v>2244</v>
      </c>
      <c r="B2149" s="2" t="s">
        <v>80</v>
      </c>
      <c r="C2149" s="5">
        <f>3139/(60*60*24)</f>
        <v>3.6331018518518519E-2</v>
      </c>
      <c r="D2149" s="4">
        <f>1580/(60*60*24)</f>
        <v>1.8287037037037036E-2</v>
      </c>
      <c r="E2149" s="3">
        <f>2852/(60*60*24)</f>
        <v>3.3009259259259259E-2</v>
      </c>
      <c r="F2149" s="6">
        <f>9956/(60*60*24)</f>
        <v>0.11523148148148148</v>
      </c>
      <c r="G2149" s="7" t="s">
        <v>9</v>
      </c>
    </row>
    <row r="2150" spans="1:7" x14ac:dyDescent="0.45">
      <c r="A2150" t="s">
        <v>2245</v>
      </c>
      <c r="B2150" s="2" t="s">
        <v>84</v>
      </c>
      <c r="C2150" s="5">
        <f>2965/(60*60*24)</f>
        <v>3.4317129629629628E-2</v>
      </c>
      <c r="D2150" s="4">
        <f>1459/(60*60*24)</f>
        <v>1.6886574074074075E-2</v>
      </c>
      <c r="E2150" s="3">
        <f>2952/(60*60*24)</f>
        <v>3.4166666666666665E-2</v>
      </c>
      <c r="F2150" s="6">
        <f>9514/(60*60*24)</f>
        <v>0.11011574074074074</v>
      </c>
      <c r="G2150" s="7" t="s">
        <v>9</v>
      </c>
    </row>
    <row r="2151" spans="1:7" x14ac:dyDescent="0.45">
      <c r="A2151" t="s">
        <v>2246</v>
      </c>
      <c r="B2151" s="2" t="s">
        <v>82</v>
      </c>
      <c r="C2151" s="5">
        <f>3481/(60*60*24)</f>
        <v>4.0289351851851854E-2</v>
      </c>
      <c r="D2151" s="4">
        <f>1464/(60*60*24)</f>
        <v>1.6944444444444446E-2</v>
      </c>
      <c r="E2151" s="3">
        <f>2442/(60*60*24)</f>
        <v>2.826388888888889E-2</v>
      </c>
      <c r="F2151" s="6">
        <f>8528/(60*60*24)</f>
        <v>9.870370370370371E-2</v>
      </c>
      <c r="G2151" s="7" t="s">
        <v>9</v>
      </c>
    </row>
    <row r="2152" spans="1:7" x14ac:dyDescent="0.45">
      <c r="A2152" t="s">
        <v>2247</v>
      </c>
      <c r="B2152" s="2" t="s">
        <v>88</v>
      </c>
      <c r="C2152" s="5">
        <f>3586/(60*60*24)</f>
        <v>4.1504629629629627E-2</v>
      </c>
      <c r="D2152" s="4">
        <f>1520/(60*60*24)</f>
        <v>1.7592592592592594E-2</v>
      </c>
      <c r="E2152" s="3">
        <f>2426/(60*60*24)</f>
        <v>2.8078703703703703E-2</v>
      </c>
      <c r="F2152" s="6">
        <f>8265/(60*60*24)</f>
        <v>9.5659722222222215E-2</v>
      </c>
      <c r="G2152" s="7" t="s">
        <v>9</v>
      </c>
    </row>
    <row r="2153" spans="1:7" x14ac:dyDescent="0.45">
      <c r="A2153" t="s">
        <v>2248</v>
      </c>
      <c r="B2153" s="2" t="s">
        <v>86</v>
      </c>
      <c r="C2153" s="5">
        <f>3830/(60*60*24)</f>
        <v>4.4328703703703703E-2</v>
      </c>
      <c r="D2153" s="4">
        <f>1407/(60*60*24)</f>
        <v>1.6284722222222221E-2</v>
      </c>
      <c r="E2153" s="3">
        <f>2223/(60*60*24)</f>
        <v>2.5729166666666668E-2</v>
      </c>
      <c r="F2153" s="6">
        <f>7918/(60*60*24)</f>
        <v>9.1643518518518513E-2</v>
      </c>
      <c r="G2153" s="7" t="s">
        <v>9</v>
      </c>
    </row>
    <row r="2154" spans="1:7" x14ac:dyDescent="0.45">
      <c r="A2154" t="s">
        <v>2249</v>
      </c>
      <c r="B2154" s="2" t="s">
        <v>90</v>
      </c>
      <c r="C2154" s="5">
        <f>3601/(60*60*24)</f>
        <v>4.1678240740740738E-2</v>
      </c>
      <c r="D2154" s="4">
        <f>1261/(60*60*24)</f>
        <v>1.4594907407407407E-2</v>
      </c>
      <c r="E2154" s="3">
        <f>2297/(60*60*24)</f>
        <v>2.6585648148148146E-2</v>
      </c>
      <c r="F2154" s="6">
        <f>8032/(60*60*24)</f>
        <v>9.2962962962962969E-2</v>
      </c>
      <c r="G2154" s="7" t="s">
        <v>9</v>
      </c>
    </row>
    <row r="2155" spans="1:7" x14ac:dyDescent="0.45">
      <c r="A2155" t="s">
        <v>2250</v>
      </c>
      <c r="B2155" s="2" t="s">
        <v>92</v>
      </c>
      <c r="C2155" s="5">
        <f>3589/(60*60*24)</f>
        <v>4.1539351851851855E-2</v>
      </c>
      <c r="D2155" s="4">
        <f>1312/(60*60*24)</f>
        <v>1.5185185185185185E-2</v>
      </c>
      <c r="E2155" s="3">
        <f>2211/(60*60*24)</f>
        <v>2.5590277777777778E-2</v>
      </c>
      <c r="F2155" s="6">
        <f>7802/(60*60*24)</f>
        <v>9.0300925925925923E-2</v>
      </c>
      <c r="G2155" s="7" t="s">
        <v>9</v>
      </c>
    </row>
    <row r="2156" spans="1:7" x14ac:dyDescent="0.45">
      <c r="A2156" t="s">
        <v>2251</v>
      </c>
      <c r="B2156" s="2" t="s">
        <v>94</v>
      </c>
      <c r="C2156" s="5">
        <f>3285/(60*60*24)</f>
        <v>3.802083333333333E-2</v>
      </c>
      <c r="D2156" s="4">
        <f>1129/(60*60*24)</f>
        <v>1.306712962962963E-2</v>
      </c>
      <c r="E2156" s="3">
        <f>2171/(60*60*24)</f>
        <v>2.5127314814814814E-2</v>
      </c>
      <c r="F2156" s="6">
        <f>7300/(60*60*24)</f>
        <v>8.4490740740740741E-2</v>
      </c>
      <c r="G2156" s="7" t="s">
        <v>9</v>
      </c>
    </row>
    <row r="2157" spans="1:7" x14ac:dyDescent="0.45">
      <c r="A2157" t="s">
        <v>2252</v>
      </c>
      <c r="B2157" s="2" t="s">
        <v>96</v>
      </c>
      <c r="C2157" s="5">
        <f>3098/(60*60*24)</f>
        <v>3.5856481481481482E-2</v>
      </c>
      <c r="D2157" s="4">
        <f>848/(60*60*24)</f>
        <v>9.8148148148148144E-3</v>
      </c>
      <c r="E2157" s="3">
        <f>1984/(60*60*24)</f>
        <v>2.2962962962962963E-2</v>
      </c>
      <c r="F2157" s="6">
        <f>6831/(60*60*24)</f>
        <v>7.9062499999999994E-2</v>
      </c>
      <c r="G2157" s="7" t="s">
        <v>9</v>
      </c>
    </row>
    <row r="2158" spans="1:7" x14ac:dyDescent="0.45">
      <c r="A2158" t="s">
        <v>2253</v>
      </c>
      <c r="B2158" s="2" t="s">
        <v>98</v>
      </c>
      <c r="C2158" s="5">
        <f>3503/(60*60*24)</f>
        <v>4.0543981481481479E-2</v>
      </c>
      <c r="D2158" s="4">
        <f>790/(60*60*24)</f>
        <v>9.1435185185185178E-3</v>
      </c>
      <c r="E2158" s="3">
        <f>2109/(60*60*24)</f>
        <v>2.4409722222222222E-2</v>
      </c>
      <c r="F2158" s="6">
        <f>7077/(60*60*24)</f>
        <v>8.1909722222222217E-2</v>
      </c>
      <c r="G2158" s="7" t="s">
        <v>9</v>
      </c>
    </row>
    <row r="2159" spans="1:7" x14ac:dyDescent="0.45">
      <c r="A2159" t="s">
        <v>2254</v>
      </c>
      <c r="B2159" s="2" t="s">
        <v>100</v>
      </c>
      <c r="C2159" s="5">
        <f>3729/(60*60*24)</f>
        <v>4.3159722222222224E-2</v>
      </c>
      <c r="D2159" s="4">
        <f>707/(60*60*24)</f>
        <v>8.1828703703703699E-3</v>
      </c>
      <c r="E2159" s="3">
        <f>1914/(60*60*24)</f>
        <v>2.2152777777777778E-2</v>
      </c>
      <c r="F2159" s="6">
        <f>7212/(60*60*24)</f>
        <v>8.3472222222222225E-2</v>
      </c>
      <c r="G2159" s="7" t="s">
        <v>9</v>
      </c>
    </row>
    <row r="2160" spans="1:7" x14ac:dyDescent="0.45">
      <c r="A2160" t="s">
        <v>2255</v>
      </c>
      <c r="B2160" s="2" t="s">
        <v>104</v>
      </c>
      <c r="C2160" s="5">
        <f>3135/(60*60*24)</f>
        <v>3.6284722222222225E-2</v>
      </c>
      <c r="D2160" s="4">
        <f>950/(60*60*24)</f>
        <v>1.0995370370370371E-2</v>
      </c>
      <c r="E2160" s="3">
        <f>1806/(60*60*24)</f>
        <v>2.0902777777777777E-2</v>
      </c>
      <c r="F2160" s="6">
        <f>6458/(60*60*24)</f>
        <v>7.4745370370370365E-2</v>
      </c>
      <c r="G2160" s="7" t="s">
        <v>9</v>
      </c>
    </row>
    <row r="2161" spans="1:7" x14ac:dyDescent="0.45">
      <c r="A2161" t="s">
        <v>2256</v>
      </c>
      <c r="B2161" s="2" t="s">
        <v>102</v>
      </c>
      <c r="C2161" s="5">
        <f>3474/(60*60*24)</f>
        <v>4.0208333333333332E-2</v>
      </c>
      <c r="D2161" s="4">
        <f>1057/(60*60*24)</f>
        <v>1.2233796296296296E-2</v>
      </c>
      <c r="E2161" s="3">
        <f>1784/(60*60*24)</f>
        <v>2.0648148148148148E-2</v>
      </c>
      <c r="F2161" s="6">
        <f>6533/(60*60*24)</f>
        <v>7.5613425925925931E-2</v>
      </c>
      <c r="G2161" s="7" t="s">
        <v>9</v>
      </c>
    </row>
    <row r="2162" spans="1:7" x14ac:dyDescent="0.45">
      <c r="A2162" t="s">
        <v>2257</v>
      </c>
      <c r="B2162" s="2" t="s">
        <v>106</v>
      </c>
      <c r="C2162" s="5">
        <f>3210/(60*60*24)</f>
        <v>3.7152777777777778E-2</v>
      </c>
      <c r="D2162" s="4">
        <f>1023/(60*60*24)</f>
        <v>1.1840277777777778E-2</v>
      </c>
      <c r="E2162" s="3">
        <f>1887/(60*60*24)</f>
        <v>2.1840277777777778E-2</v>
      </c>
      <c r="F2162" s="6">
        <f>6724/(60*60*24)</f>
        <v>7.7824074074074073E-2</v>
      </c>
      <c r="G2162" s="7" t="s">
        <v>9</v>
      </c>
    </row>
    <row r="2163" spans="1:7" x14ac:dyDescent="0.45">
      <c r="A2163" t="s">
        <v>2258</v>
      </c>
      <c r="B2163" s="2" t="s">
        <v>108</v>
      </c>
      <c r="C2163" s="5">
        <f>4662/(60*60*24)</f>
        <v>5.395833333333333E-2</v>
      </c>
      <c r="D2163" s="4">
        <f>1302/(60*60*24)</f>
        <v>1.5069444444444444E-2</v>
      </c>
      <c r="E2163" s="3">
        <f>2119/(60*60*24)</f>
        <v>2.4525462962962964E-2</v>
      </c>
      <c r="F2163" s="6">
        <f>7045/(60*60*24)</f>
        <v>8.1539351851851849E-2</v>
      </c>
      <c r="G2163" s="7" t="s">
        <v>9</v>
      </c>
    </row>
    <row r="2164" spans="1:7" x14ac:dyDescent="0.45">
      <c r="A2164" t="s">
        <v>2259</v>
      </c>
      <c r="B2164" s="2" t="s">
        <v>112</v>
      </c>
      <c r="C2164" s="5">
        <f>4286/(60*60*24)</f>
        <v>4.9606481481481481E-2</v>
      </c>
      <c r="D2164" s="4">
        <f>1068/(60*60*24)</f>
        <v>1.2361111111111111E-2</v>
      </c>
      <c r="E2164" s="3">
        <f>2459/(60*60*24)</f>
        <v>2.8460648148148148E-2</v>
      </c>
      <c r="F2164" s="6">
        <f>7848/(60*60*24)</f>
        <v>9.0833333333333335E-2</v>
      </c>
      <c r="G2164" s="7" t="s">
        <v>9</v>
      </c>
    </row>
    <row r="2165" spans="1:7" x14ac:dyDescent="0.45">
      <c r="A2165" t="s">
        <v>2260</v>
      </c>
      <c r="B2165" s="2" t="s">
        <v>110</v>
      </c>
      <c r="C2165" s="8" t="s">
        <v>12</v>
      </c>
      <c r="D2165" s="4">
        <f>1118/(60*60*24)</f>
        <v>1.2939814814814815E-2</v>
      </c>
      <c r="E2165" s="3">
        <f>2274/(60*60*24)</f>
        <v>2.6319444444444444E-2</v>
      </c>
      <c r="F2165" s="5">
        <f>7270/(60*60*24)</f>
        <v>8.414351851851852E-2</v>
      </c>
      <c r="G2165" s="7" t="s">
        <v>9</v>
      </c>
    </row>
    <row r="2166" spans="1:7" x14ac:dyDescent="0.45">
      <c r="A2166" t="s">
        <v>2261</v>
      </c>
      <c r="B2166" s="2" t="s">
        <v>114</v>
      </c>
      <c r="C2166" s="5">
        <f>4221/(60*60*24)</f>
        <v>4.8854166666666664E-2</v>
      </c>
      <c r="D2166" s="4">
        <f>1065/(60*60*24)</f>
        <v>1.2326388888888888E-2</v>
      </c>
      <c r="E2166" s="3">
        <f>2375/(60*60*24)</f>
        <v>2.7488425925925927E-2</v>
      </c>
      <c r="F2166" s="6">
        <f>8318/(60*60*24)</f>
        <v>9.6273148148148149E-2</v>
      </c>
      <c r="G2166" s="7" t="s">
        <v>9</v>
      </c>
    </row>
    <row r="2167" spans="1:7" x14ac:dyDescent="0.45">
      <c r="A2167" t="s">
        <v>2262</v>
      </c>
      <c r="B2167" s="2" t="s">
        <v>116</v>
      </c>
      <c r="C2167" s="8" t="s">
        <v>12</v>
      </c>
      <c r="D2167" s="4">
        <f>1103/(60*60*24)</f>
        <v>1.2766203703703703E-2</v>
      </c>
      <c r="E2167" s="3">
        <f>2626/(60*60*24)</f>
        <v>3.0393518518518518E-2</v>
      </c>
      <c r="F2167" s="5">
        <f>8808/(60*60*24)</f>
        <v>0.10194444444444445</v>
      </c>
      <c r="G2167" s="7" t="s">
        <v>9</v>
      </c>
    </row>
    <row r="2168" spans="1:7" x14ac:dyDescent="0.45">
      <c r="A2168" t="s">
        <v>2263</v>
      </c>
      <c r="B2168" s="2" t="s">
        <v>118</v>
      </c>
      <c r="C2168" s="8" t="s">
        <v>12</v>
      </c>
      <c r="D2168" s="4">
        <f>1222/(60*60*24)</f>
        <v>1.4143518518518519E-2</v>
      </c>
      <c r="E2168" s="3">
        <f>2925/(60*60*24)</f>
        <v>3.3854166666666664E-2</v>
      </c>
      <c r="F2168" s="5">
        <f>9356/(60*60*24)</f>
        <v>0.10828703703703704</v>
      </c>
      <c r="G2168" s="7" t="s">
        <v>9</v>
      </c>
    </row>
    <row r="2169" spans="1:7" x14ac:dyDescent="0.45">
      <c r="A2169" t="s">
        <v>2264</v>
      </c>
      <c r="B2169" s="2" t="s">
        <v>120</v>
      </c>
      <c r="C2169" s="8" t="s">
        <v>12</v>
      </c>
      <c r="D2169" s="4">
        <f>1505/(60*60*24)</f>
        <v>1.7418981481481483E-2</v>
      </c>
      <c r="E2169" s="3">
        <f>3196/(60*60*24)</f>
        <v>3.6990740740740741E-2</v>
      </c>
      <c r="F2169" s="5">
        <f>9801/(60*60*24)</f>
        <v>0.1134375</v>
      </c>
      <c r="G2169" s="7" t="s">
        <v>9</v>
      </c>
    </row>
    <row r="2170" spans="1:7" x14ac:dyDescent="0.45">
      <c r="A2170" t="s">
        <v>2265</v>
      </c>
      <c r="B2170" s="2" t="s">
        <v>124</v>
      </c>
      <c r="C2170" s="8" t="s">
        <v>12</v>
      </c>
      <c r="D2170" s="4">
        <f>3290/(60*60*24)</f>
        <v>3.8078703703703705E-2</v>
      </c>
      <c r="E2170" s="3">
        <f>3411/(60*60*24)</f>
        <v>3.9479166666666669E-2</v>
      </c>
      <c r="F2170" s="5">
        <f>10403/(60*60*24)</f>
        <v>0.12040509259259259</v>
      </c>
      <c r="G2170" s="7" t="s">
        <v>9</v>
      </c>
    </row>
    <row r="2171" spans="1:7" x14ac:dyDescent="0.45">
      <c r="A2171" t="s">
        <v>2266</v>
      </c>
      <c r="B2171" s="2" t="s">
        <v>122</v>
      </c>
      <c r="C2171" s="8" t="s">
        <v>12</v>
      </c>
      <c r="D2171" s="4">
        <f>3290/(60*60*24)</f>
        <v>3.8078703703703705E-2</v>
      </c>
      <c r="E2171" s="3">
        <f>3566/(60*60*24)</f>
        <v>4.1273148148148149E-2</v>
      </c>
      <c r="F2171" s="5">
        <f>10900/(60*60*24)</f>
        <v>0.12615740740740741</v>
      </c>
      <c r="G2171" s="7" t="s">
        <v>9</v>
      </c>
    </row>
    <row r="2172" spans="1:7" x14ac:dyDescent="0.45">
      <c r="A2172" t="s">
        <v>2267</v>
      </c>
      <c r="B2172" s="2" t="s">
        <v>126</v>
      </c>
      <c r="C2172" s="8" t="s">
        <v>12</v>
      </c>
      <c r="D2172" s="4">
        <f>3290/(60*60*24)</f>
        <v>3.8078703703703705E-2</v>
      </c>
      <c r="E2172" s="3">
        <f>3608/(60*60*24)</f>
        <v>4.175925925925926E-2</v>
      </c>
      <c r="F2172" s="5">
        <f>11364/(60*60*24)</f>
        <v>0.13152777777777777</v>
      </c>
      <c r="G2172" s="7" t="s">
        <v>9</v>
      </c>
    </row>
    <row r="2173" spans="1:7" x14ac:dyDescent="0.45">
      <c r="A2173" t="s">
        <v>2268</v>
      </c>
      <c r="B2173" s="2" t="s">
        <v>128</v>
      </c>
      <c r="C2173" s="8" t="s">
        <v>12</v>
      </c>
      <c r="D2173" s="4">
        <f>1773/(60*60*24)</f>
        <v>2.0520833333333332E-2</v>
      </c>
      <c r="E2173" s="3">
        <f>3674/(60*60*24)</f>
        <v>4.252314814814815E-2</v>
      </c>
      <c r="F2173" s="5">
        <f>12191/(60*60*24)</f>
        <v>0.14109953703703704</v>
      </c>
      <c r="G2173" s="7" t="s">
        <v>9</v>
      </c>
    </row>
    <row r="2174" spans="1:7" x14ac:dyDescent="0.45">
      <c r="A2174" t="s">
        <v>2269</v>
      </c>
      <c r="B2174" s="2" t="s">
        <v>130</v>
      </c>
      <c r="C2174" s="8" t="s">
        <v>12</v>
      </c>
      <c r="D2174" s="4">
        <f>1701/(60*60*24)</f>
        <v>1.96875E-2</v>
      </c>
      <c r="E2174" s="3">
        <f>3761/(60*60*24)</f>
        <v>4.3530092592592592E-2</v>
      </c>
      <c r="F2174" s="5">
        <f>12559/(60*60*24)</f>
        <v>0.14535879629629631</v>
      </c>
      <c r="G2174" s="7" t="s">
        <v>9</v>
      </c>
    </row>
    <row r="2175" spans="1:7" x14ac:dyDescent="0.45">
      <c r="A2175" t="s">
        <v>2270</v>
      </c>
      <c r="B2175" s="2" t="s">
        <v>132</v>
      </c>
      <c r="C2175" s="8" t="s">
        <v>12</v>
      </c>
      <c r="D2175" s="4">
        <f>1609/(60*60*24)</f>
        <v>1.8622685185185187E-2</v>
      </c>
      <c r="E2175" s="3">
        <f>3818/(60*60*24)</f>
        <v>4.4189814814814814E-2</v>
      </c>
      <c r="F2175" s="5">
        <f>13359/(60*60*24)</f>
        <v>0.15461805555555555</v>
      </c>
      <c r="G2175" s="7" t="s">
        <v>9</v>
      </c>
    </row>
    <row r="2176" spans="1:7" x14ac:dyDescent="0.45">
      <c r="A2176" t="s">
        <v>2271</v>
      </c>
      <c r="B2176" s="2" t="s">
        <v>136</v>
      </c>
      <c r="C2176" s="5">
        <f>4486/(60*60*24)</f>
        <v>5.1921296296296299E-2</v>
      </c>
      <c r="D2176" s="4">
        <f>1562/(60*60*24)</f>
        <v>1.8078703703703704E-2</v>
      </c>
      <c r="E2176" s="3">
        <f>4030/(60*60*24)</f>
        <v>4.6643518518518522E-2</v>
      </c>
      <c r="F2176" s="6">
        <f>13534/(60*60*24)</f>
        <v>0.15664351851851852</v>
      </c>
      <c r="G2176" s="7" t="s">
        <v>9</v>
      </c>
    </row>
    <row r="2177" spans="1:7" x14ac:dyDescent="0.45">
      <c r="A2177" t="s">
        <v>2272</v>
      </c>
      <c r="B2177" s="2" t="s">
        <v>134</v>
      </c>
      <c r="C2177" s="3">
        <f>4110/(60*60*24)</f>
        <v>4.7569444444444442E-2</v>
      </c>
      <c r="D2177" s="4">
        <f>1482/(60*60*24)</f>
        <v>1.7152777777777777E-2</v>
      </c>
      <c r="E2177" s="5">
        <f>4255/(60*60*24)</f>
        <v>4.9247685185185186E-2</v>
      </c>
      <c r="F2177" s="6">
        <f>14797/(60*60*24)</f>
        <v>0.17126157407407408</v>
      </c>
      <c r="G2177" s="7" t="s">
        <v>9</v>
      </c>
    </row>
    <row r="2178" spans="1:7" x14ac:dyDescent="0.45">
      <c r="A2178" t="s">
        <v>2273</v>
      </c>
      <c r="B2178" s="2" t="s">
        <v>138</v>
      </c>
      <c r="C2178" s="5">
        <f>7027/(60*60*24)</f>
        <v>8.1331018518518525E-2</v>
      </c>
      <c r="D2178" s="4">
        <f>1637/(60*60*24)</f>
        <v>1.894675925925926E-2</v>
      </c>
      <c r="E2178" s="3">
        <f>4490/(60*60*24)</f>
        <v>5.1967592592592593E-2</v>
      </c>
      <c r="F2178" s="6">
        <f>15540/(60*60*24)</f>
        <v>0.17986111111111111</v>
      </c>
      <c r="G2178" s="7" t="s">
        <v>9</v>
      </c>
    </row>
    <row r="2179" spans="1:7" x14ac:dyDescent="0.45">
      <c r="A2179" t="s">
        <v>2274</v>
      </c>
      <c r="B2179" s="2" t="s">
        <v>140</v>
      </c>
      <c r="C2179" s="8" t="s">
        <v>12</v>
      </c>
      <c r="D2179" s="4">
        <f>1836/(60*60*24)</f>
        <v>2.1250000000000002E-2</v>
      </c>
      <c r="E2179" s="3">
        <f>4866/(60*60*24)</f>
        <v>5.6319444444444443E-2</v>
      </c>
      <c r="F2179" s="5">
        <f>16319/(60*60*24)</f>
        <v>0.18887731481481482</v>
      </c>
      <c r="G2179" s="7" t="s">
        <v>9</v>
      </c>
    </row>
    <row r="2180" spans="1:7" x14ac:dyDescent="0.45">
      <c r="A2180" t="s">
        <v>2275</v>
      </c>
      <c r="B2180" s="2" t="s">
        <v>144</v>
      </c>
      <c r="C2180" s="5">
        <f>5475/(60*60*24)</f>
        <v>6.3368055555555552E-2</v>
      </c>
      <c r="D2180" s="4">
        <f>1904/(60*60*24)</f>
        <v>2.2037037037037036E-2</v>
      </c>
      <c r="E2180" s="3">
        <f>5455/(60*60*24)</f>
        <v>6.3136574074074067E-2</v>
      </c>
      <c r="F2180" s="6">
        <f>18280/(60*60*24)</f>
        <v>0.21157407407407408</v>
      </c>
      <c r="G2180" s="7" t="s">
        <v>9</v>
      </c>
    </row>
    <row r="2181" spans="1:7" x14ac:dyDescent="0.45">
      <c r="A2181" t="s">
        <v>2276</v>
      </c>
      <c r="B2181" s="2" t="s">
        <v>142</v>
      </c>
      <c r="C2181" s="8" t="s">
        <v>12</v>
      </c>
      <c r="D2181" s="4">
        <f>1992/(60*60*24)</f>
        <v>2.3055555555555555E-2</v>
      </c>
      <c r="E2181" s="3">
        <f>5234/(60*60*24)</f>
        <v>6.0578703703703704E-2</v>
      </c>
      <c r="F2181" s="5">
        <f>17565/(60*60*24)</f>
        <v>0.20329861111111111</v>
      </c>
      <c r="G2181" s="7" t="s">
        <v>9</v>
      </c>
    </row>
    <row r="2182" spans="1:7" x14ac:dyDescent="0.45">
      <c r="A2182" t="s">
        <v>2277</v>
      </c>
      <c r="B2182" s="2" t="s">
        <v>146</v>
      </c>
      <c r="C2182" s="5">
        <f>5491/(60*60*24)</f>
        <v>6.3553240740740743E-2</v>
      </c>
      <c r="D2182" s="4">
        <f>2004/(60*60*24)</f>
        <v>2.3194444444444445E-2</v>
      </c>
      <c r="E2182" s="3">
        <f>5481/(60*60*24)</f>
        <v>6.3437499999999994E-2</v>
      </c>
      <c r="F2182" s="6">
        <f>18421/(60*60*24)</f>
        <v>0.21320601851851853</v>
      </c>
      <c r="G2182" s="7" t="s">
        <v>9</v>
      </c>
    </row>
    <row r="2183" spans="1:7" x14ac:dyDescent="0.45">
      <c r="A2183" t="s">
        <v>2278</v>
      </c>
      <c r="B2183" s="2" t="s">
        <v>148</v>
      </c>
      <c r="C2183" s="5">
        <f>6116/(60*60*24)</f>
        <v>7.0787037037037037E-2</v>
      </c>
      <c r="D2183" s="4">
        <f>2145/(60*60*24)</f>
        <v>2.4826388888888887E-2</v>
      </c>
      <c r="E2183" s="3">
        <f>5920/(60*60*24)</f>
        <v>6.851851851851852E-2</v>
      </c>
      <c r="F2183" s="6">
        <f>19090/(60*60*24)</f>
        <v>0.22094907407407408</v>
      </c>
      <c r="G2183" s="7" t="s">
        <v>9</v>
      </c>
    </row>
    <row r="2184" spans="1:7" x14ac:dyDescent="0.45">
      <c r="A2184" t="s">
        <v>2279</v>
      </c>
      <c r="B2184" s="2" t="s">
        <v>150</v>
      </c>
      <c r="C2184" s="5">
        <f>6566/(60*60*24)</f>
        <v>7.5995370370370366E-2</v>
      </c>
      <c r="D2184" s="4">
        <f>2186/(60*60*24)</f>
        <v>2.5300925925925925E-2</v>
      </c>
      <c r="E2184" s="3">
        <f>6085/(60*60*24)</f>
        <v>7.0428240740740736E-2</v>
      </c>
      <c r="F2184" s="6">
        <f>19643/(60*60*24)</f>
        <v>0.22734953703703703</v>
      </c>
      <c r="G2184" s="7" t="s">
        <v>9</v>
      </c>
    </row>
    <row r="2185" spans="1:7" x14ac:dyDescent="0.45">
      <c r="A2185" t="s">
        <v>2280</v>
      </c>
      <c r="B2185" s="2" t="s">
        <v>152</v>
      </c>
      <c r="C2185" s="3">
        <f>5798/(60*60*24)</f>
        <v>6.7106481481481475E-2</v>
      </c>
      <c r="D2185" s="4">
        <f>2183/(60*60*24)</f>
        <v>2.5266203703703704E-2</v>
      </c>
      <c r="E2185" s="5">
        <f>6122/(60*60*24)</f>
        <v>7.0856481481481479E-2</v>
      </c>
      <c r="F2185" s="6">
        <f>20015/(60*60*24)</f>
        <v>0.23165509259259259</v>
      </c>
      <c r="G2185" s="7" t="s">
        <v>9</v>
      </c>
    </row>
    <row r="2186" spans="1:7" x14ac:dyDescent="0.45">
      <c r="A2186" t="s">
        <v>2281</v>
      </c>
      <c r="B2186" s="2" t="s">
        <v>154</v>
      </c>
      <c r="C2186" s="5">
        <f>6224/(60*60*24)</f>
        <v>7.2037037037037038E-2</v>
      </c>
      <c r="D2186" s="4">
        <f>2177/(60*60*24)</f>
        <v>2.5196759259259259E-2</v>
      </c>
      <c r="E2186" s="3">
        <f>6160/(60*60*24)</f>
        <v>7.1296296296296302E-2</v>
      </c>
      <c r="F2186" s="6">
        <f>20806/(60*60*24)</f>
        <v>0.24081018518518518</v>
      </c>
      <c r="G2186" s="7" t="s">
        <v>9</v>
      </c>
    </row>
    <row r="2187" spans="1:7" x14ac:dyDescent="0.45">
      <c r="A2187" t="s">
        <v>2282</v>
      </c>
      <c r="B2187" s="2" t="s">
        <v>156</v>
      </c>
      <c r="C2187" s="8" t="s">
        <v>12</v>
      </c>
      <c r="D2187" s="4">
        <f>2295/(60*60*24)</f>
        <v>2.6562499999999999E-2</v>
      </c>
      <c r="E2187" s="3">
        <f>6410/(60*60*24)</f>
        <v>7.418981481481482E-2</v>
      </c>
      <c r="F2187" s="5">
        <f>21496/(60*60*24)</f>
        <v>0.24879629629629629</v>
      </c>
      <c r="G2187" s="7" t="s">
        <v>9</v>
      </c>
    </row>
    <row r="2188" spans="1:7" x14ac:dyDescent="0.45">
      <c r="A2188" t="s">
        <v>2283</v>
      </c>
      <c r="B2188" s="2" t="s">
        <v>160</v>
      </c>
      <c r="C2188" s="3">
        <f>6097/(60*60*24)</f>
        <v>7.0567129629629632E-2</v>
      </c>
      <c r="D2188" s="4">
        <f>2352/(60*60*24)</f>
        <v>2.7222222222222221E-2</v>
      </c>
      <c r="E2188" s="5">
        <f>6764/(60*60*24)</f>
        <v>7.8287037037037044E-2</v>
      </c>
      <c r="F2188" s="6">
        <f>22661/(60*60*24)</f>
        <v>0.26228009259259261</v>
      </c>
      <c r="G2188" s="7" t="s">
        <v>9</v>
      </c>
    </row>
    <row r="2189" spans="1:7" x14ac:dyDescent="0.45">
      <c r="A2189" t="s">
        <v>2284</v>
      </c>
      <c r="B2189" s="2" t="s">
        <v>158</v>
      </c>
      <c r="C2189" s="3">
        <f>5952/(60*60*24)</f>
        <v>6.8888888888888888E-2</v>
      </c>
      <c r="D2189" s="4">
        <f>2290/(60*60*24)</f>
        <v>2.6504629629629628E-2</v>
      </c>
      <c r="E2189" s="5">
        <f>6610/(60*60*24)</f>
        <v>7.6504629629629631E-2</v>
      </c>
      <c r="F2189" s="6">
        <f>23010/(60*60*24)</f>
        <v>0.26631944444444444</v>
      </c>
      <c r="G2189" s="7" t="s">
        <v>9</v>
      </c>
    </row>
    <row r="2190" spans="1:7" x14ac:dyDescent="0.45">
      <c r="A2190" t="s">
        <v>2285</v>
      </c>
      <c r="B2190" s="2" t="s">
        <v>164</v>
      </c>
      <c r="C2190" s="5">
        <f>8949/(60*60*24)</f>
        <v>0.10357638888888888</v>
      </c>
      <c r="D2190" s="4">
        <f>2426/(60*60*24)</f>
        <v>2.8078703703703703E-2</v>
      </c>
      <c r="E2190" s="3">
        <f>6956/(60*60*24)</f>
        <v>8.0509259259259253E-2</v>
      </c>
      <c r="F2190" s="6">
        <f>26020/(60*60*24)</f>
        <v>0.30115740740740743</v>
      </c>
      <c r="G2190" s="7" t="s">
        <v>9</v>
      </c>
    </row>
    <row r="2191" spans="1:7" x14ac:dyDescent="0.45">
      <c r="A2191" t="s">
        <v>2286</v>
      </c>
      <c r="B2191" s="2" t="s">
        <v>162</v>
      </c>
      <c r="C2191" s="8" t="s">
        <v>12</v>
      </c>
      <c r="D2191" s="4">
        <f>2420/(60*60*24)</f>
        <v>2.8009259259259258E-2</v>
      </c>
      <c r="E2191" s="3">
        <f>6764/(60*60*24)</f>
        <v>7.8287037037037044E-2</v>
      </c>
      <c r="F2191" s="5">
        <f>24023/(60*60*24)</f>
        <v>0.27804398148148146</v>
      </c>
      <c r="G2191" s="7" t="s">
        <v>9</v>
      </c>
    </row>
    <row r="2192" spans="1:7" x14ac:dyDescent="0.45">
      <c r="A2192" t="s">
        <v>2287</v>
      </c>
      <c r="B2192" s="2" t="s">
        <v>168</v>
      </c>
      <c r="C2192" s="5">
        <f>8987/(60*60*24)</f>
        <v>0.10401620370370371</v>
      </c>
      <c r="D2192" s="4">
        <f>2523/(60*60*24)</f>
        <v>2.9201388888888888E-2</v>
      </c>
      <c r="E2192" s="3">
        <f>7274/(60*60*24)</f>
        <v>8.4189814814814815E-2</v>
      </c>
      <c r="F2192" s="6">
        <f>27271/(60*60*24)</f>
        <v>0.31563657407407408</v>
      </c>
      <c r="G2192" s="7" t="s">
        <v>9</v>
      </c>
    </row>
    <row r="2193" spans="1:7" x14ac:dyDescent="0.45">
      <c r="A2193" t="s">
        <v>2288</v>
      </c>
      <c r="B2193" s="2" t="s">
        <v>166</v>
      </c>
      <c r="C2193" s="8" t="s">
        <v>12</v>
      </c>
      <c r="D2193" s="4">
        <f>2495/(60*60*24)</f>
        <v>2.8877314814814814E-2</v>
      </c>
      <c r="E2193" s="3">
        <f>7425/(60*60*24)</f>
        <v>8.59375E-2</v>
      </c>
      <c r="F2193" s="5">
        <f>27401/(60*60*24)</f>
        <v>0.31714120370370369</v>
      </c>
      <c r="G2193" s="7" t="s">
        <v>9</v>
      </c>
    </row>
    <row r="2194" spans="1:7" x14ac:dyDescent="0.45">
      <c r="A2194" t="s">
        <v>2289</v>
      </c>
      <c r="B2194" s="2" t="s">
        <v>170</v>
      </c>
      <c r="C2194" s="5">
        <f>9265/(60*60*24)</f>
        <v>0.1072337962962963</v>
      </c>
      <c r="D2194" s="4">
        <f>2492/(60*60*24)</f>
        <v>2.8842592592592593E-2</v>
      </c>
      <c r="E2194" s="3">
        <f>7543/(60*60*24)</f>
        <v>8.7303240740740737E-2</v>
      </c>
      <c r="F2194" s="6">
        <f>27740/(60*60*24)</f>
        <v>0.3210648148148148</v>
      </c>
      <c r="G2194" s="7" t="s">
        <v>9</v>
      </c>
    </row>
    <row r="2195" spans="1:7" x14ac:dyDescent="0.45">
      <c r="A2195" t="s">
        <v>2290</v>
      </c>
      <c r="B2195" s="2" t="s">
        <v>172</v>
      </c>
      <c r="C2195" s="5">
        <f>9634/(60*60*24)</f>
        <v>0.11150462962962963</v>
      </c>
      <c r="D2195" s="4">
        <f>2601/(60*60*24)</f>
        <v>3.0104166666666668E-2</v>
      </c>
      <c r="E2195" s="3">
        <f>8095/(60*60*24)</f>
        <v>9.3692129629629625E-2</v>
      </c>
      <c r="F2195" s="6">
        <f>28442/(60*60*24)</f>
        <v>0.3291898148148148</v>
      </c>
      <c r="G2195" s="7" t="s">
        <v>9</v>
      </c>
    </row>
    <row r="2196" spans="1:7" x14ac:dyDescent="0.45">
      <c r="A2196" t="s">
        <v>2291</v>
      </c>
      <c r="B2196" s="2" t="s">
        <v>176</v>
      </c>
      <c r="C2196" s="5">
        <f>10978/(60*60*24)</f>
        <v>0.12706018518518519</v>
      </c>
      <c r="D2196" s="4">
        <f>2794/(60*60*24)</f>
        <v>3.2337962962962964E-2</v>
      </c>
      <c r="E2196" s="3">
        <f>8509/(60*60*24)</f>
        <v>9.8483796296296292E-2</v>
      </c>
      <c r="F2196" s="6">
        <f>29233/(60*60*24)</f>
        <v>0.33834490740740741</v>
      </c>
      <c r="G2196" s="7" t="s">
        <v>9</v>
      </c>
    </row>
    <row r="2197" spans="1:7" x14ac:dyDescent="0.45">
      <c r="A2197" t="s">
        <v>2292</v>
      </c>
      <c r="B2197" s="2" t="s">
        <v>174</v>
      </c>
      <c r="C2197" s="5">
        <f>10565/(60*60*24)</f>
        <v>0.12228009259259259</v>
      </c>
      <c r="D2197" s="4">
        <f>2766/(60*60*24)</f>
        <v>3.201388888888889E-2</v>
      </c>
      <c r="E2197" s="3">
        <f>8304/(60*60*24)</f>
        <v>9.6111111111111105E-2</v>
      </c>
      <c r="F2197" s="6">
        <f>29710/(60*60*24)</f>
        <v>0.34386574074074072</v>
      </c>
      <c r="G2197" s="7" t="s">
        <v>9</v>
      </c>
    </row>
    <row r="2198" spans="1:7" x14ac:dyDescent="0.45">
      <c r="A2198" t="s">
        <v>2293</v>
      </c>
      <c r="B2198" s="2" t="s">
        <v>180</v>
      </c>
      <c r="C2198" s="3">
        <f>7173/(60*60*24)</f>
        <v>8.3020833333333335E-2</v>
      </c>
      <c r="D2198" s="4">
        <f>2891/(60*60*24)</f>
        <v>3.3460648148148149E-2</v>
      </c>
      <c r="E2198" s="5">
        <f>8602/(60*60*24)</f>
        <v>9.9560185185185182E-2</v>
      </c>
      <c r="F2198" s="6">
        <f>30762/(60*60*24)</f>
        <v>0.35604166666666665</v>
      </c>
      <c r="G2198" s="7" t="s">
        <v>9</v>
      </c>
    </row>
    <row r="2199" spans="1:7" x14ac:dyDescent="0.45">
      <c r="A2199" t="s">
        <v>2294</v>
      </c>
      <c r="B2199" s="2" t="s">
        <v>178</v>
      </c>
      <c r="C2199" s="3">
        <f>8654/(60*60*24)</f>
        <v>0.10016203703703704</v>
      </c>
      <c r="D2199" s="4">
        <f>2899/(60*60*24)</f>
        <v>3.3553240740740738E-2</v>
      </c>
      <c r="E2199" s="5">
        <f>8697/(60*60*24)</f>
        <v>0.10065972222222222</v>
      </c>
      <c r="F2199" s="6">
        <f>31158/(60*60*24)</f>
        <v>0.36062499999999997</v>
      </c>
      <c r="G2199" s="7" t="s">
        <v>9</v>
      </c>
    </row>
    <row r="2200" spans="1:7" x14ac:dyDescent="0.45">
      <c r="A2200" t="s">
        <v>2295</v>
      </c>
      <c r="B2200" s="2" t="s">
        <v>182</v>
      </c>
      <c r="C2200" s="5">
        <f>9006/(60*60*24)</f>
        <v>0.10423611111111111</v>
      </c>
      <c r="D2200" s="4">
        <f>3003/(60*60*24)</f>
        <v>3.4756944444444444E-2</v>
      </c>
      <c r="E2200" s="3">
        <f>8921/(60*60*24)</f>
        <v>0.10325231481481481</v>
      </c>
      <c r="F2200" s="6">
        <f>31855/(60*60*24)</f>
        <v>0.36869212962962961</v>
      </c>
      <c r="G2200" s="7" t="s">
        <v>9</v>
      </c>
    </row>
    <row r="2201" spans="1:7" x14ac:dyDescent="0.45">
      <c r="A2201" t="s">
        <v>2296</v>
      </c>
      <c r="B2201" s="2" t="s">
        <v>184</v>
      </c>
      <c r="C2201" s="8" t="s">
        <v>12</v>
      </c>
      <c r="D2201" s="4">
        <f>3635/(60*60*24)</f>
        <v>4.207175925925926E-2</v>
      </c>
      <c r="E2201" s="3">
        <f>10546/(60*60*24)</f>
        <v>0.12206018518518519</v>
      </c>
      <c r="F2201" s="5">
        <f>35839/(60*60*24)</f>
        <v>0.41480324074074076</v>
      </c>
      <c r="G2201" s="7" t="s">
        <v>9</v>
      </c>
    </row>
    <row r="2202" spans="1:7" x14ac:dyDescent="0.45">
      <c r="A2202" t="s">
        <v>2297</v>
      </c>
      <c r="B2202" s="2" t="s">
        <v>8</v>
      </c>
      <c r="C2202" s="8" t="s">
        <v>12</v>
      </c>
      <c r="D2202" s="4">
        <f>2222/(60*60*24)</f>
        <v>2.5717592592592594E-2</v>
      </c>
      <c r="E2202" s="3">
        <f>9281/(60*60*24)</f>
        <v>0.10741898148148148</v>
      </c>
      <c r="F2202" s="5">
        <f>31313/(60*60*24)</f>
        <v>0.36241898148148149</v>
      </c>
      <c r="G2202" s="7" t="s">
        <v>9</v>
      </c>
    </row>
    <row r="2203" spans="1:7" x14ac:dyDescent="0.45">
      <c r="A2203" t="s">
        <v>2298</v>
      </c>
      <c r="B2203" s="2" t="s">
        <v>11</v>
      </c>
      <c r="C2203" s="8" t="s">
        <v>12</v>
      </c>
      <c r="D2203" s="4">
        <f>2277/(60*60*24)</f>
        <v>2.6354166666666668E-2</v>
      </c>
      <c r="E2203" s="3">
        <f>9140/(60*60*24)</f>
        <v>0.10578703703703704</v>
      </c>
      <c r="F2203" s="5">
        <f>30605/(60*60*24)</f>
        <v>0.35422453703703705</v>
      </c>
      <c r="G2203" s="7" t="s">
        <v>9</v>
      </c>
    </row>
    <row r="2204" spans="1:7" x14ac:dyDescent="0.45">
      <c r="A2204" t="s">
        <v>2299</v>
      </c>
      <c r="B2204" s="2" t="s">
        <v>14</v>
      </c>
      <c r="C2204" s="8" t="s">
        <v>12</v>
      </c>
      <c r="D2204" s="4">
        <f>2123/(60*60*24)</f>
        <v>2.4571759259259258E-2</v>
      </c>
      <c r="E2204" s="3">
        <f>8862/(60*60*24)</f>
        <v>0.10256944444444445</v>
      </c>
      <c r="F2204" s="5">
        <f>29791/(60*60*24)</f>
        <v>0.34480324074074076</v>
      </c>
      <c r="G2204" s="7" t="s">
        <v>9</v>
      </c>
    </row>
    <row r="2205" spans="1:7" x14ac:dyDescent="0.45">
      <c r="A2205" t="s">
        <v>2300</v>
      </c>
      <c r="B2205" s="2" t="s">
        <v>16</v>
      </c>
      <c r="C2205" s="8" t="s">
        <v>12</v>
      </c>
      <c r="D2205" s="4">
        <f>1934/(60*60*24)</f>
        <v>2.238425925925926E-2</v>
      </c>
      <c r="E2205" s="3">
        <f>8465/(60*60*24)</f>
        <v>9.7974537037037041E-2</v>
      </c>
      <c r="F2205" s="5">
        <f>29209/(60*60*24)</f>
        <v>0.33806712962962965</v>
      </c>
      <c r="G2205" s="7" t="s">
        <v>9</v>
      </c>
    </row>
    <row r="2206" spans="1:7" x14ac:dyDescent="0.45">
      <c r="A2206" t="s">
        <v>2301</v>
      </c>
      <c r="B2206" s="2" t="s">
        <v>18</v>
      </c>
      <c r="C2206" s="3">
        <f>6474/(60*60*24)</f>
        <v>7.4930555555555556E-2</v>
      </c>
      <c r="D2206" s="4">
        <f>1874/(60*60*24)</f>
        <v>2.1689814814814815E-2</v>
      </c>
      <c r="E2206" s="5">
        <f>8333/(60*60*24)</f>
        <v>9.644675925925926E-2</v>
      </c>
      <c r="F2206" s="6">
        <f>28728/(60*60*24)</f>
        <v>0.33250000000000002</v>
      </c>
      <c r="G2206" s="7" t="s">
        <v>9</v>
      </c>
    </row>
    <row r="2207" spans="1:7" x14ac:dyDescent="0.45">
      <c r="A2207" t="s">
        <v>2302</v>
      </c>
      <c r="B2207" s="2" t="s">
        <v>20</v>
      </c>
      <c r="C2207" s="3">
        <f>5768/(60*60*24)</f>
        <v>6.6759259259259254E-2</v>
      </c>
      <c r="D2207" s="4">
        <f>1960/(60*60*24)</f>
        <v>2.2685185185185187E-2</v>
      </c>
      <c r="E2207" s="5">
        <f>8151/(60*60*24)</f>
        <v>9.4340277777777773E-2</v>
      </c>
      <c r="F2207" s="6">
        <f>28006/(60*60*24)</f>
        <v>0.32414351851851853</v>
      </c>
      <c r="G2207" s="7" t="s">
        <v>9</v>
      </c>
    </row>
    <row r="2208" spans="1:7" x14ac:dyDescent="0.45">
      <c r="A2208" t="s">
        <v>2303</v>
      </c>
      <c r="B2208" s="2" t="s">
        <v>22</v>
      </c>
      <c r="C2208" s="3">
        <f>6406/(60*60*24)</f>
        <v>7.4143518518518525E-2</v>
      </c>
      <c r="D2208" s="4">
        <f>1932/(60*60*24)</f>
        <v>2.2361111111111109E-2</v>
      </c>
      <c r="E2208" s="5">
        <f>8085/(60*60*24)</f>
        <v>9.357638888888889E-2</v>
      </c>
      <c r="F2208" s="6">
        <f>27627/(60*60*24)</f>
        <v>0.31975694444444447</v>
      </c>
      <c r="G2208" s="7" t="s">
        <v>9</v>
      </c>
    </row>
    <row r="2209" spans="1:7" x14ac:dyDescent="0.45">
      <c r="A2209" t="s">
        <v>2304</v>
      </c>
      <c r="B2209" s="2" t="s">
        <v>24</v>
      </c>
      <c r="C2209" s="3">
        <f>5870/(60*60*24)</f>
        <v>6.7939814814814814E-2</v>
      </c>
      <c r="D2209" s="4">
        <f>1753/(60*60*24)</f>
        <v>2.0289351851851854E-2</v>
      </c>
      <c r="E2209" s="5">
        <f>8040/(60*60*24)</f>
        <v>9.3055555555555558E-2</v>
      </c>
      <c r="F2209" s="6">
        <f>27778/(60*60*24)</f>
        <v>0.32150462962962961</v>
      </c>
      <c r="G2209" s="7" t="s">
        <v>9</v>
      </c>
    </row>
    <row r="2210" spans="1:7" x14ac:dyDescent="0.45">
      <c r="A2210" t="s">
        <v>2305</v>
      </c>
      <c r="B2210" s="2" t="s">
        <v>26</v>
      </c>
      <c r="C2210" s="8" t="s">
        <v>12</v>
      </c>
      <c r="D2210" s="4">
        <f>1887/(60*60*24)</f>
        <v>2.1840277777777778E-2</v>
      </c>
      <c r="E2210" s="3">
        <f>7861/(60*60*24)</f>
        <v>9.0983796296296299E-2</v>
      </c>
      <c r="F2210" s="5">
        <f>26728/(60*60*24)</f>
        <v>0.30935185185185188</v>
      </c>
      <c r="G2210" s="7" t="s">
        <v>9</v>
      </c>
    </row>
    <row r="2211" spans="1:7" x14ac:dyDescent="0.45">
      <c r="A2211" t="s">
        <v>2306</v>
      </c>
      <c r="B2211" s="2" t="s">
        <v>28</v>
      </c>
      <c r="C2211" s="8" t="s">
        <v>12</v>
      </c>
      <c r="D2211" s="4">
        <f>2135/(60*60*24)</f>
        <v>2.4710648148148148E-2</v>
      </c>
      <c r="E2211" s="3">
        <f>7996/(60*60*24)</f>
        <v>9.2546296296296293E-2</v>
      </c>
      <c r="F2211" s="5">
        <f>25839/(60*60*24)</f>
        <v>0.29906250000000001</v>
      </c>
      <c r="G2211" s="7" t="s">
        <v>9</v>
      </c>
    </row>
    <row r="2212" spans="1:7" x14ac:dyDescent="0.45">
      <c r="A2212" t="s">
        <v>2307</v>
      </c>
      <c r="B2212" s="2" t="s">
        <v>30</v>
      </c>
      <c r="C2212" s="3">
        <f>5731/(60*60*24)</f>
        <v>6.6331018518518525E-2</v>
      </c>
      <c r="D2212" s="4">
        <f>2011/(60*60*24)</f>
        <v>2.3275462962962963E-2</v>
      </c>
      <c r="E2212" s="5">
        <f>7598/(60*60*24)</f>
        <v>8.7939814814814818E-2</v>
      </c>
      <c r="F2212" s="6">
        <f>25218/(60*60*24)</f>
        <v>0.291875</v>
      </c>
      <c r="G2212" s="7" t="s">
        <v>9</v>
      </c>
    </row>
    <row r="2213" spans="1:7" x14ac:dyDescent="0.45">
      <c r="A2213" t="s">
        <v>2308</v>
      </c>
      <c r="B2213" s="2" t="s">
        <v>32</v>
      </c>
      <c r="C2213" s="3">
        <f>5116/(60*60*24)</f>
        <v>5.921296296296296E-2</v>
      </c>
      <c r="D2213" s="4">
        <f>1936/(60*60*24)</f>
        <v>2.2407407407407407E-2</v>
      </c>
      <c r="E2213" s="5">
        <f>7363/(60*60*24)</f>
        <v>8.5219907407407411E-2</v>
      </c>
      <c r="F2213" s="6">
        <f>24497/(60*60*24)</f>
        <v>0.2835300925925926</v>
      </c>
      <c r="G2213" s="7" t="s">
        <v>9</v>
      </c>
    </row>
    <row r="2214" spans="1:7" x14ac:dyDescent="0.45">
      <c r="A2214" t="s">
        <v>2309</v>
      </c>
      <c r="B2214" s="2" t="s">
        <v>36</v>
      </c>
      <c r="C2214" s="3">
        <f>5418/(60*60*24)</f>
        <v>6.2708333333333338E-2</v>
      </c>
      <c r="D2214" s="4">
        <f>1897/(60*60*24)</f>
        <v>2.1956018518518517E-2</v>
      </c>
      <c r="E2214" s="5">
        <f>7279/(60*60*24)</f>
        <v>8.4247685185185189E-2</v>
      </c>
      <c r="F2214" s="6">
        <f>23864/(60*60*24)</f>
        <v>0.27620370370370373</v>
      </c>
      <c r="G2214" s="7" t="s">
        <v>9</v>
      </c>
    </row>
    <row r="2215" spans="1:7" x14ac:dyDescent="0.45">
      <c r="A2215" t="s">
        <v>2310</v>
      </c>
      <c r="B2215" s="2" t="s">
        <v>34</v>
      </c>
      <c r="C2215" s="3">
        <f>5465/(60*60*24)</f>
        <v>6.3252314814814817E-2</v>
      </c>
      <c r="D2215" s="4">
        <f>2016/(60*60*24)</f>
        <v>2.3333333333333334E-2</v>
      </c>
      <c r="E2215" s="5">
        <f>7187/(60*60*24)</f>
        <v>8.3182870370370365E-2</v>
      </c>
      <c r="F2215" s="6">
        <f>23222/(60*60*24)</f>
        <v>0.26877314814814812</v>
      </c>
      <c r="G2215" s="7" t="s">
        <v>9</v>
      </c>
    </row>
    <row r="2216" spans="1:7" x14ac:dyDescent="0.45">
      <c r="A2216" t="s">
        <v>2311</v>
      </c>
      <c r="B2216" s="2" t="s">
        <v>38</v>
      </c>
      <c r="C2216" s="3">
        <f>4442/(60*60*24)</f>
        <v>5.1412037037037034E-2</v>
      </c>
      <c r="D2216" s="4">
        <f>2103/(60*60*24)</f>
        <v>2.4340277777777777E-2</v>
      </c>
      <c r="E2216" s="5">
        <f>6921/(60*60*24)</f>
        <v>8.0104166666666671E-2</v>
      </c>
      <c r="F2216" s="6">
        <f>22494/(60*60*24)</f>
        <v>0.26034722222222223</v>
      </c>
      <c r="G2216" s="7" t="s">
        <v>9</v>
      </c>
    </row>
    <row r="2217" spans="1:7" x14ac:dyDescent="0.45">
      <c r="A2217" t="s">
        <v>2312</v>
      </c>
      <c r="B2217" s="2" t="s">
        <v>40</v>
      </c>
      <c r="C2217" s="3">
        <f>4637/(60*60*24)</f>
        <v>5.3668981481481484E-2</v>
      </c>
      <c r="D2217" s="4">
        <f>2087/(60*60*24)</f>
        <v>2.4155092592592593E-2</v>
      </c>
      <c r="E2217" s="5">
        <f>6636/(60*60*24)</f>
        <v>7.6805555555555557E-2</v>
      </c>
      <c r="F2217" s="6">
        <f>21626/(60*60*24)</f>
        <v>0.2503009259259259</v>
      </c>
      <c r="G2217" s="7" t="s">
        <v>9</v>
      </c>
    </row>
    <row r="2218" spans="1:7" x14ac:dyDescent="0.45">
      <c r="A2218" t="s">
        <v>2313</v>
      </c>
      <c r="B2218" s="2" t="s">
        <v>44</v>
      </c>
      <c r="C2218" s="3">
        <f>4852/(60*60*24)</f>
        <v>5.6157407407407406E-2</v>
      </c>
      <c r="D2218" s="4">
        <f>2145/(60*60*24)</f>
        <v>2.4826388888888887E-2</v>
      </c>
      <c r="E2218" s="5">
        <f>6502/(60*60*24)</f>
        <v>7.525462962962963E-2</v>
      </c>
      <c r="F2218" s="6">
        <f>21248/(60*60*24)</f>
        <v>0.24592592592592594</v>
      </c>
      <c r="G2218" s="7" t="s">
        <v>9</v>
      </c>
    </row>
    <row r="2219" spans="1:7" x14ac:dyDescent="0.45">
      <c r="A2219" t="s">
        <v>2314</v>
      </c>
      <c r="B2219" s="2" t="s">
        <v>42</v>
      </c>
      <c r="C2219" s="3">
        <f>5160/(60*60*24)</f>
        <v>5.9722222222222225E-2</v>
      </c>
      <c r="D2219" s="4">
        <f>2194/(60*60*24)</f>
        <v>2.539351851851852E-2</v>
      </c>
      <c r="E2219" s="5">
        <f>6508/(60*60*24)</f>
        <v>7.5324074074074071E-2</v>
      </c>
      <c r="F2219" s="6">
        <f>20637/(60*60*24)</f>
        <v>0.23885416666666667</v>
      </c>
      <c r="G2219" s="7" t="s">
        <v>9</v>
      </c>
    </row>
    <row r="2220" spans="1:7" x14ac:dyDescent="0.45">
      <c r="A2220" t="s">
        <v>2315</v>
      </c>
      <c r="B2220" s="2" t="s">
        <v>48</v>
      </c>
      <c r="C2220" s="3">
        <f>5070/(60*60*24)</f>
        <v>5.8680555555555555E-2</v>
      </c>
      <c r="D2220" s="4">
        <f>2423/(60*60*24)</f>
        <v>2.8043981481481482E-2</v>
      </c>
      <c r="E2220" s="5">
        <f>6027/(60*60*24)</f>
        <v>6.9756944444444441E-2</v>
      </c>
      <c r="F2220" s="6">
        <f>19166/(60*60*24)</f>
        <v>0.22182870370370369</v>
      </c>
      <c r="G2220" s="7" t="s">
        <v>9</v>
      </c>
    </row>
    <row r="2221" spans="1:7" x14ac:dyDescent="0.45">
      <c r="A2221" t="s">
        <v>2316</v>
      </c>
      <c r="B2221" s="2" t="s">
        <v>46</v>
      </c>
      <c r="C2221" s="8" t="s">
        <v>12</v>
      </c>
      <c r="D2221" s="4">
        <f>2351/(60*60*24)</f>
        <v>2.7210648148148147E-2</v>
      </c>
      <c r="E2221" s="3">
        <f>6298/(60*60*24)</f>
        <v>7.2893518518518524E-2</v>
      </c>
      <c r="F2221" s="5">
        <f>19890/(60*60*24)</f>
        <v>0.23020833333333332</v>
      </c>
      <c r="G2221" s="7" t="s">
        <v>9</v>
      </c>
    </row>
    <row r="2222" spans="1:7" x14ac:dyDescent="0.45">
      <c r="A2222" t="s">
        <v>2317</v>
      </c>
      <c r="B2222" s="2" t="s">
        <v>50</v>
      </c>
      <c r="C2222" s="3">
        <f>4691/(60*60*24)</f>
        <v>5.4293981481481485E-2</v>
      </c>
      <c r="D2222" s="4">
        <f>2184/(60*60*24)</f>
        <v>2.5277777777777777E-2</v>
      </c>
      <c r="E2222" s="5">
        <f>5811/(60*60*24)</f>
        <v>6.7256944444444439E-2</v>
      </c>
      <c r="F2222" s="6">
        <f>18448/(60*60*24)</f>
        <v>0.21351851851851852</v>
      </c>
      <c r="G2222" s="7" t="s">
        <v>9</v>
      </c>
    </row>
    <row r="2223" spans="1:7" x14ac:dyDescent="0.45">
      <c r="A2223" t="s">
        <v>2318</v>
      </c>
      <c r="B2223" s="2" t="s">
        <v>52</v>
      </c>
      <c r="C2223" s="3">
        <f>4610/(60*60*24)</f>
        <v>5.3356481481481484E-2</v>
      </c>
      <c r="D2223" s="4">
        <f>2180/(60*60*24)</f>
        <v>2.5231481481481483E-2</v>
      </c>
      <c r="E2223" s="5">
        <f>5618/(60*60*24)</f>
        <v>6.5023148148148149E-2</v>
      </c>
      <c r="F2223" s="6">
        <f>17784/(60*60*24)</f>
        <v>0.20583333333333334</v>
      </c>
      <c r="G2223" s="7" t="s">
        <v>9</v>
      </c>
    </row>
    <row r="2224" spans="1:7" x14ac:dyDescent="0.45">
      <c r="A2224" t="s">
        <v>2319</v>
      </c>
      <c r="B2224" s="2" t="s">
        <v>54</v>
      </c>
      <c r="C2224" s="3">
        <f>4143/(60*60*24)</f>
        <v>4.7951388888888891E-2</v>
      </c>
      <c r="D2224" s="4">
        <f>2461/(60*60*24)</f>
        <v>2.8483796296296295E-2</v>
      </c>
      <c r="E2224" s="5">
        <f>5408/(60*60*24)</f>
        <v>6.2592592592592589E-2</v>
      </c>
      <c r="F2224" s="6">
        <f>17159/(60*60*24)</f>
        <v>0.19859953703703703</v>
      </c>
      <c r="G2224" s="7" t="s">
        <v>9</v>
      </c>
    </row>
    <row r="2225" spans="1:7" x14ac:dyDescent="0.45">
      <c r="A2225" t="s">
        <v>2320</v>
      </c>
      <c r="B2225" s="2" t="s">
        <v>56</v>
      </c>
      <c r="C2225" s="3">
        <f>3820/(60*60*24)</f>
        <v>4.4212962962962961E-2</v>
      </c>
      <c r="D2225" s="4">
        <f>2248/(60*60*24)</f>
        <v>2.6018518518518517E-2</v>
      </c>
      <c r="E2225" s="5">
        <f>5163/(60*60*24)</f>
        <v>5.9756944444444446E-2</v>
      </c>
      <c r="F2225" s="6">
        <f>16532/(60*60*24)</f>
        <v>0.19134259259259259</v>
      </c>
      <c r="G2225" s="7" t="s">
        <v>9</v>
      </c>
    </row>
    <row r="2226" spans="1:7" x14ac:dyDescent="0.45">
      <c r="A2226" t="s">
        <v>2321</v>
      </c>
      <c r="B2226" s="2" t="s">
        <v>58</v>
      </c>
      <c r="C2226" s="3">
        <f>4005/(60*60*24)</f>
        <v>4.6354166666666669E-2</v>
      </c>
      <c r="D2226" s="4">
        <f>2208/(60*60*24)</f>
        <v>2.5555555555555557E-2</v>
      </c>
      <c r="E2226" s="5">
        <f>5051/(60*60*24)</f>
        <v>5.846064814814815E-2</v>
      </c>
      <c r="F2226" s="6">
        <f>16245/(60*60*24)</f>
        <v>0.18802083333333333</v>
      </c>
      <c r="G2226" s="7" t="s">
        <v>9</v>
      </c>
    </row>
    <row r="2227" spans="1:7" x14ac:dyDescent="0.45">
      <c r="A2227" t="s">
        <v>2322</v>
      </c>
      <c r="B2227" s="2" t="s">
        <v>60</v>
      </c>
      <c r="C2227" s="3">
        <f>3970/(60*60*24)</f>
        <v>4.5949074074074073E-2</v>
      </c>
      <c r="D2227" s="4">
        <f>2117/(60*60*24)</f>
        <v>2.4502314814814814E-2</v>
      </c>
      <c r="E2227" s="5">
        <f>4885/(60*60*24)</f>
        <v>5.6539351851851855E-2</v>
      </c>
      <c r="F2227" s="6">
        <f>15616/(60*60*24)</f>
        <v>0.18074074074074073</v>
      </c>
      <c r="G2227" s="7" t="s">
        <v>9</v>
      </c>
    </row>
    <row r="2228" spans="1:7" x14ac:dyDescent="0.45">
      <c r="A2228" t="s">
        <v>2323</v>
      </c>
      <c r="B2228" s="2" t="s">
        <v>62</v>
      </c>
      <c r="C2228" s="3">
        <f>3769/(60*60*24)</f>
        <v>4.3622685185185188E-2</v>
      </c>
      <c r="D2228" s="4">
        <f>2092/(60*60*24)</f>
        <v>2.4212962962962964E-2</v>
      </c>
      <c r="E2228" s="5">
        <f>4725/(60*60*24)</f>
        <v>5.46875E-2</v>
      </c>
      <c r="F2228" s="6">
        <f>15157/(60*60*24)</f>
        <v>0.17542824074074073</v>
      </c>
      <c r="G2228" s="7" t="s">
        <v>9</v>
      </c>
    </row>
    <row r="2229" spans="1:7" x14ac:dyDescent="0.45">
      <c r="A2229" t="s">
        <v>2324</v>
      </c>
      <c r="B2229" s="2" t="s">
        <v>64</v>
      </c>
      <c r="C2229" s="3">
        <f>3901/(60*60*24)</f>
        <v>4.5150462962962962E-2</v>
      </c>
      <c r="D2229" s="4">
        <f>2033/(60*60*24)</f>
        <v>2.3530092592592592E-2</v>
      </c>
      <c r="E2229" s="5">
        <f>4552/(60*60*24)</f>
        <v>5.2685185185185182E-2</v>
      </c>
      <c r="F2229" s="6">
        <f>14514/(60*60*24)</f>
        <v>0.16798611111111111</v>
      </c>
      <c r="G2229" s="7" t="s">
        <v>9</v>
      </c>
    </row>
    <row r="2230" spans="1:7" x14ac:dyDescent="0.45">
      <c r="A2230" t="s">
        <v>2325</v>
      </c>
      <c r="B2230" s="2" t="s">
        <v>66</v>
      </c>
      <c r="C2230" s="3">
        <f>3684/(60*60*24)</f>
        <v>4.2638888888888886E-2</v>
      </c>
      <c r="D2230" s="4">
        <f>1754/(60*60*24)</f>
        <v>2.0300925925925927E-2</v>
      </c>
      <c r="E2230" s="5">
        <f>4230/(60*60*24)</f>
        <v>4.8958333333333333E-2</v>
      </c>
      <c r="F2230" s="6">
        <f>13868/(60*60*24)</f>
        <v>0.16050925925925927</v>
      </c>
      <c r="G2230" s="7" t="s">
        <v>9</v>
      </c>
    </row>
    <row r="2231" spans="1:7" x14ac:dyDescent="0.45">
      <c r="A2231" t="s">
        <v>2326</v>
      </c>
      <c r="B2231" s="2" t="s">
        <v>68</v>
      </c>
      <c r="C2231" s="3">
        <f>3507/(60*60*24)</f>
        <v>4.0590277777777781E-2</v>
      </c>
      <c r="D2231" s="4">
        <f>1579/(60*60*24)</f>
        <v>1.8275462962962962E-2</v>
      </c>
      <c r="E2231" s="5">
        <f>4017/(60*60*24)</f>
        <v>4.6493055555555558E-2</v>
      </c>
      <c r="F2231" s="6">
        <f>13364/(60*60*24)</f>
        <v>0.15467592592592594</v>
      </c>
      <c r="G2231" s="7" t="s">
        <v>9</v>
      </c>
    </row>
    <row r="2232" spans="1:7" x14ac:dyDescent="0.45">
      <c r="A2232" t="s">
        <v>2327</v>
      </c>
      <c r="B2232" s="2" t="s">
        <v>70</v>
      </c>
      <c r="C2232" s="3">
        <f>3293/(60*60*24)</f>
        <v>3.8113425925925926E-2</v>
      </c>
      <c r="D2232" s="4">
        <f>1556/(60*60*24)</f>
        <v>1.800925925925926E-2</v>
      </c>
      <c r="E2232" s="5">
        <f>3924/(60*60*24)</f>
        <v>4.5416666666666668E-2</v>
      </c>
      <c r="F2232" s="6">
        <f>12936/(60*60*24)</f>
        <v>0.14972222222222223</v>
      </c>
      <c r="G2232" s="7" t="s">
        <v>9</v>
      </c>
    </row>
    <row r="2233" spans="1:7" x14ac:dyDescent="0.45">
      <c r="A2233" t="s">
        <v>2328</v>
      </c>
      <c r="B2233" s="2" t="s">
        <v>72</v>
      </c>
      <c r="C2233" s="3">
        <f>3338/(60*60*24)</f>
        <v>3.8634259259259257E-2</v>
      </c>
      <c r="D2233" s="4">
        <f>1528/(60*60*24)</f>
        <v>1.7685185185185186E-2</v>
      </c>
      <c r="E2233" s="5">
        <f>3905/(60*60*24)</f>
        <v>4.5196759259259256E-2</v>
      </c>
      <c r="F2233" s="6">
        <f>12592/(60*60*24)</f>
        <v>0.14574074074074075</v>
      </c>
      <c r="G2233" s="7" t="s">
        <v>9</v>
      </c>
    </row>
    <row r="2234" spans="1:7" x14ac:dyDescent="0.45">
      <c r="A2234" t="s">
        <v>2329</v>
      </c>
      <c r="B2234" s="2" t="s">
        <v>74</v>
      </c>
      <c r="C2234" s="3">
        <f>3334/(60*60*24)</f>
        <v>3.8587962962962963E-2</v>
      </c>
      <c r="D2234" s="4">
        <f>1666/(60*60*24)</f>
        <v>1.9282407407407408E-2</v>
      </c>
      <c r="E2234" s="5">
        <f>3602/(60*60*24)</f>
        <v>4.1689814814814811E-2</v>
      </c>
      <c r="F2234" s="6">
        <f>12281/(60*60*24)</f>
        <v>0.1421412037037037</v>
      </c>
      <c r="G2234" s="7" t="s">
        <v>9</v>
      </c>
    </row>
    <row r="2235" spans="1:7" x14ac:dyDescent="0.45">
      <c r="A2235" t="s">
        <v>2330</v>
      </c>
      <c r="B2235" s="2" t="s">
        <v>76</v>
      </c>
      <c r="C2235" s="8" t="s">
        <v>12</v>
      </c>
      <c r="D2235" s="4">
        <f>1492/(60*60*24)</f>
        <v>1.726851851851852E-2</v>
      </c>
      <c r="E2235" s="3">
        <f>3356/(60*60*24)</f>
        <v>3.8842592592592595E-2</v>
      </c>
      <c r="F2235" s="5">
        <f>11471/(60*60*24)</f>
        <v>0.13276620370370371</v>
      </c>
      <c r="G2235" s="7" t="s">
        <v>9</v>
      </c>
    </row>
    <row r="2236" spans="1:7" x14ac:dyDescent="0.45">
      <c r="A2236" t="s">
        <v>2331</v>
      </c>
      <c r="B2236" s="2" t="s">
        <v>78</v>
      </c>
      <c r="C2236" s="3">
        <f>2625/(60*60*24)</f>
        <v>3.0381944444444444E-2</v>
      </c>
      <c r="D2236" s="4">
        <f>1497/(60*60*24)</f>
        <v>1.7326388888888888E-2</v>
      </c>
      <c r="E2236" s="5">
        <f>3171/(60*60*24)</f>
        <v>3.6701388888888888E-2</v>
      </c>
      <c r="F2236" s="6">
        <f>10937/(60*60*24)</f>
        <v>0.12658564814814816</v>
      </c>
      <c r="G2236" s="7" t="s">
        <v>9</v>
      </c>
    </row>
    <row r="2237" spans="1:7" x14ac:dyDescent="0.45">
      <c r="A2237" t="s">
        <v>2332</v>
      </c>
      <c r="B2237" s="2" t="s">
        <v>80</v>
      </c>
      <c r="C2237" s="3">
        <f>2793/(60*60*24)</f>
        <v>3.2326388888888891E-2</v>
      </c>
      <c r="D2237" s="4">
        <f>1630/(60*60*24)</f>
        <v>1.8865740740740742E-2</v>
      </c>
      <c r="E2237" s="5">
        <f>2956/(60*60*24)</f>
        <v>3.4212962962962966E-2</v>
      </c>
      <c r="F2237" s="6">
        <f>10405/(60*60*24)</f>
        <v>0.12042824074074074</v>
      </c>
      <c r="G2237" s="7" t="s">
        <v>9</v>
      </c>
    </row>
    <row r="2238" spans="1:7" x14ac:dyDescent="0.45">
      <c r="A2238" t="s">
        <v>2333</v>
      </c>
      <c r="B2238" s="2" t="s">
        <v>84</v>
      </c>
      <c r="C2238" s="5">
        <f>2947/(60*60*24)</f>
        <v>3.4108796296296297E-2</v>
      </c>
      <c r="D2238" s="4">
        <f>1505/(60*60*24)</f>
        <v>1.7418981481481483E-2</v>
      </c>
      <c r="E2238" s="3">
        <f>2756/(60*60*24)</f>
        <v>3.1898148148148148E-2</v>
      </c>
      <c r="F2238" s="6">
        <f>9600/(60*60*24)</f>
        <v>0.1111111111111111</v>
      </c>
      <c r="G2238" s="7" t="s">
        <v>9</v>
      </c>
    </row>
    <row r="2239" spans="1:7" x14ac:dyDescent="0.45">
      <c r="A2239" t="s">
        <v>2334</v>
      </c>
      <c r="B2239" s="2" t="s">
        <v>82</v>
      </c>
      <c r="C2239" s="5">
        <f>3266/(60*60*24)</f>
        <v>3.7800925925925925E-2</v>
      </c>
      <c r="D2239" s="4">
        <f>1651/(60*60*24)</f>
        <v>1.9108796296296297E-2</v>
      </c>
      <c r="E2239" s="3">
        <f>2576/(60*60*24)</f>
        <v>2.9814814814814815E-2</v>
      </c>
      <c r="F2239" s="6">
        <f>9087/(60*60*24)</f>
        <v>0.10517361111111111</v>
      </c>
      <c r="G2239" s="7" t="s">
        <v>9</v>
      </c>
    </row>
    <row r="2240" spans="1:7" x14ac:dyDescent="0.45">
      <c r="A2240" t="s">
        <v>2335</v>
      </c>
      <c r="B2240" s="2" t="s">
        <v>88</v>
      </c>
      <c r="C2240" s="5">
        <f>4337/(60*60*24)</f>
        <v>5.019675925925926E-2</v>
      </c>
      <c r="D2240" s="4">
        <f>1767/(60*60*24)</f>
        <v>2.045138888888889E-2</v>
      </c>
      <c r="E2240" s="3">
        <f>2646/(60*60*24)</f>
        <v>3.0624999999999999E-2</v>
      </c>
      <c r="F2240" s="6">
        <f>8955/(60*60*24)</f>
        <v>0.10364583333333334</v>
      </c>
      <c r="G2240" s="7" t="s">
        <v>9</v>
      </c>
    </row>
    <row r="2241" spans="1:7" x14ac:dyDescent="0.45">
      <c r="A2241" t="s">
        <v>2336</v>
      </c>
      <c r="B2241" s="2" t="s">
        <v>86</v>
      </c>
      <c r="C2241" s="5">
        <f>4418/(60*60*24)</f>
        <v>5.1134259259259261E-2</v>
      </c>
      <c r="D2241" s="4">
        <f>1575/(60*60*24)</f>
        <v>1.8229166666666668E-2</v>
      </c>
      <c r="E2241" s="3">
        <f>2741/(60*60*24)</f>
        <v>3.1724537037037037E-2</v>
      </c>
      <c r="F2241" s="6">
        <f>8738/(60*60*24)</f>
        <v>0.10113425925925926</v>
      </c>
      <c r="G2241" s="7" t="s">
        <v>9</v>
      </c>
    </row>
    <row r="2242" spans="1:7" x14ac:dyDescent="0.45">
      <c r="A2242" t="s">
        <v>2337</v>
      </c>
      <c r="B2242" s="2" t="s">
        <v>90</v>
      </c>
      <c r="C2242" s="5">
        <f>5789/(60*60*24)</f>
        <v>6.700231481481482E-2</v>
      </c>
      <c r="D2242" s="4">
        <f>1514/(60*60*24)</f>
        <v>1.7523148148148149E-2</v>
      </c>
      <c r="E2242" s="3">
        <f>2791/(60*60*24)</f>
        <v>3.2303240740740743E-2</v>
      </c>
      <c r="F2242" s="6">
        <f>8979/(60*60*24)</f>
        <v>0.10392361111111111</v>
      </c>
      <c r="G2242" s="7" t="s">
        <v>9</v>
      </c>
    </row>
    <row r="2243" spans="1:7" x14ac:dyDescent="0.45">
      <c r="A2243" t="s">
        <v>2338</v>
      </c>
      <c r="B2243" s="2" t="s">
        <v>92</v>
      </c>
      <c r="C2243" s="5">
        <f>5637/(60*60*24)</f>
        <v>6.5243055555555554E-2</v>
      </c>
      <c r="D2243" s="4">
        <f>1244/(60*60*24)</f>
        <v>1.4398148148148148E-2</v>
      </c>
      <c r="E2243" s="3">
        <f>2559/(60*60*24)</f>
        <v>2.9618055555555557E-2</v>
      </c>
      <c r="F2243" s="6">
        <f>8511/(60*60*24)</f>
        <v>9.8506944444444439E-2</v>
      </c>
      <c r="G2243" s="7" t="s">
        <v>9</v>
      </c>
    </row>
    <row r="2244" spans="1:7" x14ac:dyDescent="0.45">
      <c r="A2244" t="s">
        <v>2339</v>
      </c>
      <c r="B2244" s="2" t="s">
        <v>96</v>
      </c>
      <c r="C2244" s="5">
        <f>3796/(60*60*24)</f>
        <v>4.3935185185185188E-2</v>
      </c>
      <c r="D2244" s="4">
        <f>950/(60*60*24)</f>
        <v>1.0995370370370371E-2</v>
      </c>
      <c r="E2244" s="3">
        <f>2192/(60*60*24)</f>
        <v>2.537037037037037E-2</v>
      </c>
      <c r="F2244" s="6">
        <f>7536/(60*60*24)</f>
        <v>8.7222222222222229E-2</v>
      </c>
      <c r="G2244" s="7" t="s">
        <v>9</v>
      </c>
    </row>
    <row r="2245" spans="1:7" x14ac:dyDescent="0.45">
      <c r="A2245" t="s">
        <v>2340</v>
      </c>
      <c r="B2245" s="2" t="s">
        <v>94</v>
      </c>
      <c r="C2245" s="8" t="s">
        <v>12</v>
      </c>
      <c r="D2245" s="4">
        <f>1050/(60*60*24)</f>
        <v>1.2152777777777778E-2</v>
      </c>
      <c r="E2245" s="3">
        <f>2312/(60*60*24)</f>
        <v>2.675925925925926E-2</v>
      </c>
      <c r="F2245" s="5">
        <f>7901/(60*60*24)</f>
        <v>9.1446759259259255E-2</v>
      </c>
      <c r="G2245" s="7" t="s">
        <v>9</v>
      </c>
    </row>
    <row r="2246" spans="1:7" x14ac:dyDescent="0.45">
      <c r="A2246" t="s">
        <v>2341</v>
      </c>
      <c r="B2246" s="2" t="s">
        <v>98</v>
      </c>
      <c r="C2246" s="5">
        <f>4655/(60*60*24)</f>
        <v>5.3877314814814815E-2</v>
      </c>
      <c r="D2246" s="4">
        <f>1213/(60*60*24)</f>
        <v>1.4039351851851851E-2</v>
      </c>
      <c r="E2246" s="3">
        <f>2413/(60*60*24)</f>
        <v>2.792824074074074E-2</v>
      </c>
      <c r="F2246" s="6">
        <f>7693/(60*60*24)</f>
        <v>8.9039351851851856E-2</v>
      </c>
      <c r="G2246" s="7" t="s">
        <v>9</v>
      </c>
    </row>
    <row r="2247" spans="1:7" x14ac:dyDescent="0.45">
      <c r="A2247" t="s">
        <v>2342</v>
      </c>
      <c r="B2247" s="2" t="s">
        <v>100</v>
      </c>
      <c r="C2247" s="5">
        <f>3968/(60*60*24)</f>
        <v>4.5925925925925926E-2</v>
      </c>
      <c r="D2247" s="4">
        <f>837/(60*60*24)</f>
        <v>9.6874999999999999E-3</v>
      </c>
      <c r="E2247" s="3">
        <f>1997/(60*60*24)</f>
        <v>2.3113425925925926E-2</v>
      </c>
      <c r="F2247" s="6">
        <f>7879/(60*60*24)</f>
        <v>9.1192129629629623E-2</v>
      </c>
      <c r="G2247" s="7" t="s">
        <v>9</v>
      </c>
    </row>
    <row r="2248" spans="1:7" x14ac:dyDescent="0.45">
      <c r="A2248" t="s">
        <v>2343</v>
      </c>
      <c r="B2248" s="2" t="s">
        <v>104</v>
      </c>
      <c r="C2248" s="5">
        <f>3754/(60*60*24)</f>
        <v>4.3449074074074077E-2</v>
      </c>
      <c r="D2248" s="4">
        <f>948/(60*60*24)</f>
        <v>1.0972222222222222E-2</v>
      </c>
      <c r="E2248" s="3">
        <f>1935/(60*60*24)</f>
        <v>2.2395833333333334E-2</v>
      </c>
      <c r="F2248" s="6">
        <f>7189/(60*60*24)</f>
        <v>8.3206018518518512E-2</v>
      </c>
      <c r="G2248" s="7" t="s">
        <v>9</v>
      </c>
    </row>
    <row r="2249" spans="1:7" x14ac:dyDescent="0.45">
      <c r="A2249" t="s">
        <v>2344</v>
      </c>
      <c r="B2249" s="2" t="s">
        <v>102</v>
      </c>
      <c r="C2249" s="5">
        <f>5657/(60*60*24)</f>
        <v>6.5474537037037039E-2</v>
      </c>
      <c r="D2249" s="4">
        <f>923/(60*60*24)</f>
        <v>1.068287037037037E-2</v>
      </c>
      <c r="E2249" s="3">
        <f>1990/(60*60*24)</f>
        <v>2.3032407407407408E-2</v>
      </c>
      <c r="F2249" s="6">
        <f>7229/(60*60*24)</f>
        <v>8.3668981481481483E-2</v>
      </c>
      <c r="G2249" s="7" t="s">
        <v>9</v>
      </c>
    </row>
    <row r="2250" spans="1:7" x14ac:dyDescent="0.45">
      <c r="A2250" t="s">
        <v>2345</v>
      </c>
      <c r="B2250" s="2" t="s">
        <v>106</v>
      </c>
      <c r="C2250" s="5">
        <f>3453/(60*60*24)</f>
        <v>3.996527777777778E-2</v>
      </c>
      <c r="D2250" s="4">
        <f>1098/(60*60*24)</f>
        <v>1.2708333333333334E-2</v>
      </c>
      <c r="E2250" s="3">
        <f>2180/(60*60*24)</f>
        <v>2.5231481481481483E-2</v>
      </c>
      <c r="F2250" s="6">
        <f>7443/(60*60*24)</f>
        <v>8.6145833333333338E-2</v>
      </c>
      <c r="G2250" s="7" t="s">
        <v>9</v>
      </c>
    </row>
    <row r="2251" spans="1:7" x14ac:dyDescent="0.45">
      <c r="A2251" t="s">
        <v>2346</v>
      </c>
      <c r="B2251" s="2" t="s">
        <v>108</v>
      </c>
      <c r="C2251" s="5">
        <f>4839/(60*60*24)</f>
        <v>5.6006944444444443E-2</v>
      </c>
      <c r="D2251" s="4">
        <f>1192/(60*60*24)</f>
        <v>1.3796296296296296E-2</v>
      </c>
      <c r="E2251" s="3">
        <f>2231/(60*60*24)</f>
        <v>2.582175925925926E-2</v>
      </c>
      <c r="F2251" s="6">
        <f>7841/(60*60*24)</f>
        <v>9.0752314814814813E-2</v>
      </c>
      <c r="G2251" s="7" t="s">
        <v>9</v>
      </c>
    </row>
    <row r="2252" spans="1:7" x14ac:dyDescent="0.45">
      <c r="A2252" t="s">
        <v>2347</v>
      </c>
      <c r="B2252" s="2" t="s">
        <v>110</v>
      </c>
      <c r="C2252" s="5">
        <f>5282/(60*60*24)</f>
        <v>6.1134259259259256E-2</v>
      </c>
      <c r="D2252" s="4">
        <f>1300/(60*60*24)</f>
        <v>1.5046296296296295E-2</v>
      </c>
      <c r="E2252" s="3">
        <f>2452/(60*60*24)</f>
        <v>2.837962962962963E-2</v>
      </c>
      <c r="F2252" s="6">
        <f>8366/(60*60*24)</f>
        <v>9.6828703703703708E-2</v>
      </c>
      <c r="G2252" s="7" t="s">
        <v>9</v>
      </c>
    </row>
    <row r="2253" spans="1:7" x14ac:dyDescent="0.45">
      <c r="A2253" t="s">
        <v>2348</v>
      </c>
      <c r="B2253" s="2" t="s">
        <v>112</v>
      </c>
      <c r="C2253" s="5">
        <f>3750/(60*60*24)</f>
        <v>4.3402777777777776E-2</v>
      </c>
      <c r="D2253" s="4">
        <f>1128/(60*60*24)</f>
        <v>1.3055555555555556E-2</v>
      </c>
      <c r="E2253" s="3">
        <f>2539/(60*60*24)</f>
        <v>2.9386574074074075E-2</v>
      </c>
      <c r="F2253" s="6">
        <f>8282/(60*60*24)</f>
        <v>9.5856481481481487E-2</v>
      </c>
      <c r="G2253" s="7" t="s">
        <v>9</v>
      </c>
    </row>
    <row r="2254" spans="1:7" x14ac:dyDescent="0.45">
      <c r="A2254" t="s">
        <v>2349</v>
      </c>
      <c r="B2254" s="2" t="s">
        <v>114</v>
      </c>
      <c r="C2254" s="5">
        <f>3846/(60*60*24)</f>
        <v>4.4513888888888888E-2</v>
      </c>
      <c r="D2254" s="4">
        <f>1137/(60*60*24)</f>
        <v>1.3159722222222222E-2</v>
      </c>
      <c r="E2254" s="3">
        <f>2697/(60*60*24)</f>
        <v>3.1215277777777779E-2</v>
      </c>
      <c r="F2254" s="6">
        <f>8784/(60*60*24)</f>
        <v>0.10166666666666667</v>
      </c>
      <c r="G2254" s="7" t="s">
        <v>9</v>
      </c>
    </row>
    <row r="2255" spans="1:7" x14ac:dyDescent="0.45">
      <c r="A2255" t="s">
        <v>2350</v>
      </c>
      <c r="B2255" s="2" t="s">
        <v>116</v>
      </c>
      <c r="C2255" s="8" t="s">
        <v>12</v>
      </c>
      <c r="D2255" s="4">
        <f>1252/(60*60*24)</f>
        <v>1.4490740740740742E-2</v>
      </c>
      <c r="E2255" s="3">
        <f>3105/(60*60*24)</f>
        <v>3.5937499999999997E-2</v>
      </c>
      <c r="F2255" s="5">
        <f>9288/(60*60*24)</f>
        <v>0.1075</v>
      </c>
      <c r="G2255" s="7" t="s">
        <v>9</v>
      </c>
    </row>
    <row r="2256" spans="1:7" x14ac:dyDescent="0.45">
      <c r="A2256" t="s">
        <v>2351</v>
      </c>
      <c r="B2256" s="2" t="s">
        <v>118</v>
      </c>
      <c r="C2256" s="8" t="s">
        <v>12</v>
      </c>
      <c r="D2256" s="4">
        <f>1278/(60*60*24)</f>
        <v>1.4791666666666667E-2</v>
      </c>
      <c r="E2256" s="3">
        <f>3302/(60*60*24)</f>
        <v>3.8217592592592595E-2</v>
      </c>
      <c r="F2256" s="5">
        <f>9900/(60*60*24)</f>
        <v>0.11458333333333333</v>
      </c>
      <c r="G2256" s="7" t="s">
        <v>9</v>
      </c>
    </row>
    <row r="2257" spans="1:7" x14ac:dyDescent="0.45">
      <c r="A2257" t="s">
        <v>2352</v>
      </c>
      <c r="B2257" s="2" t="s">
        <v>120</v>
      </c>
      <c r="C2257" s="8" t="s">
        <v>12</v>
      </c>
      <c r="D2257" s="4">
        <f>1518/(60*60*24)</f>
        <v>1.7569444444444443E-2</v>
      </c>
      <c r="E2257" s="3">
        <f>3270/(60*60*24)</f>
        <v>3.784722222222222E-2</v>
      </c>
      <c r="F2257" s="5">
        <f>10341/(60*60*24)</f>
        <v>0.1196875</v>
      </c>
      <c r="G2257" s="7" t="s">
        <v>9</v>
      </c>
    </row>
    <row r="2258" spans="1:7" x14ac:dyDescent="0.45">
      <c r="A2258" t="s">
        <v>2353</v>
      </c>
      <c r="B2258" s="2" t="s">
        <v>124</v>
      </c>
      <c r="C2258" s="8" t="s">
        <v>12</v>
      </c>
      <c r="D2258" s="4">
        <f>1485/(60*60*24)</f>
        <v>1.7187500000000001E-2</v>
      </c>
      <c r="E2258" s="3">
        <f>3334/(60*60*24)</f>
        <v>3.8587962962962963E-2</v>
      </c>
      <c r="F2258" s="5">
        <f>10821/(60*60*24)</f>
        <v>0.12524305555555557</v>
      </c>
      <c r="G2258" s="7" t="s">
        <v>9</v>
      </c>
    </row>
    <row r="2259" spans="1:7" x14ac:dyDescent="0.45">
      <c r="A2259" t="s">
        <v>2354</v>
      </c>
      <c r="B2259" s="2" t="s">
        <v>122</v>
      </c>
      <c r="C2259" s="8" t="s">
        <v>12</v>
      </c>
      <c r="D2259" s="4">
        <f>3255/(60*60*24)</f>
        <v>3.7673611111111109E-2</v>
      </c>
      <c r="E2259" s="3">
        <f>3501/(60*60*24)</f>
        <v>4.0520833333333332E-2</v>
      </c>
      <c r="F2259" s="5">
        <f>11355/(60*60*24)</f>
        <v>0.13142361111111112</v>
      </c>
      <c r="G2259" s="7" t="s">
        <v>9</v>
      </c>
    </row>
    <row r="2260" spans="1:7" x14ac:dyDescent="0.45">
      <c r="A2260" t="s">
        <v>2355</v>
      </c>
      <c r="B2260" s="2" t="s">
        <v>126</v>
      </c>
      <c r="C2260" s="8" t="s">
        <v>12</v>
      </c>
      <c r="D2260" s="4">
        <f>3290/(60*60*24)</f>
        <v>3.8078703703703705E-2</v>
      </c>
      <c r="E2260" s="3">
        <f>3805/(60*60*24)</f>
        <v>4.403935185185185E-2</v>
      </c>
      <c r="F2260" s="5">
        <f>12001/(60*60*24)</f>
        <v>0.13890046296296296</v>
      </c>
      <c r="G2260" s="7" t="s">
        <v>9</v>
      </c>
    </row>
    <row r="2261" spans="1:7" x14ac:dyDescent="0.45">
      <c r="A2261" t="s">
        <v>2356</v>
      </c>
      <c r="B2261" s="2" t="s">
        <v>128</v>
      </c>
      <c r="C2261" s="8" t="s">
        <v>12</v>
      </c>
      <c r="D2261" s="4">
        <f>2144/(60*60*24)</f>
        <v>2.4814814814814814E-2</v>
      </c>
      <c r="E2261" s="3">
        <f>3856/(60*60*24)</f>
        <v>4.462962962962963E-2</v>
      </c>
      <c r="F2261" s="5">
        <f>12473/(60*60*24)</f>
        <v>0.14436342592592594</v>
      </c>
      <c r="G2261" s="7" t="s">
        <v>9</v>
      </c>
    </row>
    <row r="2262" spans="1:7" x14ac:dyDescent="0.45">
      <c r="A2262" t="s">
        <v>2357</v>
      </c>
      <c r="B2262" s="2" t="s">
        <v>130</v>
      </c>
      <c r="C2262" s="8" t="s">
        <v>12</v>
      </c>
      <c r="D2262" s="4">
        <f>2910/(60*60*24)</f>
        <v>3.3680555555555554E-2</v>
      </c>
      <c r="E2262" s="3">
        <f>4028/(60*60*24)</f>
        <v>4.6620370370370368E-2</v>
      </c>
      <c r="F2262" s="5">
        <f>13138/(60*60*24)</f>
        <v>0.15206018518518519</v>
      </c>
      <c r="G2262" s="7" t="s">
        <v>9</v>
      </c>
    </row>
    <row r="2263" spans="1:7" x14ac:dyDescent="0.45">
      <c r="A2263" t="s">
        <v>2358</v>
      </c>
      <c r="B2263" s="2" t="s">
        <v>132</v>
      </c>
      <c r="C2263" s="8" t="s">
        <v>12</v>
      </c>
      <c r="D2263" s="4">
        <f>2051/(60*60*24)</f>
        <v>2.3738425925925927E-2</v>
      </c>
      <c r="E2263" s="3">
        <f>4286/(60*60*24)</f>
        <v>4.9606481481481481E-2</v>
      </c>
      <c r="F2263" s="5">
        <f>14035/(60*60*24)</f>
        <v>0.16244212962962962</v>
      </c>
      <c r="G2263" s="7" t="s">
        <v>9</v>
      </c>
    </row>
    <row r="2264" spans="1:7" x14ac:dyDescent="0.45">
      <c r="A2264" t="s">
        <v>2359</v>
      </c>
      <c r="B2264" s="2" t="s">
        <v>136</v>
      </c>
      <c r="C2264" s="8" t="s">
        <v>12</v>
      </c>
      <c r="D2264" s="4">
        <f>2073/(60*60*24)</f>
        <v>2.3993055555555556E-2</v>
      </c>
      <c r="E2264" s="3">
        <f>4266/(60*60*24)</f>
        <v>4.9375000000000002E-2</v>
      </c>
      <c r="F2264" s="5">
        <f>13804/(60*60*24)</f>
        <v>0.15976851851851853</v>
      </c>
      <c r="G2264" s="7" t="s">
        <v>9</v>
      </c>
    </row>
    <row r="2265" spans="1:7" x14ac:dyDescent="0.45">
      <c r="A2265" t="s">
        <v>2360</v>
      </c>
      <c r="B2265" s="2" t="s">
        <v>134</v>
      </c>
      <c r="C2265" s="8" t="s">
        <v>12</v>
      </c>
      <c r="D2265" s="4">
        <f>1604/(60*60*24)</f>
        <v>1.8564814814814815E-2</v>
      </c>
      <c r="E2265" s="3">
        <f>4330/(60*60*24)</f>
        <v>5.0115740740740738E-2</v>
      </c>
      <c r="F2265" s="5">
        <f>14603/(60*60*24)</f>
        <v>0.16901620370370371</v>
      </c>
      <c r="G2265" s="7" t="s">
        <v>9</v>
      </c>
    </row>
    <row r="2266" spans="1:7" x14ac:dyDescent="0.45">
      <c r="A2266" t="s">
        <v>2361</v>
      </c>
      <c r="B2266" s="2" t="s">
        <v>138</v>
      </c>
      <c r="C2266" s="5">
        <f>6356/(60*60*24)</f>
        <v>7.3564814814814819E-2</v>
      </c>
      <c r="D2266" s="4">
        <f>1706/(60*60*24)</f>
        <v>1.9745370370370371E-2</v>
      </c>
      <c r="E2266" s="3">
        <f>4545/(60*60*24)</f>
        <v>5.2604166666666667E-2</v>
      </c>
      <c r="F2266" s="6">
        <f>15780/(60*60*24)</f>
        <v>0.18263888888888888</v>
      </c>
      <c r="G2266" s="7" t="s">
        <v>9</v>
      </c>
    </row>
    <row r="2267" spans="1:7" x14ac:dyDescent="0.45">
      <c r="A2267" t="s">
        <v>2362</v>
      </c>
      <c r="B2267" s="2" t="s">
        <v>140</v>
      </c>
      <c r="C2267" s="8" t="s">
        <v>12</v>
      </c>
      <c r="D2267" s="4">
        <f>1925/(60*60*24)</f>
        <v>2.2280092592592591E-2</v>
      </c>
      <c r="E2267" s="3">
        <f>4961/(60*60*24)</f>
        <v>5.7418981481481481E-2</v>
      </c>
      <c r="F2267" s="5">
        <f>16855/(60*60*24)</f>
        <v>0.19508101851851853</v>
      </c>
      <c r="G2267" s="7" t="s">
        <v>9</v>
      </c>
    </row>
    <row r="2268" spans="1:7" x14ac:dyDescent="0.45">
      <c r="A2268" t="s">
        <v>2363</v>
      </c>
      <c r="B2268" s="2" t="s">
        <v>142</v>
      </c>
      <c r="C2268" s="8" t="s">
        <v>12</v>
      </c>
      <c r="D2268" s="4">
        <f>1991/(60*60*24)</f>
        <v>2.3043981481481481E-2</v>
      </c>
      <c r="E2268" s="3">
        <f>5069/(60*60*24)</f>
        <v>5.8668981481481482E-2</v>
      </c>
      <c r="F2268" s="5">
        <f>17285/(60*60*24)</f>
        <v>0.20005787037037037</v>
      </c>
      <c r="G2268" s="7" t="s">
        <v>9</v>
      </c>
    </row>
    <row r="2269" spans="1:7" x14ac:dyDescent="0.45">
      <c r="A2269" t="s">
        <v>2364</v>
      </c>
      <c r="B2269" s="2" t="s">
        <v>144</v>
      </c>
      <c r="C2269" s="8" t="s">
        <v>12</v>
      </c>
      <c r="D2269" s="4">
        <f>2116/(60*60*24)</f>
        <v>2.449074074074074E-2</v>
      </c>
      <c r="E2269" s="3">
        <f>5315/(60*60*24)</f>
        <v>6.1516203703703705E-2</v>
      </c>
      <c r="F2269" s="5">
        <f>17927/(60*60*24)</f>
        <v>0.20748842592592592</v>
      </c>
      <c r="G2269" s="7" t="s">
        <v>9</v>
      </c>
    </row>
    <row r="2270" spans="1:7" x14ac:dyDescent="0.45">
      <c r="A2270" t="s">
        <v>2365</v>
      </c>
      <c r="B2270" s="2" t="s">
        <v>146</v>
      </c>
      <c r="C2270" s="5">
        <f>5966/(60*60*24)</f>
        <v>6.9050925925925932E-2</v>
      </c>
      <c r="D2270" s="4">
        <f>2095/(60*60*24)</f>
        <v>2.4247685185185185E-2</v>
      </c>
      <c r="E2270" s="3">
        <f>5581/(60*60*24)</f>
        <v>6.4594907407407406E-2</v>
      </c>
      <c r="F2270" s="6">
        <f>18567/(60*60*24)</f>
        <v>0.21489583333333334</v>
      </c>
      <c r="G2270" s="7" t="s">
        <v>9</v>
      </c>
    </row>
    <row r="2271" spans="1:7" x14ac:dyDescent="0.45">
      <c r="A2271" t="s">
        <v>2366</v>
      </c>
      <c r="B2271" s="2" t="s">
        <v>148</v>
      </c>
      <c r="C2271" s="3">
        <f>5601/(60*60*24)</f>
        <v>6.4826388888888892E-2</v>
      </c>
      <c r="D2271" s="4">
        <f>2174/(60*60*24)</f>
        <v>2.5162037037037038E-2</v>
      </c>
      <c r="E2271" s="5">
        <f>5899/(60*60*24)</f>
        <v>6.8275462962962968E-2</v>
      </c>
      <c r="F2271" s="6">
        <f>19880/(60*60*24)</f>
        <v>0.2300925925925926</v>
      </c>
      <c r="G2271" s="7" t="s">
        <v>9</v>
      </c>
    </row>
    <row r="2272" spans="1:7" x14ac:dyDescent="0.45">
      <c r="A2272" t="s">
        <v>2367</v>
      </c>
      <c r="B2272" s="2" t="s">
        <v>152</v>
      </c>
      <c r="C2272" s="3">
        <f>5977/(60*60*24)</f>
        <v>6.9178240740740735E-2</v>
      </c>
      <c r="D2272" s="4">
        <f>2232/(60*60*24)</f>
        <v>2.5833333333333333E-2</v>
      </c>
      <c r="E2272" s="5">
        <f>6252/(60*60*24)</f>
        <v>7.2361111111111112E-2</v>
      </c>
      <c r="F2272" s="6">
        <f>20501/(60*60*24)</f>
        <v>0.23728009259259258</v>
      </c>
      <c r="G2272" s="7" t="s">
        <v>9</v>
      </c>
    </row>
    <row r="2273" spans="1:7" x14ac:dyDescent="0.45">
      <c r="A2273" t="s">
        <v>2368</v>
      </c>
      <c r="B2273" s="2" t="s">
        <v>150</v>
      </c>
      <c r="C2273" s="8" t="s">
        <v>12</v>
      </c>
      <c r="D2273" s="4">
        <f>2251/(60*60*24)</f>
        <v>2.6053240740740741E-2</v>
      </c>
      <c r="E2273" s="3">
        <f>6032/(60*60*24)</f>
        <v>6.9814814814814816E-2</v>
      </c>
      <c r="F2273" s="5">
        <f>19648/(60*60*24)</f>
        <v>0.22740740740740742</v>
      </c>
      <c r="G2273" s="7" t="s">
        <v>9</v>
      </c>
    </row>
    <row r="2274" spans="1:7" x14ac:dyDescent="0.45">
      <c r="A2274" t="s">
        <v>2369</v>
      </c>
      <c r="B2274" s="2" t="s">
        <v>154</v>
      </c>
      <c r="C2274" s="5">
        <f>6588/(60*60*24)</f>
        <v>7.6249999999999998E-2</v>
      </c>
      <c r="D2274" s="4">
        <f>2309/(60*60*24)</f>
        <v>2.6724537037037036E-2</v>
      </c>
      <c r="E2274" s="3">
        <f>6466/(60*60*24)</f>
        <v>7.4837962962962967E-2</v>
      </c>
      <c r="F2274" s="6">
        <f>22201/(60*60*24)</f>
        <v>0.25695601851851851</v>
      </c>
      <c r="G2274" s="7" t="s">
        <v>9</v>
      </c>
    </row>
    <row r="2275" spans="1:7" x14ac:dyDescent="0.45">
      <c r="A2275" t="s">
        <v>2370</v>
      </c>
      <c r="B2275" s="2" t="s">
        <v>156</v>
      </c>
      <c r="C2275" s="8" t="s">
        <v>12</v>
      </c>
      <c r="D2275" s="4">
        <f>2280/(60*60*24)</f>
        <v>2.6388888888888889E-2</v>
      </c>
      <c r="E2275" s="3">
        <f>6443/(60*60*24)</f>
        <v>7.4571759259259254E-2</v>
      </c>
      <c r="F2275" s="5">
        <f>23240/(60*60*24)</f>
        <v>0.26898148148148149</v>
      </c>
      <c r="G2275" s="7" t="s">
        <v>9</v>
      </c>
    </row>
    <row r="2276" spans="1:7" x14ac:dyDescent="0.45">
      <c r="A2276" t="s">
        <v>2371</v>
      </c>
      <c r="B2276" s="2" t="s">
        <v>160</v>
      </c>
      <c r="C2276" s="3">
        <f>5999/(60*60*24)</f>
        <v>6.9432870370370367E-2</v>
      </c>
      <c r="D2276" s="4">
        <f>2340/(60*60*24)</f>
        <v>2.7083333333333334E-2</v>
      </c>
      <c r="E2276" s="5">
        <f>6659/(60*60*24)</f>
        <v>7.7071759259259257E-2</v>
      </c>
      <c r="F2276" s="6">
        <f>23528/(60*60*24)</f>
        <v>0.27231481481481479</v>
      </c>
      <c r="G2276" s="7" t="s">
        <v>9</v>
      </c>
    </row>
    <row r="2277" spans="1:7" x14ac:dyDescent="0.45">
      <c r="A2277" t="s">
        <v>2372</v>
      </c>
      <c r="B2277" s="2" t="s">
        <v>158</v>
      </c>
      <c r="C2277" s="3">
        <f>6130/(60*60*24)</f>
        <v>7.0949074074074067E-2</v>
      </c>
      <c r="D2277" s="4">
        <f>2442/(60*60*24)</f>
        <v>2.826388888888889E-2</v>
      </c>
      <c r="E2277" s="5">
        <f>7001/(60*60*24)</f>
        <v>8.1030092592592598E-2</v>
      </c>
      <c r="F2277" s="6">
        <f>23459/(60*60*24)</f>
        <v>0.27151620370370372</v>
      </c>
      <c r="G2277" s="7" t="s">
        <v>9</v>
      </c>
    </row>
    <row r="2278" spans="1:7" x14ac:dyDescent="0.45">
      <c r="A2278" t="s">
        <v>2373</v>
      </c>
      <c r="B2278" s="2" t="s">
        <v>162</v>
      </c>
      <c r="C2278" s="8" t="s">
        <v>12</v>
      </c>
      <c r="D2278" s="4">
        <f>2456/(60*60*24)</f>
        <v>2.8425925925925927E-2</v>
      </c>
      <c r="E2278" s="3">
        <f>6927/(60*60*24)</f>
        <v>8.0173611111111112E-2</v>
      </c>
      <c r="F2278" s="5">
        <f>24030/(60*60*24)</f>
        <v>0.27812500000000001</v>
      </c>
      <c r="G2278" s="7" t="s">
        <v>9</v>
      </c>
    </row>
    <row r="2279" spans="1:7" x14ac:dyDescent="0.45">
      <c r="A2279" t="s">
        <v>2374</v>
      </c>
      <c r="B2279" s="2" t="s">
        <v>164</v>
      </c>
      <c r="C2279" s="8" t="s">
        <v>12</v>
      </c>
      <c r="D2279" s="4">
        <f>2465/(60*60*24)</f>
        <v>2.8530092592592593E-2</v>
      </c>
      <c r="E2279" s="3">
        <f>7064/(60*60*24)</f>
        <v>8.1759259259259254E-2</v>
      </c>
      <c r="F2279" s="5">
        <f>25023/(60*60*24)</f>
        <v>0.28961805555555553</v>
      </c>
      <c r="G2279" s="7" t="s">
        <v>9</v>
      </c>
    </row>
    <row r="2280" spans="1:7" x14ac:dyDescent="0.45">
      <c r="A2280" t="s">
        <v>2375</v>
      </c>
      <c r="B2280" s="2" t="s">
        <v>168</v>
      </c>
      <c r="C2280" s="5">
        <f>8583/(60*60*24)</f>
        <v>9.9340277777777777E-2</v>
      </c>
      <c r="D2280" s="4">
        <f>2464/(60*60*24)</f>
        <v>2.8518518518518519E-2</v>
      </c>
      <c r="E2280" s="3">
        <f>7095/(60*60*24)</f>
        <v>8.2118055555555555E-2</v>
      </c>
      <c r="F2280" s="6">
        <f>26311/(60*60*24)</f>
        <v>0.30452546296296296</v>
      </c>
      <c r="G2280" s="7" t="s">
        <v>9</v>
      </c>
    </row>
    <row r="2281" spans="1:7" x14ac:dyDescent="0.45">
      <c r="A2281" t="s">
        <v>2376</v>
      </c>
      <c r="B2281" s="2" t="s">
        <v>166</v>
      </c>
      <c r="C2281" s="5">
        <f>8932/(60*60*24)</f>
        <v>0.10337962962962963</v>
      </c>
      <c r="D2281" s="4">
        <f>2448/(60*60*24)</f>
        <v>2.8333333333333332E-2</v>
      </c>
      <c r="E2281" s="3">
        <f>7206/(60*60*24)</f>
        <v>8.3402777777777784E-2</v>
      </c>
      <c r="F2281" s="6">
        <f>27076/(60*60*24)</f>
        <v>0.31337962962962962</v>
      </c>
      <c r="G2281" s="7" t="s">
        <v>9</v>
      </c>
    </row>
    <row r="2282" spans="1:7" x14ac:dyDescent="0.45">
      <c r="A2282" t="s">
        <v>2377</v>
      </c>
      <c r="B2282" s="2" t="s">
        <v>170</v>
      </c>
      <c r="C2282" s="5">
        <f>8633/(60*60*24)</f>
        <v>9.9918981481481484E-2</v>
      </c>
      <c r="D2282" s="4">
        <f>2510/(60*60*24)</f>
        <v>2.9050925925925924E-2</v>
      </c>
      <c r="E2282" s="3">
        <f>7401/(60*60*24)</f>
        <v>8.565972222222222E-2</v>
      </c>
      <c r="F2282" s="6">
        <f>28223/(60*60*24)</f>
        <v>0.32665509259259257</v>
      </c>
      <c r="G2282" s="7" t="s">
        <v>9</v>
      </c>
    </row>
    <row r="2283" spans="1:7" x14ac:dyDescent="0.45">
      <c r="A2283" t="s">
        <v>2378</v>
      </c>
      <c r="B2283" s="2" t="s">
        <v>172</v>
      </c>
      <c r="C2283" s="8" t="s">
        <v>12</v>
      </c>
      <c r="D2283" s="4">
        <f>2722/(60*60*24)</f>
        <v>3.1504629629629632E-2</v>
      </c>
      <c r="E2283" s="3">
        <f>7868/(60*60*24)</f>
        <v>9.1064814814814821E-2</v>
      </c>
      <c r="F2283" s="5">
        <f>29313/(60*60*24)</f>
        <v>0.33927083333333335</v>
      </c>
      <c r="G2283" s="7" t="s">
        <v>9</v>
      </c>
    </row>
    <row r="2284" spans="1:7" x14ac:dyDescent="0.45">
      <c r="A2284" t="s">
        <v>2379</v>
      </c>
      <c r="B2284" s="2" t="s">
        <v>174</v>
      </c>
      <c r="C2284" s="5">
        <f>10500/(60*60*24)</f>
        <v>0.12152777777777778</v>
      </c>
      <c r="D2284" s="4">
        <f>2827/(60*60*24)</f>
        <v>3.2719907407407406E-2</v>
      </c>
      <c r="E2284" s="3">
        <f>8509/(60*60*24)</f>
        <v>9.8483796296296292E-2</v>
      </c>
      <c r="F2284" s="6">
        <f>30419/(60*60*24)</f>
        <v>0.35207175925925926</v>
      </c>
      <c r="G2284" s="7" t="s">
        <v>9</v>
      </c>
    </row>
    <row r="2285" spans="1:7" x14ac:dyDescent="0.45">
      <c r="A2285" t="s">
        <v>2380</v>
      </c>
      <c r="B2285" s="2" t="s">
        <v>176</v>
      </c>
      <c r="C2285" s="8" t="s">
        <v>12</v>
      </c>
      <c r="D2285" s="4">
        <f>2937/(60*60*24)</f>
        <v>3.3993055555555554E-2</v>
      </c>
      <c r="E2285" s="3">
        <f>8291/(60*60*24)</f>
        <v>9.5960648148148142E-2</v>
      </c>
      <c r="F2285" s="5">
        <f>30282/(60*60*24)</f>
        <v>0.35048611111111111</v>
      </c>
      <c r="G2285" s="7" t="s">
        <v>9</v>
      </c>
    </row>
    <row r="2286" spans="1:7" x14ac:dyDescent="0.45">
      <c r="A2286" t="s">
        <v>2381</v>
      </c>
      <c r="B2286" s="2" t="s">
        <v>180</v>
      </c>
      <c r="C2286" s="5">
        <f>9164/(60*60*24)</f>
        <v>0.10606481481481482</v>
      </c>
      <c r="D2286" s="4">
        <f>2950/(60*60*24)</f>
        <v>3.4143518518518517E-2</v>
      </c>
      <c r="E2286" s="3">
        <f>8895/(60*60*24)</f>
        <v>0.10295138888888888</v>
      </c>
      <c r="F2286" s="6">
        <f>31568/(60*60*24)</f>
        <v>0.36537037037037035</v>
      </c>
      <c r="G2286" s="7" t="s">
        <v>9</v>
      </c>
    </row>
    <row r="2287" spans="1:7" x14ac:dyDescent="0.45">
      <c r="A2287" t="s">
        <v>2382</v>
      </c>
      <c r="B2287" s="2" t="s">
        <v>178</v>
      </c>
      <c r="C2287" s="3">
        <f>8462/(60*60*24)</f>
        <v>9.7939814814814813E-2</v>
      </c>
      <c r="D2287" s="4">
        <f>2932/(60*60*24)</f>
        <v>3.3935185185185186E-2</v>
      </c>
      <c r="E2287" s="5">
        <f>8914/(60*60*24)</f>
        <v>0.1031712962962963</v>
      </c>
      <c r="F2287" s="6">
        <f>31945/(60*60*24)</f>
        <v>0.36973379629629627</v>
      </c>
      <c r="G2287" s="7" t="s">
        <v>9</v>
      </c>
    </row>
    <row r="2288" spans="1:7" x14ac:dyDescent="0.45">
      <c r="A2288" t="s">
        <v>2383</v>
      </c>
      <c r="B2288" s="2" t="s">
        <v>182</v>
      </c>
      <c r="C2288" s="8" t="s">
        <v>12</v>
      </c>
      <c r="D2288" s="4">
        <f>3073/(60*60*24)</f>
        <v>3.5567129629629629E-2</v>
      </c>
      <c r="E2288" s="3">
        <f>9013/(60*60*24)</f>
        <v>0.10431712962962963</v>
      </c>
      <c r="F2288" s="5">
        <f>32158/(60*60*24)</f>
        <v>0.3721990740740741</v>
      </c>
      <c r="G2288" s="7" t="s">
        <v>9</v>
      </c>
    </row>
    <row r="2289" spans="1:7" x14ac:dyDescent="0.45">
      <c r="A2289" t="s">
        <v>2384</v>
      </c>
      <c r="B2289" s="2" t="s">
        <v>184</v>
      </c>
      <c r="C2289" s="8" t="s">
        <v>12</v>
      </c>
      <c r="D2289" s="4">
        <f>3526/(60*60*24)</f>
        <v>4.0810185185185185E-2</v>
      </c>
      <c r="E2289" s="3">
        <f>10264/(60*60*24)</f>
        <v>0.1187962962962963</v>
      </c>
      <c r="F2289" s="5">
        <f>34790/(60*60*24)</f>
        <v>0.40266203703703701</v>
      </c>
      <c r="G2289" s="7" t="s">
        <v>9</v>
      </c>
    </row>
    <row r="2290" spans="1:7" x14ac:dyDescent="0.45">
      <c r="A2290" t="s">
        <v>2385</v>
      </c>
      <c r="B2290" s="2" t="s">
        <v>8</v>
      </c>
      <c r="C2290" s="8" t="s">
        <v>12</v>
      </c>
      <c r="D2290" s="4">
        <f>2444/(60*60*24)</f>
        <v>2.8287037037037038E-2</v>
      </c>
      <c r="E2290" s="3">
        <f>9547/(60*60*24)</f>
        <v>0.11049768518518518</v>
      </c>
      <c r="F2290" s="5">
        <f>32414/(60*60*24)</f>
        <v>0.37516203703703704</v>
      </c>
      <c r="G2290" s="7" t="s">
        <v>9</v>
      </c>
    </row>
    <row r="2291" spans="1:7" x14ac:dyDescent="0.45">
      <c r="A2291" t="s">
        <v>2386</v>
      </c>
      <c r="B2291" s="2" t="s">
        <v>11</v>
      </c>
      <c r="C2291" s="8" t="s">
        <v>12</v>
      </c>
      <c r="D2291" s="4">
        <f>2080/(60*60*24)</f>
        <v>2.4074074074074074E-2</v>
      </c>
      <c r="E2291" s="3">
        <f>8985/(60*60*24)</f>
        <v>0.10399305555555556</v>
      </c>
      <c r="F2291" s="5">
        <f>31321/(60*60*24)</f>
        <v>0.36251157407407408</v>
      </c>
      <c r="G2291" s="7" t="s">
        <v>9</v>
      </c>
    </row>
    <row r="2292" spans="1:7" x14ac:dyDescent="0.45">
      <c r="A2292" t="s">
        <v>2387</v>
      </c>
      <c r="B2292" s="2" t="s">
        <v>16</v>
      </c>
      <c r="C2292" s="3">
        <f>7578/(60*60*24)</f>
        <v>8.7708333333333333E-2</v>
      </c>
      <c r="D2292" s="4">
        <f>2026/(60*60*24)</f>
        <v>2.3449074074074074E-2</v>
      </c>
      <c r="E2292" s="5">
        <f>8761/(60*60*24)</f>
        <v>0.10140046296296296</v>
      </c>
      <c r="F2292" s="6">
        <f>29893/(60*60*24)</f>
        <v>0.34598379629629628</v>
      </c>
      <c r="G2292" s="7" t="s">
        <v>9</v>
      </c>
    </row>
    <row r="2293" spans="1:7" x14ac:dyDescent="0.45">
      <c r="A2293" t="s">
        <v>2388</v>
      </c>
      <c r="B2293" s="2" t="s">
        <v>14</v>
      </c>
      <c r="C2293" s="8" t="s">
        <v>12</v>
      </c>
      <c r="D2293" s="4">
        <f>2081/(60*60*24)</f>
        <v>2.4085648148148148E-2</v>
      </c>
      <c r="E2293" s="3">
        <f>8946/(60*60*24)</f>
        <v>0.10354166666666667</v>
      </c>
      <c r="F2293" s="5">
        <f>30391/(60*60*24)</f>
        <v>0.35174768518518518</v>
      </c>
      <c r="G2293" s="7" t="s">
        <v>9</v>
      </c>
    </row>
    <row r="2294" spans="1:7" x14ac:dyDescent="0.45">
      <c r="A2294" t="s">
        <v>2389</v>
      </c>
      <c r="B2294" s="2" t="s">
        <v>18</v>
      </c>
      <c r="C2294" s="3">
        <f>6542/(60*60*24)</f>
        <v>7.5717592592592586E-2</v>
      </c>
      <c r="D2294" s="4">
        <f>2006/(60*60*24)</f>
        <v>2.3217592592592592E-2</v>
      </c>
      <c r="E2294" s="5">
        <f>8499/(60*60*24)</f>
        <v>9.8368055555555556E-2</v>
      </c>
      <c r="F2294" s="6">
        <f>29093/(60*60*24)</f>
        <v>0.33672453703703703</v>
      </c>
      <c r="G2294" s="7" t="s">
        <v>9</v>
      </c>
    </row>
    <row r="2295" spans="1:7" x14ac:dyDescent="0.45">
      <c r="A2295" t="s">
        <v>2390</v>
      </c>
      <c r="B2295" s="2" t="s">
        <v>20</v>
      </c>
      <c r="C2295" s="3">
        <f>6436/(60*60*24)</f>
        <v>7.4490740740740746E-2</v>
      </c>
      <c r="D2295" s="4">
        <f>1959/(60*60*24)</f>
        <v>2.267361111111111E-2</v>
      </c>
      <c r="E2295" s="5">
        <f>8286/(60*60*24)</f>
        <v>9.5902777777777781E-2</v>
      </c>
      <c r="F2295" s="6">
        <f>28654/(60*60*24)</f>
        <v>0.33164351851851853</v>
      </c>
      <c r="G2295" s="7" t="s">
        <v>9</v>
      </c>
    </row>
    <row r="2296" spans="1:7" x14ac:dyDescent="0.45">
      <c r="A2296" t="s">
        <v>2391</v>
      </c>
      <c r="B2296" s="2" t="s">
        <v>22</v>
      </c>
      <c r="C2296" s="3">
        <f>6483/(60*60*24)</f>
        <v>7.5034722222222225E-2</v>
      </c>
      <c r="D2296" s="4">
        <f>1913/(60*60*24)</f>
        <v>2.2141203703703705E-2</v>
      </c>
      <c r="E2296" s="5">
        <f>8235/(60*60*24)</f>
        <v>9.5312499999999994E-2</v>
      </c>
      <c r="F2296" s="6">
        <f>28442/(60*60*24)</f>
        <v>0.3291898148148148</v>
      </c>
      <c r="G2296" s="7" t="s">
        <v>9</v>
      </c>
    </row>
    <row r="2297" spans="1:7" x14ac:dyDescent="0.45">
      <c r="A2297" t="s">
        <v>2392</v>
      </c>
      <c r="B2297" s="2" t="s">
        <v>24</v>
      </c>
      <c r="C2297" s="8" t="s">
        <v>12</v>
      </c>
      <c r="D2297" s="4">
        <f>1776/(60*60*24)</f>
        <v>2.0555555555555556E-2</v>
      </c>
      <c r="E2297" s="3">
        <f>8704/(60*60*24)</f>
        <v>0.10074074074074074</v>
      </c>
      <c r="F2297" s="5">
        <f>27849/(60*60*24)</f>
        <v>0.32232638888888887</v>
      </c>
      <c r="G2297" s="7" t="s">
        <v>9</v>
      </c>
    </row>
    <row r="2298" spans="1:7" x14ac:dyDescent="0.45">
      <c r="A2298" t="s">
        <v>2393</v>
      </c>
      <c r="B2298" s="2" t="s">
        <v>26</v>
      </c>
      <c r="C2298" s="8" t="s">
        <v>12</v>
      </c>
      <c r="D2298" s="4">
        <f>1917/(60*60*24)</f>
        <v>2.2187499999999999E-2</v>
      </c>
      <c r="E2298" s="3">
        <f>8436/(60*60*24)</f>
        <v>9.7638888888888886E-2</v>
      </c>
      <c r="F2298" s="5">
        <f>26816/(60*60*24)</f>
        <v>0.31037037037037035</v>
      </c>
      <c r="G2298" s="7" t="s">
        <v>9</v>
      </c>
    </row>
    <row r="2299" spans="1:7" x14ac:dyDescent="0.45">
      <c r="A2299" t="s">
        <v>2394</v>
      </c>
      <c r="B2299" s="2" t="s">
        <v>28</v>
      </c>
      <c r="C2299" s="8" t="s">
        <v>12</v>
      </c>
      <c r="D2299" s="4">
        <f>1954/(60*60*24)</f>
        <v>2.2615740740740742E-2</v>
      </c>
      <c r="E2299" s="3">
        <f>8177/(60*60*24)</f>
        <v>9.46412037037037E-2</v>
      </c>
      <c r="F2299" s="5">
        <f>26391/(60*60*24)</f>
        <v>0.3054513888888889</v>
      </c>
      <c r="G2299" s="7" t="s">
        <v>9</v>
      </c>
    </row>
    <row r="2300" spans="1:7" x14ac:dyDescent="0.45">
      <c r="A2300" t="s">
        <v>2395</v>
      </c>
      <c r="B2300" s="2" t="s">
        <v>32</v>
      </c>
      <c r="C2300" s="3">
        <f>5756/(60*60*24)</f>
        <v>6.6620370370370371E-2</v>
      </c>
      <c r="D2300" s="4">
        <f>2020/(60*60*24)</f>
        <v>2.3379629629629629E-2</v>
      </c>
      <c r="E2300" s="5">
        <f>7499/(60*60*24)</f>
        <v>8.6793981481481486E-2</v>
      </c>
      <c r="F2300" s="6">
        <f>24900/(60*60*24)</f>
        <v>0.28819444444444442</v>
      </c>
      <c r="G2300" s="7" t="s">
        <v>9</v>
      </c>
    </row>
    <row r="2301" spans="1:7" x14ac:dyDescent="0.45">
      <c r="A2301" t="s">
        <v>2396</v>
      </c>
      <c r="B2301" s="2" t="s">
        <v>30</v>
      </c>
      <c r="C2301" s="8" t="s">
        <v>12</v>
      </c>
      <c r="D2301" s="4">
        <f>1963/(60*60*24)</f>
        <v>2.2719907407407407E-2</v>
      </c>
      <c r="E2301" s="3">
        <f>7577/(60*60*24)</f>
        <v>8.7696759259259266E-2</v>
      </c>
      <c r="F2301" s="5">
        <f>25272/(60*60*24)</f>
        <v>0.29249999999999998</v>
      </c>
      <c r="G2301" s="7" t="s">
        <v>9</v>
      </c>
    </row>
    <row r="2302" spans="1:7" x14ac:dyDescent="0.45">
      <c r="A2302" t="s">
        <v>2397</v>
      </c>
      <c r="B2302" s="2" t="s">
        <v>36</v>
      </c>
      <c r="C2302" s="3">
        <f>5934/(60*60*24)</f>
        <v>6.868055555555555E-2</v>
      </c>
      <c r="D2302" s="4">
        <f>1903/(60*60*24)</f>
        <v>2.2025462962962962E-2</v>
      </c>
      <c r="E2302" s="5">
        <f>7407/(60*60*24)</f>
        <v>8.5729166666666662E-2</v>
      </c>
      <c r="F2302" s="6">
        <f>24317/(60*60*24)</f>
        <v>0.28144675925925927</v>
      </c>
      <c r="G2302" s="7" t="s">
        <v>9</v>
      </c>
    </row>
    <row r="2303" spans="1:7" x14ac:dyDescent="0.45">
      <c r="A2303" t="s">
        <v>2398</v>
      </c>
      <c r="B2303" s="2" t="s">
        <v>34</v>
      </c>
      <c r="C2303" s="8" t="s">
        <v>12</v>
      </c>
      <c r="D2303" s="4">
        <f>2042/(60*60*24)</f>
        <v>2.3634259259259258E-2</v>
      </c>
      <c r="E2303" s="3">
        <f>7146/(60*60*24)</f>
        <v>8.2708333333333328E-2</v>
      </c>
      <c r="F2303" s="5">
        <f>23424/(60*60*24)</f>
        <v>0.27111111111111114</v>
      </c>
      <c r="G2303" s="7" t="s">
        <v>9</v>
      </c>
    </row>
    <row r="2304" spans="1:7" x14ac:dyDescent="0.45">
      <c r="A2304" t="s">
        <v>2399</v>
      </c>
      <c r="B2304" s="2" t="s">
        <v>38</v>
      </c>
      <c r="C2304" s="3">
        <f>4856/(60*60*24)</f>
        <v>5.6203703703703707E-2</v>
      </c>
      <c r="D2304" s="4">
        <f>2301/(60*60*24)</f>
        <v>2.6631944444444444E-2</v>
      </c>
      <c r="E2304" s="5">
        <f>6931/(60*60*24)</f>
        <v>8.0219907407407406E-2</v>
      </c>
      <c r="F2304" s="6">
        <f>22558/(60*60*24)</f>
        <v>0.26108796296296294</v>
      </c>
      <c r="G2304" s="7" t="s">
        <v>9</v>
      </c>
    </row>
    <row r="2305" spans="1:7" x14ac:dyDescent="0.45">
      <c r="A2305" t="s">
        <v>2400</v>
      </c>
      <c r="B2305" s="2" t="s">
        <v>40</v>
      </c>
      <c r="C2305" s="3">
        <f>5311/(60*60*24)</f>
        <v>6.1469907407407411E-2</v>
      </c>
      <c r="D2305" s="4">
        <f>2267/(60*60*24)</f>
        <v>2.6238425925925925E-2</v>
      </c>
      <c r="E2305" s="5">
        <f>6741/(60*60*24)</f>
        <v>7.8020833333333331E-2</v>
      </c>
      <c r="F2305" s="6">
        <f>22102/(60*60*24)</f>
        <v>0.25581018518518517</v>
      </c>
      <c r="G2305" s="7" t="s">
        <v>9</v>
      </c>
    </row>
    <row r="2306" spans="1:7" x14ac:dyDescent="0.45">
      <c r="A2306" t="s">
        <v>2401</v>
      </c>
      <c r="B2306" s="2" t="s">
        <v>44</v>
      </c>
      <c r="C2306" s="3">
        <f>5514/(60*60*24)</f>
        <v>6.3819444444444443E-2</v>
      </c>
      <c r="D2306" s="4">
        <f>2232/(60*60*24)</f>
        <v>2.5833333333333333E-2</v>
      </c>
      <c r="E2306" s="5">
        <f>6692/(60*60*24)</f>
        <v>7.7453703703703705E-2</v>
      </c>
      <c r="F2306" s="6">
        <f>21525/(60*60*24)</f>
        <v>0.24913194444444445</v>
      </c>
      <c r="G2306" s="7" t="s">
        <v>9</v>
      </c>
    </row>
    <row r="2307" spans="1:7" x14ac:dyDescent="0.45">
      <c r="A2307" t="s">
        <v>2402</v>
      </c>
      <c r="B2307" s="2" t="s">
        <v>42</v>
      </c>
      <c r="C2307" s="8" t="s">
        <v>12</v>
      </c>
      <c r="D2307" s="4">
        <f>2783/(60*60*24)</f>
        <v>3.2210648148148148E-2</v>
      </c>
      <c r="E2307" s="3">
        <f>6515/(60*60*24)</f>
        <v>7.5405092592592593E-2</v>
      </c>
      <c r="F2307" s="5">
        <f>20815/(60*60*24)</f>
        <v>0.24091435185185187</v>
      </c>
      <c r="G2307" s="7" t="s">
        <v>9</v>
      </c>
    </row>
    <row r="2308" spans="1:7" x14ac:dyDescent="0.45">
      <c r="A2308" t="s">
        <v>2403</v>
      </c>
      <c r="B2308" s="2" t="s">
        <v>46</v>
      </c>
      <c r="C2308" s="3">
        <f>6167/(60*60*24)</f>
        <v>7.137731481481481E-2</v>
      </c>
      <c r="D2308" s="4">
        <f>2699/(60*60*24)</f>
        <v>3.1238425925925926E-2</v>
      </c>
      <c r="E2308" s="5">
        <f>6244/(60*60*24)</f>
        <v>7.2268518518518524E-2</v>
      </c>
      <c r="F2308" s="6">
        <f>20131/(60*60*24)</f>
        <v>0.23299768518518518</v>
      </c>
      <c r="G2308" s="7" t="s">
        <v>9</v>
      </c>
    </row>
    <row r="2309" spans="1:7" x14ac:dyDescent="0.45">
      <c r="A2309" t="s">
        <v>2404</v>
      </c>
      <c r="B2309" s="2" t="s">
        <v>48</v>
      </c>
      <c r="C2309" s="3">
        <f>5647/(60*60*24)</f>
        <v>6.535879629629629E-2</v>
      </c>
      <c r="D2309" s="4">
        <f>2369/(60*60*24)</f>
        <v>2.7418981481481482E-2</v>
      </c>
      <c r="E2309" s="5">
        <f>6008/(60*60*24)</f>
        <v>6.9537037037037036E-2</v>
      </c>
      <c r="F2309" s="6">
        <f>19265/(60*60*24)</f>
        <v>0.22297453703703704</v>
      </c>
      <c r="G2309" s="7" t="s">
        <v>9</v>
      </c>
    </row>
    <row r="2310" spans="1:7" x14ac:dyDescent="0.45">
      <c r="A2310" t="s">
        <v>2405</v>
      </c>
      <c r="B2310" s="2" t="s">
        <v>50</v>
      </c>
      <c r="C2310" s="3">
        <f>5137/(60*60*24)</f>
        <v>5.9456018518518519E-2</v>
      </c>
      <c r="D2310" s="4">
        <f>2334/(60*60*24)</f>
        <v>2.7013888888888889E-2</v>
      </c>
      <c r="E2310" s="5">
        <f>5818/(60*60*24)</f>
        <v>6.7337962962962961E-2</v>
      </c>
      <c r="F2310" s="6">
        <f>18852/(60*60*24)</f>
        <v>0.21819444444444444</v>
      </c>
      <c r="G2310" s="7" t="s">
        <v>9</v>
      </c>
    </row>
    <row r="2311" spans="1:7" x14ac:dyDescent="0.45">
      <c r="A2311" t="s">
        <v>2406</v>
      </c>
      <c r="B2311" s="2" t="s">
        <v>52</v>
      </c>
      <c r="C2311" s="3">
        <f>4219/(60*60*24)</f>
        <v>4.8831018518518517E-2</v>
      </c>
      <c r="D2311" s="4">
        <f>2258/(60*60*24)</f>
        <v>2.613425925925926E-2</v>
      </c>
      <c r="E2311" s="5">
        <f>5605/(60*60*24)</f>
        <v>6.4872685185185186E-2</v>
      </c>
      <c r="F2311" s="6">
        <f>18197/(60*60*24)</f>
        <v>0.21061342592592591</v>
      </c>
      <c r="G2311" s="7" t="s">
        <v>9</v>
      </c>
    </row>
    <row r="2312" spans="1:7" x14ac:dyDescent="0.45">
      <c r="A2312" t="s">
        <v>2407</v>
      </c>
      <c r="B2312" s="2" t="s">
        <v>54</v>
      </c>
      <c r="C2312" s="3">
        <f>4174/(60*60*24)</f>
        <v>4.8310185185185185E-2</v>
      </c>
      <c r="D2312" s="4">
        <f>2526/(60*60*24)</f>
        <v>2.9236111111111112E-2</v>
      </c>
      <c r="E2312" s="5">
        <f>5469/(60*60*24)</f>
        <v>6.3298611111111111E-2</v>
      </c>
      <c r="F2312" s="6">
        <f>17549/(60*60*24)</f>
        <v>0.20311342592592593</v>
      </c>
      <c r="G2312" s="7" t="s">
        <v>9</v>
      </c>
    </row>
    <row r="2313" spans="1:7" x14ac:dyDescent="0.45">
      <c r="A2313" t="s">
        <v>2408</v>
      </c>
      <c r="B2313" s="2" t="s">
        <v>56</v>
      </c>
      <c r="C2313" s="3">
        <f>4463/(60*60*24)</f>
        <v>5.1655092592592593E-2</v>
      </c>
      <c r="D2313" s="4">
        <f>2317/(60*60*24)</f>
        <v>2.6817129629629628E-2</v>
      </c>
      <c r="E2313" s="5">
        <f>5294/(60*60*24)</f>
        <v>6.1273148148148146E-2</v>
      </c>
      <c r="F2313" s="6">
        <f>17044/(60*60*24)</f>
        <v>0.19726851851851851</v>
      </c>
      <c r="G2313" s="7" t="s">
        <v>9</v>
      </c>
    </row>
    <row r="2314" spans="1:7" x14ac:dyDescent="0.45">
      <c r="A2314" t="s">
        <v>2409</v>
      </c>
      <c r="B2314" s="2" t="s">
        <v>58</v>
      </c>
      <c r="C2314" s="3">
        <f>4639/(60*60*24)</f>
        <v>5.3692129629629631E-2</v>
      </c>
      <c r="D2314" s="4">
        <f>2302/(60*60*24)</f>
        <v>2.6643518518518518E-2</v>
      </c>
      <c r="E2314" s="5">
        <f>5153/(60*60*24)</f>
        <v>5.9641203703703703E-2</v>
      </c>
      <c r="F2314" s="6">
        <f>16642/(60*60*24)</f>
        <v>0.19261574074074075</v>
      </c>
      <c r="G2314" s="7" t="s">
        <v>9</v>
      </c>
    </row>
    <row r="2315" spans="1:7" x14ac:dyDescent="0.45">
      <c r="A2315" t="s">
        <v>2410</v>
      </c>
      <c r="B2315" s="2" t="s">
        <v>60</v>
      </c>
      <c r="C2315" s="3">
        <f>4547/(60*60*24)</f>
        <v>5.2627314814814814E-2</v>
      </c>
      <c r="D2315" s="4">
        <f>2250/(60*60*24)</f>
        <v>2.6041666666666668E-2</v>
      </c>
      <c r="E2315" s="5">
        <f>5106/(60*60*24)</f>
        <v>5.9097222222222225E-2</v>
      </c>
      <c r="F2315" s="6">
        <f>16215/(60*60*24)</f>
        <v>0.18767361111111111</v>
      </c>
      <c r="G2315" s="7" t="s">
        <v>9</v>
      </c>
    </row>
    <row r="2316" spans="1:7" x14ac:dyDescent="0.45">
      <c r="A2316" t="s">
        <v>2411</v>
      </c>
      <c r="B2316" s="2" t="s">
        <v>62</v>
      </c>
      <c r="C2316" s="3">
        <f>4212/(60*60*24)</f>
        <v>4.8750000000000002E-2</v>
      </c>
      <c r="D2316" s="4">
        <f>2136/(60*60*24)</f>
        <v>2.4722222222222222E-2</v>
      </c>
      <c r="E2316" s="5">
        <f>4922/(60*60*24)</f>
        <v>5.6967592592592591E-2</v>
      </c>
      <c r="F2316" s="6">
        <f>15403/(60*60*24)</f>
        <v>0.17827546296296296</v>
      </c>
      <c r="G2316" s="7" t="s">
        <v>9</v>
      </c>
    </row>
    <row r="2317" spans="1:7" x14ac:dyDescent="0.45">
      <c r="A2317" t="s">
        <v>2412</v>
      </c>
      <c r="B2317" s="2" t="s">
        <v>64</v>
      </c>
      <c r="C2317" s="3">
        <f>4298/(60*60*24)</f>
        <v>4.974537037037037E-2</v>
      </c>
      <c r="D2317" s="4">
        <f>1918/(60*60*24)</f>
        <v>2.2199074074074072E-2</v>
      </c>
      <c r="E2317" s="5">
        <f>4800/(60*60*24)</f>
        <v>5.5555555555555552E-2</v>
      </c>
      <c r="F2317" s="6">
        <f>14860/(60*60*24)</f>
        <v>0.17199074074074075</v>
      </c>
      <c r="G2317" s="7" t="s">
        <v>9</v>
      </c>
    </row>
    <row r="2318" spans="1:7" x14ac:dyDescent="0.45">
      <c r="A2318" t="s">
        <v>2413</v>
      </c>
      <c r="B2318" s="2" t="s">
        <v>66</v>
      </c>
      <c r="C2318" s="3">
        <f>3667/(60*60*24)</f>
        <v>4.2442129629629628E-2</v>
      </c>
      <c r="D2318" s="4">
        <f>1675/(60*60*24)</f>
        <v>1.9386574074074073E-2</v>
      </c>
      <c r="E2318" s="5">
        <f>4301/(60*60*24)</f>
        <v>4.9780092592592591E-2</v>
      </c>
      <c r="F2318" s="6">
        <f>14213/(60*60*24)</f>
        <v>0.16450231481481481</v>
      </c>
      <c r="G2318" s="7" t="s">
        <v>9</v>
      </c>
    </row>
    <row r="2319" spans="1:7" x14ac:dyDescent="0.45">
      <c r="A2319" t="s">
        <v>2414</v>
      </c>
      <c r="B2319" s="2" t="s">
        <v>68</v>
      </c>
      <c r="C2319" s="3">
        <f>3956/(60*60*24)</f>
        <v>4.5787037037037036E-2</v>
      </c>
      <c r="D2319" s="4">
        <f>1741/(60*60*24)</f>
        <v>2.0150462962962964E-2</v>
      </c>
      <c r="E2319" s="5">
        <f>4129/(60*60*24)</f>
        <v>4.7789351851851854E-2</v>
      </c>
      <c r="F2319" s="6">
        <f>13913/(60*60*24)</f>
        <v>0.1610300925925926</v>
      </c>
      <c r="G2319" s="7" t="s">
        <v>9</v>
      </c>
    </row>
    <row r="2320" spans="1:7" x14ac:dyDescent="0.45">
      <c r="A2320" t="s">
        <v>2415</v>
      </c>
      <c r="B2320" s="2" t="s">
        <v>72</v>
      </c>
      <c r="C2320" s="5">
        <f>3786/(60*60*24)</f>
        <v>4.3819444444444446E-2</v>
      </c>
      <c r="D2320" s="4">
        <f>1274/(60*60*24)</f>
        <v>1.474537037037037E-2</v>
      </c>
      <c r="E2320" s="3">
        <f>3735/(60*60*24)</f>
        <v>4.3229166666666666E-2</v>
      </c>
      <c r="F2320" s="6">
        <f>12922/(60*60*24)</f>
        <v>0.14956018518518518</v>
      </c>
      <c r="G2320" s="7" t="s">
        <v>9</v>
      </c>
    </row>
    <row r="2321" spans="1:7" x14ac:dyDescent="0.45">
      <c r="A2321" t="s">
        <v>2416</v>
      </c>
      <c r="B2321" s="2" t="s">
        <v>70</v>
      </c>
      <c r="C2321" s="8" t="s">
        <v>12</v>
      </c>
      <c r="D2321" s="4">
        <f>1652/(60*60*24)</f>
        <v>1.9120370370370371E-2</v>
      </c>
      <c r="E2321" s="3">
        <f>3993/(60*60*24)</f>
        <v>4.6215277777777779E-2</v>
      </c>
      <c r="F2321" s="5">
        <f>13501/(60*60*24)</f>
        <v>0.15626157407407407</v>
      </c>
      <c r="G2321" s="7" t="s">
        <v>9</v>
      </c>
    </row>
    <row r="2322" spans="1:7" x14ac:dyDescent="0.45">
      <c r="A2322" t="s">
        <v>2417</v>
      </c>
      <c r="B2322" s="2" t="s">
        <v>74</v>
      </c>
      <c r="C2322" s="3">
        <f>3313/(60*60*24)</f>
        <v>3.8344907407407404E-2</v>
      </c>
      <c r="D2322" s="4">
        <f>1493/(60*60*24)</f>
        <v>1.7280092592592593E-2</v>
      </c>
      <c r="E2322" s="5">
        <f>3567/(60*60*24)</f>
        <v>4.1284722222222223E-2</v>
      </c>
      <c r="F2322" s="6">
        <f>12306/(60*60*24)</f>
        <v>0.14243055555555556</v>
      </c>
      <c r="G2322" s="7" t="s">
        <v>9</v>
      </c>
    </row>
    <row r="2323" spans="1:7" x14ac:dyDescent="0.45">
      <c r="A2323" t="s">
        <v>2418</v>
      </c>
      <c r="B2323" s="2" t="s">
        <v>76</v>
      </c>
      <c r="C2323" s="5">
        <f>3743/(60*60*24)</f>
        <v>4.3321759259259261E-2</v>
      </c>
      <c r="D2323" s="4">
        <f>1403/(60*60*24)</f>
        <v>1.6238425925925927E-2</v>
      </c>
      <c r="E2323" s="3">
        <f>3541/(60*60*24)</f>
        <v>4.0983796296296296E-2</v>
      </c>
      <c r="F2323" s="6">
        <f>12033/(60*60*24)</f>
        <v>0.13927083333333334</v>
      </c>
      <c r="G2323" s="7" t="s">
        <v>9</v>
      </c>
    </row>
    <row r="2324" spans="1:7" x14ac:dyDescent="0.45">
      <c r="A2324" t="s">
        <v>2419</v>
      </c>
      <c r="B2324" s="2" t="s">
        <v>78</v>
      </c>
      <c r="C2324" s="3">
        <f>3065/(60*60*24)</f>
        <v>3.5474537037037034E-2</v>
      </c>
      <c r="D2324" s="4">
        <f>1578/(60*60*24)</f>
        <v>1.8263888888888889E-2</v>
      </c>
      <c r="E2324" s="5">
        <f>3295/(60*60*24)</f>
        <v>3.8136574074074073E-2</v>
      </c>
      <c r="F2324" s="6">
        <f>11383/(60*60*24)</f>
        <v>0.13174768518518518</v>
      </c>
      <c r="G2324" s="7" t="s">
        <v>9</v>
      </c>
    </row>
    <row r="2325" spans="1:7" x14ac:dyDescent="0.45">
      <c r="A2325" t="s">
        <v>2420</v>
      </c>
      <c r="B2325" s="2" t="s">
        <v>80</v>
      </c>
      <c r="C2325" s="3">
        <f>2871/(60*60*24)</f>
        <v>3.3229166666666664E-2</v>
      </c>
      <c r="D2325" s="4">
        <f>1641/(60*60*24)</f>
        <v>1.8993055555555555E-2</v>
      </c>
      <c r="E2325" s="5">
        <f>3101/(60*60*24)</f>
        <v>3.5891203703703703E-2</v>
      </c>
      <c r="F2325" s="6">
        <f>10605/(60*60*24)</f>
        <v>0.12274305555555555</v>
      </c>
      <c r="G2325" s="7" t="s">
        <v>9</v>
      </c>
    </row>
    <row r="2326" spans="1:7" x14ac:dyDescent="0.45">
      <c r="A2326" t="s">
        <v>2421</v>
      </c>
      <c r="B2326" s="2" t="s">
        <v>84</v>
      </c>
      <c r="C2326" s="3">
        <f>2806/(60*60*24)</f>
        <v>3.2476851851851854E-2</v>
      </c>
      <c r="D2326" s="4">
        <f>1540/(60*60*24)</f>
        <v>1.7824074074074076E-2</v>
      </c>
      <c r="E2326" s="5">
        <f>2989/(60*60*24)</f>
        <v>3.4594907407407408E-2</v>
      </c>
      <c r="F2326" s="6">
        <f>10334/(60*60*24)</f>
        <v>0.11960648148148148</v>
      </c>
      <c r="G2326" s="7" t="s">
        <v>9</v>
      </c>
    </row>
    <row r="2327" spans="1:7" x14ac:dyDescent="0.45">
      <c r="A2327" t="s">
        <v>2422</v>
      </c>
      <c r="B2327" s="2" t="s">
        <v>82</v>
      </c>
      <c r="C2327" s="5">
        <f>3316/(60*60*24)</f>
        <v>3.8379629629629632E-2</v>
      </c>
      <c r="D2327" s="4">
        <f>1546/(60*60*24)</f>
        <v>1.7893518518518517E-2</v>
      </c>
      <c r="E2327" s="3">
        <f>2945/(60*60*24)</f>
        <v>3.408564814814815E-2</v>
      </c>
      <c r="F2327" s="6">
        <f>9740/(60*60*24)</f>
        <v>0.11273148148148149</v>
      </c>
      <c r="G2327" s="7" t="s">
        <v>9</v>
      </c>
    </row>
    <row r="2328" spans="1:7" x14ac:dyDescent="0.45">
      <c r="A2328" t="s">
        <v>2423</v>
      </c>
      <c r="B2328" s="2" t="s">
        <v>88</v>
      </c>
      <c r="C2328" s="5">
        <f>3316/(60*60*24)</f>
        <v>3.8379629629629632E-2</v>
      </c>
      <c r="D2328" s="4">
        <f>1387/(60*60*24)</f>
        <v>1.6053240740740739E-2</v>
      </c>
      <c r="E2328" s="3">
        <f>2790/(60*60*24)</f>
        <v>3.229166666666667E-2</v>
      </c>
      <c r="F2328" s="6">
        <f>9535/(60*60*24)</f>
        <v>0.1103587962962963</v>
      </c>
      <c r="G2328" s="7" t="s">
        <v>9</v>
      </c>
    </row>
    <row r="2329" spans="1:7" x14ac:dyDescent="0.45">
      <c r="A2329" t="s">
        <v>2424</v>
      </c>
      <c r="B2329" s="2" t="s">
        <v>86</v>
      </c>
      <c r="C2329" s="5">
        <f>3952/(60*60*24)</f>
        <v>4.5740740740740742E-2</v>
      </c>
      <c r="D2329" s="4">
        <f>1441/(60*60*24)</f>
        <v>1.667824074074074E-2</v>
      </c>
      <c r="E2329" s="3">
        <f>2920/(60*60*24)</f>
        <v>3.3796296296296297E-2</v>
      </c>
      <c r="F2329" s="6">
        <f>9350/(60*60*24)</f>
        <v>0.10821759259259259</v>
      </c>
      <c r="G2329" s="7" t="s">
        <v>9</v>
      </c>
    </row>
    <row r="2330" spans="1:7" x14ac:dyDescent="0.45">
      <c r="A2330" t="s">
        <v>2425</v>
      </c>
      <c r="B2330" s="2" t="s">
        <v>90</v>
      </c>
      <c r="C2330" s="5">
        <f>4698/(60*60*24)</f>
        <v>5.4375E-2</v>
      </c>
      <c r="D2330" s="4">
        <f>1244/(60*60*24)</f>
        <v>1.4398148148148148E-2</v>
      </c>
      <c r="E2330" s="3">
        <f>2810/(60*60*24)</f>
        <v>3.2523148148148148E-2</v>
      </c>
      <c r="F2330" s="6">
        <f>9310/(60*60*24)</f>
        <v>0.10775462962962963</v>
      </c>
      <c r="G2330" s="7" t="s">
        <v>9</v>
      </c>
    </row>
    <row r="2331" spans="1:7" x14ac:dyDescent="0.45">
      <c r="A2331" t="s">
        <v>2426</v>
      </c>
      <c r="B2331" s="2" t="s">
        <v>92</v>
      </c>
      <c r="C2331" s="5">
        <f>5276/(60*60*24)</f>
        <v>6.1064814814814815E-2</v>
      </c>
      <c r="D2331" s="4">
        <f>1110/(60*60*24)</f>
        <v>1.2847222222222222E-2</v>
      </c>
      <c r="E2331" s="3">
        <f>2698/(60*60*24)</f>
        <v>3.1226851851851853E-2</v>
      </c>
      <c r="F2331" s="6">
        <f>9045/(60*60*24)</f>
        <v>0.1046875</v>
      </c>
      <c r="G2331" s="7" t="s">
        <v>9</v>
      </c>
    </row>
    <row r="2332" spans="1:7" x14ac:dyDescent="0.45">
      <c r="A2332" t="s">
        <v>2427</v>
      </c>
      <c r="B2332" s="2" t="s">
        <v>94</v>
      </c>
      <c r="C2332" s="5">
        <f>4313/(60*60*24)</f>
        <v>4.9918981481481481E-2</v>
      </c>
      <c r="D2332" s="4">
        <f>995/(60*60*24)</f>
        <v>1.1516203703703704E-2</v>
      </c>
      <c r="E2332" s="3">
        <f>2379/(60*60*24)</f>
        <v>2.7534722222222221E-2</v>
      </c>
      <c r="F2332" s="6">
        <f>8232/(60*60*24)</f>
        <v>9.5277777777777781E-2</v>
      </c>
      <c r="G2332" s="7" t="s">
        <v>9</v>
      </c>
    </row>
    <row r="2333" spans="1:7" x14ac:dyDescent="0.45">
      <c r="A2333" t="s">
        <v>2428</v>
      </c>
      <c r="B2333" s="2" t="s">
        <v>96</v>
      </c>
      <c r="C2333" s="8" t="s">
        <v>12</v>
      </c>
      <c r="D2333" s="4">
        <f>1086/(60*60*24)</f>
        <v>1.2569444444444444E-2</v>
      </c>
      <c r="E2333" s="3">
        <f>2693/(60*60*24)</f>
        <v>3.1168981481481482E-2</v>
      </c>
      <c r="F2333" s="5">
        <f>9143/(60*60*24)</f>
        <v>0.10582175925925925</v>
      </c>
      <c r="G2333" s="7" t="s">
        <v>9</v>
      </c>
    </row>
    <row r="2334" spans="1:7" x14ac:dyDescent="0.45">
      <c r="A2334" t="s">
        <v>2429</v>
      </c>
      <c r="B2334" s="2" t="s">
        <v>98</v>
      </c>
      <c r="C2334" s="5">
        <f>4297/(60*60*24)</f>
        <v>4.9733796296296297E-2</v>
      </c>
      <c r="D2334" s="4">
        <f>995/(60*60*24)</f>
        <v>1.1516203703703704E-2</v>
      </c>
      <c r="E2334" s="3">
        <f>2497/(60*60*24)</f>
        <v>2.8900462962962965E-2</v>
      </c>
      <c r="F2334" s="6">
        <f>8368/(60*60*24)</f>
        <v>9.6851851851851856E-2</v>
      </c>
      <c r="G2334" s="7" t="s">
        <v>9</v>
      </c>
    </row>
    <row r="2335" spans="1:7" x14ac:dyDescent="0.45">
      <c r="A2335" t="s">
        <v>2430</v>
      </c>
      <c r="B2335" s="2" t="s">
        <v>100</v>
      </c>
      <c r="C2335" s="5">
        <f>4289/(60*60*24)</f>
        <v>4.9641203703703701E-2</v>
      </c>
      <c r="D2335" s="4">
        <f>990/(60*60*24)</f>
        <v>1.1458333333333333E-2</v>
      </c>
      <c r="E2335" s="3">
        <f>2261/(60*60*24)</f>
        <v>2.6168981481481481E-2</v>
      </c>
      <c r="F2335" s="6">
        <f>7983/(60*60*24)</f>
        <v>9.239583333333333E-2</v>
      </c>
      <c r="G2335" s="7" t="s">
        <v>9</v>
      </c>
    </row>
    <row r="2336" spans="1:7" x14ac:dyDescent="0.45">
      <c r="A2336" t="s">
        <v>2431</v>
      </c>
      <c r="B2336" s="2" t="s">
        <v>104</v>
      </c>
      <c r="C2336" s="5">
        <f>4291/(60*60*24)</f>
        <v>4.9664351851851848E-2</v>
      </c>
      <c r="D2336" s="4">
        <f>1066/(60*60*24)</f>
        <v>1.2337962962962964E-2</v>
      </c>
      <c r="E2336" s="3">
        <f>2125/(60*60*24)</f>
        <v>2.4594907407407409E-2</v>
      </c>
      <c r="F2336" s="6">
        <f>7718/(60*60*24)</f>
        <v>8.9328703703703702E-2</v>
      </c>
      <c r="G2336" s="7" t="s">
        <v>9</v>
      </c>
    </row>
    <row r="2337" spans="1:7" x14ac:dyDescent="0.45">
      <c r="A2337" t="s">
        <v>2432</v>
      </c>
      <c r="B2337" s="2" t="s">
        <v>102</v>
      </c>
      <c r="C2337" s="8" t="s">
        <v>12</v>
      </c>
      <c r="D2337" s="4">
        <f>1070/(60*60*24)</f>
        <v>1.238425925925926E-2</v>
      </c>
      <c r="E2337" s="3">
        <f>2270/(60*60*24)</f>
        <v>2.627314814814815E-2</v>
      </c>
      <c r="F2337" s="5">
        <f>7910/(60*60*24)</f>
        <v>9.1550925925925924E-2</v>
      </c>
      <c r="G2337" s="7" t="s">
        <v>9</v>
      </c>
    </row>
    <row r="2338" spans="1:7" x14ac:dyDescent="0.45">
      <c r="A2338" t="s">
        <v>2433</v>
      </c>
      <c r="B2338" s="2" t="s">
        <v>106</v>
      </c>
      <c r="C2338" s="8" t="s">
        <v>12</v>
      </c>
      <c r="D2338" s="4">
        <f>1113/(60*60*24)</f>
        <v>1.2881944444444444E-2</v>
      </c>
      <c r="E2338" s="3">
        <f>2439/(60*60*24)</f>
        <v>2.8229166666666666E-2</v>
      </c>
      <c r="F2338" s="5">
        <f>8350/(60*60*24)</f>
        <v>9.6643518518518517E-2</v>
      </c>
      <c r="G2338" s="7" t="s">
        <v>9</v>
      </c>
    </row>
    <row r="2339" spans="1:7" x14ac:dyDescent="0.45">
      <c r="A2339" t="s">
        <v>2434</v>
      </c>
      <c r="B2339" s="2" t="s">
        <v>108</v>
      </c>
      <c r="C2339" s="8" t="s">
        <v>12</v>
      </c>
      <c r="D2339" s="4">
        <f>1066/(60*60*24)</f>
        <v>1.2337962962962964E-2</v>
      </c>
      <c r="E2339" s="3">
        <f>2469/(60*60*24)</f>
        <v>2.8576388888888887E-2</v>
      </c>
      <c r="F2339" s="5">
        <f>8653/(60*60*24)</f>
        <v>0.10015046296296297</v>
      </c>
      <c r="G2339" s="7" t="s">
        <v>9</v>
      </c>
    </row>
    <row r="2340" spans="1:7" x14ac:dyDescent="0.45">
      <c r="A2340" t="s">
        <v>2435</v>
      </c>
      <c r="B2340" s="2" t="s">
        <v>110</v>
      </c>
      <c r="C2340" s="5">
        <f>5139/(60*60*24)</f>
        <v>5.9479166666666666E-2</v>
      </c>
      <c r="D2340" s="4">
        <f>1153/(60*60*24)</f>
        <v>1.3344907407407408E-2</v>
      </c>
      <c r="E2340" s="3">
        <f>2689/(60*60*24)</f>
        <v>3.1122685185185184E-2</v>
      </c>
      <c r="F2340" s="6">
        <f>8905/(60*60*24)</f>
        <v>0.10306712962962963</v>
      </c>
      <c r="G2340" s="7" t="s">
        <v>9</v>
      </c>
    </row>
    <row r="2341" spans="1:7" x14ac:dyDescent="0.45">
      <c r="A2341" t="s">
        <v>2436</v>
      </c>
      <c r="B2341" s="2" t="s">
        <v>112</v>
      </c>
      <c r="C2341" s="5">
        <f>3740/(60*60*24)</f>
        <v>4.3287037037037034E-2</v>
      </c>
      <c r="D2341" s="4">
        <f>1230/(60*60*24)</f>
        <v>1.4236111111111111E-2</v>
      </c>
      <c r="E2341" s="3">
        <f>2718/(60*60*24)</f>
        <v>3.1458333333333331E-2</v>
      </c>
      <c r="F2341" s="6">
        <f>8905/(60*60*24)</f>
        <v>0.10306712962962963</v>
      </c>
      <c r="G2341" s="7" t="s">
        <v>9</v>
      </c>
    </row>
    <row r="2342" spans="1:7" x14ac:dyDescent="0.45">
      <c r="A2342" t="s">
        <v>2437</v>
      </c>
      <c r="B2342" s="2" t="s">
        <v>114</v>
      </c>
      <c r="C2342" s="5">
        <f>3487/(60*60*24)</f>
        <v>4.0358796296296295E-2</v>
      </c>
      <c r="D2342" s="4">
        <f>1361/(60*60*24)</f>
        <v>1.5752314814814816E-2</v>
      </c>
      <c r="E2342" s="3">
        <f>2873/(60*60*24)</f>
        <v>3.3252314814814818E-2</v>
      </c>
      <c r="F2342" s="6">
        <f>9411/(60*60*24)</f>
        <v>0.10892361111111111</v>
      </c>
      <c r="G2342" s="7" t="s">
        <v>9</v>
      </c>
    </row>
    <row r="2343" spans="1:7" x14ac:dyDescent="0.45">
      <c r="A2343" t="s">
        <v>2438</v>
      </c>
      <c r="B2343" s="2" t="s">
        <v>116</v>
      </c>
      <c r="C2343" s="5">
        <f>3891/(60*60*24)</f>
        <v>4.5034722222222219E-2</v>
      </c>
      <c r="D2343" s="4">
        <f>1496/(60*60*24)</f>
        <v>1.7314814814814814E-2</v>
      </c>
      <c r="E2343" s="3">
        <f>3047/(60*60*24)</f>
        <v>3.5266203703703702E-2</v>
      </c>
      <c r="F2343" s="6">
        <f>9857/(60*60*24)</f>
        <v>0.11408564814814814</v>
      </c>
      <c r="G2343" s="7" t="s">
        <v>9</v>
      </c>
    </row>
    <row r="2344" spans="1:7" x14ac:dyDescent="0.45">
      <c r="A2344" t="s">
        <v>2439</v>
      </c>
      <c r="B2344" s="2" t="s">
        <v>118</v>
      </c>
      <c r="C2344" s="5">
        <f>4287/(60*60*24)</f>
        <v>4.9618055555555554E-2</v>
      </c>
      <c r="D2344" s="4">
        <f>1305/(60*60*24)</f>
        <v>1.5104166666666667E-2</v>
      </c>
      <c r="E2344" s="3">
        <f>3144/(60*60*24)</f>
        <v>3.6388888888888887E-2</v>
      </c>
      <c r="F2344" s="6">
        <f>10350/(60*60*24)</f>
        <v>0.11979166666666667</v>
      </c>
      <c r="G2344" s="7" t="s">
        <v>9</v>
      </c>
    </row>
    <row r="2345" spans="1:7" x14ac:dyDescent="0.45">
      <c r="A2345" t="s">
        <v>2440</v>
      </c>
      <c r="B2345" s="2" t="s">
        <v>120</v>
      </c>
      <c r="C2345" s="5">
        <f>4913/(60*60*24)</f>
        <v>5.6863425925925928E-2</v>
      </c>
      <c r="D2345" s="4">
        <f>1458/(60*60*24)</f>
        <v>1.6875000000000001E-2</v>
      </c>
      <c r="E2345" s="3">
        <f>3415/(60*60*24)</f>
        <v>3.9525462962962964E-2</v>
      </c>
      <c r="F2345" s="6">
        <f>10962/(60*60*24)</f>
        <v>0.12687499999999999</v>
      </c>
      <c r="G2345" s="7" t="s">
        <v>9</v>
      </c>
    </row>
    <row r="2346" spans="1:7" x14ac:dyDescent="0.45">
      <c r="A2346" t="s">
        <v>2441</v>
      </c>
      <c r="B2346" s="2" t="s">
        <v>124</v>
      </c>
      <c r="C2346" s="5">
        <f>5041/(60*60*24)</f>
        <v>5.8344907407407408E-2</v>
      </c>
      <c r="D2346" s="4">
        <f>1568/(60*60*24)</f>
        <v>1.8148148148148149E-2</v>
      </c>
      <c r="E2346" s="3">
        <f>3774/(60*60*24)</f>
        <v>4.3680555555555556E-2</v>
      </c>
      <c r="F2346" s="6">
        <f>11445/(60*60*24)</f>
        <v>0.13246527777777778</v>
      </c>
      <c r="G2346" s="7" t="s">
        <v>9</v>
      </c>
    </row>
    <row r="2347" spans="1:7" x14ac:dyDescent="0.45">
      <c r="A2347" t="s">
        <v>2442</v>
      </c>
      <c r="B2347" s="2" t="s">
        <v>122</v>
      </c>
      <c r="C2347" s="8" t="s">
        <v>12</v>
      </c>
      <c r="D2347" s="4">
        <f>2510/(60*60*24)</f>
        <v>2.9050925925925924E-2</v>
      </c>
      <c r="E2347" s="3">
        <f>3915/(60*60*24)</f>
        <v>4.5312499999999999E-2</v>
      </c>
      <c r="F2347" s="5">
        <f>11835/(60*60*24)</f>
        <v>0.13697916666666668</v>
      </c>
      <c r="G2347" s="7" t="s">
        <v>9</v>
      </c>
    </row>
    <row r="2348" spans="1:7" x14ac:dyDescent="0.45">
      <c r="A2348" t="s">
        <v>2443</v>
      </c>
      <c r="B2348" s="2" t="s">
        <v>126</v>
      </c>
      <c r="C2348" s="8" t="s">
        <v>12</v>
      </c>
      <c r="D2348" s="4">
        <f>2795/(60*60*24)</f>
        <v>3.2349537037037038E-2</v>
      </c>
      <c r="E2348" s="3">
        <f>4216/(60*60*24)</f>
        <v>4.8796296296296296E-2</v>
      </c>
      <c r="F2348" s="5">
        <f>12435/(60*60*24)</f>
        <v>0.1439236111111111</v>
      </c>
      <c r="G2348" s="7" t="s">
        <v>9</v>
      </c>
    </row>
    <row r="2349" spans="1:7" x14ac:dyDescent="0.45">
      <c r="A2349" t="s">
        <v>2444</v>
      </c>
      <c r="B2349" s="2" t="s">
        <v>128</v>
      </c>
      <c r="C2349" s="8" t="s">
        <v>12</v>
      </c>
      <c r="D2349" s="4">
        <f>2144/(60*60*24)</f>
        <v>2.4814814814814814E-2</v>
      </c>
      <c r="E2349" s="3">
        <f>4591/(60*60*24)</f>
        <v>5.3136574074074072E-2</v>
      </c>
      <c r="F2349" s="5">
        <f>14264/(60*60*24)</f>
        <v>0.1650925925925926</v>
      </c>
      <c r="G2349" s="7" t="s">
        <v>9</v>
      </c>
    </row>
    <row r="2350" spans="1:7" x14ac:dyDescent="0.45">
      <c r="A2350" t="s">
        <v>2445</v>
      </c>
      <c r="B2350" s="2" t="s">
        <v>130</v>
      </c>
      <c r="C2350" s="8" t="s">
        <v>12</v>
      </c>
      <c r="D2350" s="4">
        <f>2895/(60*60*24)</f>
        <v>3.3506944444444443E-2</v>
      </c>
      <c r="E2350" s="3">
        <f>4433/(60*60*24)</f>
        <v>5.1307870370370372E-2</v>
      </c>
      <c r="F2350" s="5">
        <f>13967/(60*60*24)</f>
        <v>0.16165509259259259</v>
      </c>
      <c r="G2350" s="7" t="s">
        <v>9</v>
      </c>
    </row>
    <row r="2351" spans="1:7" x14ac:dyDescent="0.45">
      <c r="A2351" t="s">
        <v>2446</v>
      </c>
      <c r="B2351" s="2" t="s">
        <v>132</v>
      </c>
      <c r="C2351" s="8" t="s">
        <v>12</v>
      </c>
      <c r="D2351" s="4">
        <f>2248/(60*60*24)</f>
        <v>2.6018518518518517E-2</v>
      </c>
      <c r="E2351" s="3">
        <f>4308/(60*60*24)</f>
        <v>4.9861111111111113E-2</v>
      </c>
      <c r="F2351" s="5">
        <f>13741/(60*60*24)</f>
        <v>0.15903935185185186</v>
      </c>
      <c r="G2351" s="7" t="s">
        <v>9</v>
      </c>
    </row>
    <row r="2352" spans="1:7" x14ac:dyDescent="0.45">
      <c r="A2352" t="s">
        <v>2447</v>
      </c>
      <c r="B2352" s="2" t="s">
        <v>134</v>
      </c>
      <c r="C2352" s="3">
        <f>4318/(60*60*24)</f>
        <v>4.9976851851851849E-2</v>
      </c>
      <c r="D2352" s="4">
        <f>1724/(60*60*24)</f>
        <v>1.9953703703703703E-2</v>
      </c>
      <c r="E2352" s="5">
        <f>4546/(60*60*24)</f>
        <v>5.2615740740740741E-2</v>
      </c>
      <c r="F2352" s="6">
        <f>14866/(60*60*24)</f>
        <v>0.17206018518518518</v>
      </c>
      <c r="G2352" s="7" t="s">
        <v>9</v>
      </c>
    </row>
    <row r="2353" spans="1:7" x14ac:dyDescent="0.45">
      <c r="A2353" t="s">
        <v>2448</v>
      </c>
      <c r="B2353" s="2" t="s">
        <v>136</v>
      </c>
      <c r="C2353" s="8" t="s">
        <v>12</v>
      </c>
      <c r="D2353" s="4">
        <f>1935/(60*60*24)</f>
        <v>2.2395833333333334E-2</v>
      </c>
      <c r="E2353" s="3">
        <f>4773/(60*60*24)</f>
        <v>5.5243055555555552E-2</v>
      </c>
      <c r="F2353" s="5">
        <f>14817/(60*60*24)</f>
        <v>0.17149305555555555</v>
      </c>
      <c r="G2353" s="7" t="s">
        <v>9</v>
      </c>
    </row>
    <row r="2354" spans="1:7" x14ac:dyDescent="0.45">
      <c r="A2354" t="s">
        <v>2449</v>
      </c>
      <c r="B2354" s="2" t="s">
        <v>138</v>
      </c>
      <c r="C2354" s="3">
        <f>4457/(60*60*24)</f>
        <v>5.1585648148148151E-2</v>
      </c>
      <c r="D2354" s="4">
        <f>2187/(60*60*24)</f>
        <v>2.5312500000000002E-2</v>
      </c>
      <c r="E2354" s="5">
        <f>4605/(60*60*24)</f>
        <v>5.3298611111111109E-2</v>
      </c>
      <c r="F2354" s="6">
        <f>16152/(60*60*24)</f>
        <v>0.18694444444444444</v>
      </c>
      <c r="G2354" s="7" t="s">
        <v>9</v>
      </c>
    </row>
    <row r="2355" spans="1:7" x14ac:dyDescent="0.45">
      <c r="A2355" t="s">
        <v>2450</v>
      </c>
      <c r="B2355" s="2" t="s">
        <v>140</v>
      </c>
      <c r="C2355" s="5">
        <f>10513/(60*60*24)</f>
        <v>0.12167824074074074</v>
      </c>
      <c r="D2355" s="4">
        <f>1942/(60*60*24)</f>
        <v>2.2476851851851852E-2</v>
      </c>
      <c r="E2355" s="3">
        <f>5054/(60*60*24)</f>
        <v>5.8495370370370371E-2</v>
      </c>
      <c r="F2355" s="6">
        <f>17119/(60*60*24)</f>
        <v>0.19813657407407406</v>
      </c>
      <c r="G2355" s="7" t="s">
        <v>9</v>
      </c>
    </row>
    <row r="2356" spans="1:7" x14ac:dyDescent="0.45">
      <c r="A2356" t="s">
        <v>2451</v>
      </c>
      <c r="B2356" s="2" t="s">
        <v>142</v>
      </c>
      <c r="C2356" s="5">
        <f>6205/(60*60*24)</f>
        <v>7.1817129629629634E-2</v>
      </c>
      <c r="D2356" s="4">
        <f>2069/(60*60*24)</f>
        <v>2.3946759259259258E-2</v>
      </c>
      <c r="E2356" s="3">
        <f>5263/(60*60*24)</f>
        <v>6.0914351851851851E-2</v>
      </c>
      <c r="F2356" s="6">
        <f>17947/(60*60*24)</f>
        <v>0.20771990740740739</v>
      </c>
      <c r="G2356" s="7" t="s">
        <v>9</v>
      </c>
    </row>
    <row r="2357" spans="1:7" x14ac:dyDescent="0.45">
      <c r="A2357" t="s">
        <v>2452</v>
      </c>
      <c r="B2357" s="2" t="s">
        <v>144</v>
      </c>
      <c r="C2357" s="5">
        <f>6222/(60*60*24)</f>
        <v>7.2013888888888891E-2</v>
      </c>
      <c r="D2357" s="4">
        <f>2083/(60*60*24)</f>
        <v>2.4108796296296295E-2</v>
      </c>
      <c r="E2357" s="3">
        <f>5471/(60*60*24)</f>
        <v>6.3321759259259258E-2</v>
      </c>
      <c r="F2357" s="6">
        <f>18515/(60*60*24)</f>
        <v>0.21429398148148149</v>
      </c>
      <c r="G2357" s="7" t="s">
        <v>9</v>
      </c>
    </row>
    <row r="2358" spans="1:7" x14ac:dyDescent="0.45">
      <c r="A2358" t="s">
        <v>2453</v>
      </c>
      <c r="B2358" s="2" t="s">
        <v>146</v>
      </c>
      <c r="C2358" s="5">
        <f>5869/(60*60*24)</f>
        <v>6.7928240740740747E-2</v>
      </c>
      <c r="D2358" s="4">
        <f>2113/(60*60*24)</f>
        <v>2.4456018518518519E-2</v>
      </c>
      <c r="E2358" s="3">
        <f>5616/(60*60*24)</f>
        <v>6.5000000000000002E-2</v>
      </c>
      <c r="F2358" s="6">
        <f>19187/(60*60*24)</f>
        <v>0.22207175925925926</v>
      </c>
      <c r="G2358" s="7" t="s">
        <v>9</v>
      </c>
    </row>
    <row r="2359" spans="1:7" x14ac:dyDescent="0.45">
      <c r="A2359" t="s">
        <v>2454</v>
      </c>
      <c r="B2359" s="2" t="s">
        <v>148</v>
      </c>
      <c r="C2359" s="3">
        <f>5093/(60*60*24)</f>
        <v>5.8946759259259261E-2</v>
      </c>
      <c r="D2359" s="4">
        <f>2172/(60*60*24)</f>
        <v>2.5138888888888888E-2</v>
      </c>
      <c r="E2359" s="5">
        <f>5734/(60*60*24)</f>
        <v>6.6365740740740739E-2</v>
      </c>
      <c r="F2359" s="6">
        <f>19506/(60*60*24)</f>
        <v>0.22576388888888888</v>
      </c>
      <c r="G2359" s="7" t="s">
        <v>9</v>
      </c>
    </row>
    <row r="2360" spans="1:7" x14ac:dyDescent="0.45">
      <c r="A2360" t="s">
        <v>2455</v>
      </c>
      <c r="B2360" s="2" t="s">
        <v>150</v>
      </c>
      <c r="C2360" s="3">
        <f>5719/(60*60*24)</f>
        <v>6.6192129629629629E-2</v>
      </c>
      <c r="D2360" s="4">
        <f>2233/(60*60*24)</f>
        <v>2.5844907407407407E-2</v>
      </c>
      <c r="E2360" s="5">
        <f>5926/(60*60*24)</f>
        <v>6.8587962962962962E-2</v>
      </c>
      <c r="F2360" s="6">
        <f>20129/(60*60*24)</f>
        <v>0.23297453703703705</v>
      </c>
      <c r="G2360" s="7" t="s">
        <v>9</v>
      </c>
    </row>
    <row r="2361" spans="1:7" x14ac:dyDescent="0.45">
      <c r="A2361" t="s">
        <v>2456</v>
      </c>
      <c r="B2361" s="2" t="s">
        <v>152</v>
      </c>
      <c r="C2361" s="3">
        <f>5528/(60*60*24)</f>
        <v>6.3981481481481486E-2</v>
      </c>
      <c r="D2361" s="4">
        <f>2268/(60*60*24)</f>
        <v>2.6249999999999999E-2</v>
      </c>
      <c r="E2361" s="5">
        <f>6107/(60*60*24)</f>
        <v>7.0682870370370368E-2</v>
      </c>
      <c r="F2361" s="6">
        <f>20819/(60*60*24)</f>
        <v>0.24096064814814816</v>
      </c>
      <c r="G2361" s="7" t="s">
        <v>9</v>
      </c>
    </row>
    <row r="2362" spans="1:7" x14ac:dyDescent="0.45">
      <c r="A2362" t="s">
        <v>2457</v>
      </c>
      <c r="B2362" s="2" t="s">
        <v>154</v>
      </c>
      <c r="C2362" s="3">
        <f>5627/(60*60*24)</f>
        <v>6.5127314814814818E-2</v>
      </c>
      <c r="D2362" s="4">
        <f>2360/(60*60*24)</f>
        <v>2.7314814814814816E-2</v>
      </c>
      <c r="E2362" s="5">
        <f>6305/(60*60*24)</f>
        <v>7.2974537037037032E-2</v>
      </c>
      <c r="F2362" s="6">
        <f>21557/(60*60*24)</f>
        <v>0.2495023148148148</v>
      </c>
      <c r="G2362" s="7" t="s">
        <v>9</v>
      </c>
    </row>
    <row r="2363" spans="1:7" x14ac:dyDescent="0.45">
      <c r="A2363" t="s">
        <v>2458</v>
      </c>
      <c r="B2363" s="2" t="s">
        <v>156</v>
      </c>
      <c r="C2363" s="3">
        <f>6229/(60*60*24)</f>
        <v>7.2094907407407413E-2</v>
      </c>
      <c r="D2363" s="4">
        <f>2374/(60*60*24)</f>
        <v>2.7476851851851853E-2</v>
      </c>
      <c r="E2363" s="5">
        <f>6451/(60*60*24)</f>
        <v>7.4664351851851857E-2</v>
      </c>
      <c r="F2363" s="6">
        <f>22082/(60*60*24)</f>
        <v>0.25557870370370372</v>
      </c>
      <c r="G2363" s="7" t="s">
        <v>9</v>
      </c>
    </row>
    <row r="2364" spans="1:7" x14ac:dyDescent="0.45">
      <c r="A2364" t="s">
        <v>2459</v>
      </c>
      <c r="B2364" s="2" t="s">
        <v>160</v>
      </c>
      <c r="C2364" s="3">
        <f>5674/(60*60*24)</f>
        <v>6.5671296296296297E-2</v>
      </c>
      <c r="D2364" s="4">
        <f>2428/(60*60*24)</f>
        <v>2.8101851851851854E-2</v>
      </c>
      <c r="E2364" s="5">
        <f>6864/(60*60*24)</f>
        <v>7.9444444444444443E-2</v>
      </c>
      <c r="F2364" s="6">
        <f>23455/(60*60*24)</f>
        <v>0.2714699074074074</v>
      </c>
      <c r="G2364" s="7" t="s">
        <v>9</v>
      </c>
    </row>
    <row r="2365" spans="1:7" x14ac:dyDescent="0.45">
      <c r="A2365" t="s">
        <v>2460</v>
      </c>
      <c r="B2365" s="2" t="s">
        <v>158</v>
      </c>
      <c r="C2365" s="3">
        <f>6130/(60*60*24)</f>
        <v>7.0949074074074067E-2</v>
      </c>
      <c r="D2365" s="4">
        <f>2410/(60*60*24)</f>
        <v>2.7893518518518519E-2</v>
      </c>
      <c r="E2365" s="5">
        <f>7014/(60*60*24)</f>
        <v>8.1180555555555561E-2</v>
      </c>
      <c r="F2365" s="6">
        <f>23855/(60*60*24)</f>
        <v>0.27609953703703705</v>
      </c>
      <c r="G2365" s="7" t="s">
        <v>9</v>
      </c>
    </row>
    <row r="2366" spans="1:7" x14ac:dyDescent="0.45">
      <c r="A2366" t="s">
        <v>2461</v>
      </c>
      <c r="B2366" s="2" t="s">
        <v>162</v>
      </c>
      <c r="C2366" s="5">
        <f>9564/(60*60*24)</f>
        <v>0.11069444444444444</v>
      </c>
      <c r="D2366" s="4">
        <f>2665/(60*60*24)</f>
        <v>3.0844907407407408E-2</v>
      </c>
      <c r="E2366" s="3">
        <f>7356/(60*60*24)</f>
        <v>8.5138888888888889E-2</v>
      </c>
      <c r="F2366" s="6">
        <f>24585/(60*60*24)</f>
        <v>0.28454861111111113</v>
      </c>
      <c r="G2366" s="7" t="s">
        <v>9</v>
      </c>
    </row>
    <row r="2367" spans="1:7" x14ac:dyDescent="0.45">
      <c r="A2367" t="s">
        <v>2462</v>
      </c>
      <c r="B2367" s="2" t="s">
        <v>164</v>
      </c>
      <c r="C2367" s="5">
        <f>9494/(60*60*24)</f>
        <v>0.10988425925925926</v>
      </c>
      <c r="D2367" s="4">
        <f>2437/(60*60*24)</f>
        <v>2.8206018518518519E-2</v>
      </c>
      <c r="E2367" s="3">
        <f>7253/(60*60*24)</f>
        <v>8.3946759259259263E-2</v>
      </c>
      <c r="F2367" s="6">
        <f>25392/(60*60*24)</f>
        <v>0.29388888888888887</v>
      </c>
      <c r="G2367" s="7" t="s">
        <v>9</v>
      </c>
    </row>
    <row r="2368" spans="1:7" x14ac:dyDescent="0.45">
      <c r="A2368" t="s">
        <v>2463</v>
      </c>
      <c r="B2368" s="2" t="s">
        <v>168</v>
      </c>
      <c r="C2368" s="8" t="s">
        <v>12</v>
      </c>
      <c r="D2368" s="4">
        <f>2558/(60*60*24)</f>
        <v>2.960648148148148E-2</v>
      </c>
      <c r="E2368" s="3">
        <f>7344/(60*60*24)</f>
        <v>8.5000000000000006E-2</v>
      </c>
      <c r="F2368" s="5">
        <f>26023/(60*60*24)</f>
        <v>0.30119212962962966</v>
      </c>
      <c r="G2368" s="7" t="s">
        <v>9</v>
      </c>
    </row>
    <row r="2369" spans="1:7" x14ac:dyDescent="0.45">
      <c r="A2369" t="s">
        <v>2464</v>
      </c>
      <c r="B2369" s="2" t="s">
        <v>166</v>
      </c>
      <c r="C2369" s="8" t="s">
        <v>12</v>
      </c>
      <c r="D2369" s="4">
        <f>2756/(60*60*24)</f>
        <v>3.1898148148148148E-2</v>
      </c>
      <c r="E2369" s="3">
        <f>7987/(60*60*24)</f>
        <v>9.2442129629629624E-2</v>
      </c>
      <c r="F2369" s="5">
        <f>28699/(60*60*24)</f>
        <v>0.33216435185185184</v>
      </c>
      <c r="G2369" s="7" t="s">
        <v>9</v>
      </c>
    </row>
    <row r="2370" spans="1:7" x14ac:dyDescent="0.45">
      <c r="A2370" t="s">
        <v>2465</v>
      </c>
      <c r="B2370" s="2" t="s">
        <v>170</v>
      </c>
      <c r="C2370" s="5">
        <f>8532/(60*60*24)</f>
        <v>9.8750000000000004E-2</v>
      </c>
      <c r="D2370" s="4">
        <f>2562/(60*60*24)</f>
        <v>2.9652777777777778E-2</v>
      </c>
      <c r="E2370" s="3">
        <f>7464/(60*60*24)</f>
        <v>8.638888888888889E-2</v>
      </c>
      <c r="F2370" s="6">
        <f>28815/(60*60*24)</f>
        <v>0.33350694444444445</v>
      </c>
      <c r="G2370" s="7" t="s">
        <v>9</v>
      </c>
    </row>
    <row r="2371" spans="1:7" x14ac:dyDescent="0.45">
      <c r="A2371" t="s">
        <v>2466</v>
      </c>
      <c r="B2371" s="2" t="s">
        <v>172</v>
      </c>
      <c r="C2371" s="5">
        <f>8973/(60*60*24)</f>
        <v>0.10385416666666666</v>
      </c>
      <c r="D2371" s="4">
        <f>2671/(60*60*24)</f>
        <v>3.0914351851851853E-2</v>
      </c>
      <c r="E2371" s="3">
        <f>7728/(60*60*24)</f>
        <v>8.9444444444444438E-2</v>
      </c>
      <c r="F2371" s="6">
        <f>28650/(60*60*24)</f>
        <v>0.33159722222222221</v>
      </c>
      <c r="G2371" s="7" t="s">
        <v>9</v>
      </c>
    </row>
    <row r="2372" spans="1:7" x14ac:dyDescent="0.45">
      <c r="A2372" t="s">
        <v>2467</v>
      </c>
      <c r="B2372" s="2" t="s">
        <v>174</v>
      </c>
      <c r="C2372" s="5">
        <f>11172/(60*60*24)</f>
        <v>0.12930555555555556</v>
      </c>
      <c r="D2372" s="4">
        <f>2979/(60*60*24)</f>
        <v>3.4479166666666665E-2</v>
      </c>
      <c r="E2372" s="3">
        <f>8291/(60*60*24)</f>
        <v>9.5960648148148142E-2</v>
      </c>
      <c r="F2372" s="6">
        <f>30579/(60*60*24)</f>
        <v>0.35392361111111109</v>
      </c>
      <c r="G2372" s="7" t="s">
        <v>9</v>
      </c>
    </row>
    <row r="2373" spans="1:7" x14ac:dyDescent="0.45">
      <c r="A2373" t="s">
        <v>2468</v>
      </c>
      <c r="B2373" s="2" t="s">
        <v>176</v>
      </c>
      <c r="C2373" s="8" t="s">
        <v>12</v>
      </c>
      <c r="D2373" s="4">
        <f>2914/(60*60*24)</f>
        <v>3.3726851851851855E-2</v>
      </c>
      <c r="E2373" s="3">
        <f>8291/(60*60*24)</f>
        <v>9.5960648148148142E-2</v>
      </c>
      <c r="F2373" s="5">
        <f>30377/(60*60*24)</f>
        <v>0.35158564814814813</v>
      </c>
      <c r="G2373" s="7" t="s">
        <v>9</v>
      </c>
    </row>
    <row r="2374" spans="1:7" x14ac:dyDescent="0.45">
      <c r="A2374" t="s">
        <v>2469</v>
      </c>
      <c r="B2374" s="2" t="s">
        <v>180</v>
      </c>
      <c r="C2374" s="3">
        <f>8519/(60*60*24)</f>
        <v>9.8599537037037041E-2</v>
      </c>
      <c r="D2374" s="4">
        <f>2915/(60*60*24)</f>
        <v>3.3738425925925929E-2</v>
      </c>
      <c r="E2374" s="5">
        <f>8855/(60*60*24)</f>
        <v>0.10248842592592593</v>
      </c>
      <c r="F2374" s="6">
        <f>31383/(60*60*24)</f>
        <v>0.36322916666666666</v>
      </c>
      <c r="G2374" s="7" t="s">
        <v>9</v>
      </c>
    </row>
    <row r="2375" spans="1:7" x14ac:dyDescent="0.45">
      <c r="A2375" t="s">
        <v>2470</v>
      </c>
      <c r="B2375" s="2" t="s">
        <v>178</v>
      </c>
      <c r="C2375" s="3">
        <f>8897/(60*60*24)</f>
        <v>0.10297453703703703</v>
      </c>
      <c r="D2375" s="4">
        <f>3069/(60*60*24)</f>
        <v>3.5520833333333335E-2</v>
      </c>
      <c r="E2375" s="5">
        <f>9151/(60*60*24)</f>
        <v>0.10591435185185186</v>
      </c>
      <c r="F2375" s="6">
        <f>32268/(60*60*24)</f>
        <v>0.37347222222222221</v>
      </c>
      <c r="G2375" s="7" t="s">
        <v>9</v>
      </c>
    </row>
    <row r="2376" spans="1:7" x14ac:dyDescent="0.45">
      <c r="A2376" t="s">
        <v>2471</v>
      </c>
      <c r="B2376" s="2" t="s">
        <v>182</v>
      </c>
      <c r="C2376" s="8" t="s">
        <v>12</v>
      </c>
      <c r="D2376" s="4">
        <f>3347/(60*60*24)</f>
        <v>3.8738425925925926E-2</v>
      </c>
      <c r="E2376" s="3">
        <f>10080/(60*60*24)</f>
        <v>0.11666666666666667</v>
      </c>
      <c r="F2376" s="5">
        <f>33956/(60*60*24)</f>
        <v>0.39300925925925928</v>
      </c>
      <c r="G2376" s="7" t="s">
        <v>9</v>
      </c>
    </row>
    <row r="2377" spans="1:7" x14ac:dyDescent="0.45">
      <c r="A2377" t="s">
        <v>2472</v>
      </c>
      <c r="B2377" s="2" t="s">
        <v>184</v>
      </c>
      <c r="C2377" s="8" t="s">
        <v>12</v>
      </c>
      <c r="D2377" s="4">
        <f>3321/(60*60*24)</f>
        <v>3.8437499999999999E-2</v>
      </c>
      <c r="E2377" s="3">
        <f>10001/(60*60*24)</f>
        <v>0.11575231481481481</v>
      </c>
      <c r="F2377" s="5">
        <f>34199/(60*60*24)</f>
        <v>0.39582175925925928</v>
      </c>
      <c r="G2377" s="7" t="s">
        <v>9</v>
      </c>
    </row>
    <row r="2378" spans="1:7" x14ac:dyDescent="0.45">
      <c r="A2378" t="s">
        <v>2473</v>
      </c>
      <c r="B2378" s="2" t="s">
        <v>11</v>
      </c>
      <c r="C2378" s="3">
        <f>6079/(60*60*24)</f>
        <v>7.0358796296296294E-2</v>
      </c>
      <c r="D2378" s="4">
        <f>2298/(60*60*24)</f>
        <v>2.6597222222222223E-2</v>
      </c>
      <c r="E2378" s="5">
        <f>9089/(60*60*24)</f>
        <v>0.10519675925925925</v>
      </c>
      <c r="F2378" s="6">
        <f>31315/(60*60*24)</f>
        <v>0.36244212962962963</v>
      </c>
      <c r="G2378" s="7" t="s">
        <v>9</v>
      </c>
    </row>
    <row r="2379" spans="1:7" x14ac:dyDescent="0.45">
      <c r="A2379" t="s">
        <v>2474</v>
      </c>
      <c r="B2379" s="2" t="s">
        <v>8</v>
      </c>
      <c r="C2379" s="8" t="s">
        <v>12</v>
      </c>
      <c r="D2379" s="4">
        <f>2281/(60*60*24)</f>
        <v>2.6400462962962962E-2</v>
      </c>
      <c r="E2379" s="3">
        <f>9238/(60*60*24)</f>
        <v>0.10692129629629629</v>
      </c>
      <c r="F2379" s="5">
        <f>31991/(60*60*24)</f>
        <v>0.37026620370370372</v>
      </c>
      <c r="G2379" s="7" t="s">
        <v>9</v>
      </c>
    </row>
    <row r="2380" spans="1:7" x14ac:dyDescent="0.45">
      <c r="A2380" t="s">
        <v>2475</v>
      </c>
      <c r="B2380" s="2" t="s">
        <v>14</v>
      </c>
      <c r="C2380" s="3">
        <f>6172/(60*60*24)</f>
        <v>7.1435185185185185E-2</v>
      </c>
      <c r="D2380" s="4">
        <f>2097/(60*60*24)</f>
        <v>2.4270833333333332E-2</v>
      </c>
      <c r="E2380" s="5">
        <f>9058/(60*60*24)</f>
        <v>0.10483796296296297</v>
      </c>
      <c r="F2380" s="6">
        <f>30620/(60*60*24)</f>
        <v>0.35439814814814813</v>
      </c>
      <c r="G2380" s="7" t="s">
        <v>9</v>
      </c>
    </row>
    <row r="2381" spans="1:7" x14ac:dyDescent="0.45">
      <c r="A2381" t="s">
        <v>2476</v>
      </c>
      <c r="B2381" s="2" t="s">
        <v>16</v>
      </c>
      <c r="C2381" s="3">
        <f>6651/(60*60*24)</f>
        <v>7.6979166666666668E-2</v>
      </c>
      <c r="D2381" s="4">
        <f>2079/(60*60*24)</f>
        <v>2.4062500000000001E-2</v>
      </c>
      <c r="E2381" s="5">
        <f>8686/(60*60*24)</f>
        <v>0.1005324074074074</v>
      </c>
      <c r="F2381" s="6">
        <f>29970/(60*60*24)</f>
        <v>0.34687499999999999</v>
      </c>
      <c r="G2381" s="7" t="s">
        <v>9</v>
      </c>
    </row>
    <row r="2382" spans="1:7" x14ac:dyDescent="0.45">
      <c r="A2382" t="s">
        <v>2477</v>
      </c>
      <c r="B2382" s="2" t="s">
        <v>18</v>
      </c>
      <c r="C2382" s="8" t="s">
        <v>12</v>
      </c>
      <c r="D2382" s="4">
        <f>2115/(60*60*24)</f>
        <v>2.4479166666666666E-2</v>
      </c>
      <c r="E2382" s="3">
        <f>9047/(60*60*24)</f>
        <v>0.10471064814814815</v>
      </c>
      <c r="F2382" s="5">
        <f>30069/(60*60*24)</f>
        <v>0.34802083333333333</v>
      </c>
      <c r="G2382" s="7" t="s">
        <v>9</v>
      </c>
    </row>
    <row r="2383" spans="1:7" x14ac:dyDescent="0.45">
      <c r="A2383" t="s">
        <v>2478</v>
      </c>
      <c r="B2383" s="2" t="s">
        <v>20</v>
      </c>
      <c r="C2383" s="8" t="s">
        <v>12</v>
      </c>
      <c r="D2383" s="4">
        <f>2087/(60*60*24)</f>
        <v>2.4155092592592593E-2</v>
      </c>
      <c r="E2383" s="3">
        <f>8905/(60*60*24)</f>
        <v>0.10306712962962963</v>
      </c>
      <c r="F2383" s="5">
        <f>29045/(60*60*24)</f>
        <v>0.3361689814814815</v>
      </c>
      <c r="G2383" s="7" t="s">
        <v>9</v>
      </c>
    </row>
    <row r="2384" spans="1:7" x14ac:dyDescent="0.45">
      <c r="A2384" t="s">
        <v>2479</v>
      </c>
      <c r="B2384" s="2" t="s">
        <v>22</v>
      </c>
      <c r="C2384" s="8" t="s">
        <v>12</v>
      </c>
      <c r="D2384" s="4">
        <f>1945/(60*60*24)</f>
        <v>2.2511574074074073E-2</v>
      </c>
      <c r="E2384" s="3">
        <f>8444/(60*60*24)</f>
        <v>9.7731481481481475E-2</v>
      </c>
      <c r="F2384" s="5">
        <f>28678/(60*60*24)</f>
        <v>0.3319212962962963</v>
      </c>
      <c r="G2384" s="7" t="s">
        <v>9</v>
      </c>
    </row>
    <row r="2385" spans="1:7" x14ac:dyDescent="0.45">
      <c r="A2385" t="s">
        <v>2480</v>
      </c>
      <c r="B2385" s="2" t="s">
        <v>24</v>
      </c>
      <c r="C2385" s="8" t="s">
        <v>12</v>
      </c>
      <c r="D2385" s="4">
        <f>1820/(60*60*24)</f>
        <v>2.1064814814814814E-2</v>
      </c>
      <c r="E2385" s="3">
        <f>8510/(60*60*24)</f>
        <v>9.8495370370370372E-2</v>
      </c>
      <c r="F2385" s="5">
        <f>28000/(60*60*24)</f>
        <v>0.32407407407407407</v>
      </c>
      <c r="G2385" s="7" t="s">
        <v>9</v>
      </c>
    </row>
    <row r="2386" spans="1:7" x14ac:dyDescent="0.45">
      <c r="A2386" t="s">
        <v>2481</v>
      </c>
      <c r="B2386" s="2" t="s">
        <v>28</v>
      </c>
      <c r="C2386" s="3">
        <f>6933/(60*60*24)</f>
        <v>8.0243055555555554E-2</v>
      </c>
      <c r="D2386" s="4">
        <f>2100/(60*60*24)</f>
        <v>2.4305555555555556E-2</v>
      </c>
      <c r="E2386" s="5">
        <f>8195/(60*60*24)</f>
        <v>9.4849537037037038E-2</v>
      </c>
      <c r="F2386" s="6">
        <f>26559/(60*60*24)</f>
        <v>0.30739583333333331</v>
      </c>
      <c r="G2386" s="7" t="s">
        <v>9</v>
      </c>
    </row>
    <row r="2387" spans="1:7" x14ac:dyDescent="0.45">
      <c r="A2387" t="s">
        <v>2482</v>
      </c>
      <c r="B2387" s="2" t="s">
        <v>26</v>
      </c>
      <c r="C2387" s="8" t="s">
        <v>12</v>
      </c>
      <c r="D2387" s="4">
        <f>1981/(60*60*24)</f>
        <v>2.2928240740740742E-2</v>
      </c>
      <c r="E2387" s="3">
        <f>8328/(60*60*24)</f>
        <v>9.6388888888888885E-2</v>
      </c>
      <c r="F2387" s="5">
        <f>27223/(60*60*24)</f>
        <v>0.3150810185185185</v>
      </c>
      <c r="G2387" s="7" t="s">
        <v>9</v>
      </c>
    </row>
    <row r="2388" spans="1:7" x14ac:dyDescent="0.45">
      <c r="A2388" t="s">
        <v>2483</v>
      </c>
      <c r="B2388" s="2" t="s">
        <v>30</v>
      </c>
      <c r="C2388" s="3">
        <f>6940/(60*60*24)</f>
        <v>8.0324074074074076E-2</v>
      </c>
      <c r="D2388" s="4">
        <f>2049/(60*60*24)</f>
        <v>2.3715277777777776E-2</v>
      </c>
      <c r="E2388" s="5">
        <f>7878/(60*60*24)</f>
        <v>9.1180555555555556E-2</v>
      </c>
      <c r="F2388" s="6">
        <f>25957/(60*60*24)</f>
        <v>0.30042824074074076</v>
      </c>
      <c r="G2388" s="7" t="s">
        <v>9</v>
      </c>
    </row>
    <row r="2389" spans="1:7" x14ac:dyDescent="0.45">
      <c r="A2389" t="s">
        <v>2484</v>
      </c>
      <c r="B2389" s="2" t="s">
        <v>32</v>
      </c>
      <c r="C2389" s="8" t="s">
        <v>12</v>
      </c>
      <c r="D2389" s="4">
        <f>2102/(60*60*24)</f>
        <v>2.4328703703703703E-2</v>
      </c>
      <c r="E2389" s="3">
        <f>7755/(60*60*24)</f>
        <v>8.9756944444444445E-2</v>
      </c>
      <c r="F2389" s="5">
        <f>25298/(60*60*24)</f>
        <v>0.29280092592592594</v>
      </c>
      <c r="G2389" s="7" t="s">
        <v>9</v>
      </c>
    </row>
    <row r="2390" spans="1:7" x14ac:dyDescent="0.45">
      <c r="A2390" t="s">
        <v>2485</v>
      </c>
      <c r="B2390" s="2" t="s">
        <v>36</v>
      </c>
      <c r="C2390" s="3">
        <f>6421/(60*60*24)</f>
        <v>7.4317129629629636E-2</v>
      </c>
      <c r="D2390" s="4">
        <f>2014/(60*60*24)</f>
        <v>2.3310185185185184E-2</v>
      </c>
      <c r="E2390" s="5">
        <f>7550/(60*60*24)</f>
        <v>8.7384259259259259E-2</v>
      </c>
      <c r="F2390" s="6">
        <f>24210/(60*60*24)</f>
        <v>0.28020833333333334</v>
      </c>
      <c r="G2390" s="7" t="s">
        <v>9</v>
      </c>
    </row>
    <row r="2391" spans="1:7" x14ac:dyDescent="0.45">
      <c r="A2391" t="s">
        <v>2486</v>
      </c>
      <c r="B2391" s="2" t="s">
        <v>34</v>
      </c>
      <c r="C2391" s="3">
        <f>5818/(60*60*24)</f>
        <v>6.7337962962962961E-2</v>
      </c>
      <c r="D2391" s="4">
        <f>2450/(60*60*24)</f>
        <v>2.8356481481481483E-2</v>
      </c>
      <c r="E2391" s="5">
        <f>7390/(60*60*24)</f>
        <v>8.5532407407407404E-2</v>
      </c>
      <c r="F2391" s="6">
        <f>23551/(60*60*24)</f>
        <v>0.27258101851851851</v>
      </c>
      <c r="G2391" s="7" t="s">
        <v>9</v>
      </c>
    </row>
    <row r="2392" spans="1:7" x14ac:dyDescent="0.45">
      <c r="A2392" t="s">
        <v>2487</v>
      </c>
      <c r="B2392" s="2" t="s">
        <v>38</v>
      </c>
      <c r="C2392" s="3">
        <f>5553/(60*60*24)</f>
        <v>6.4270833333333333E-2</v>
      </c>
      <c r="D2392" s="4">
        <f>2254/(60*60*24)</f>
        <v>2.6087962962962962E-2</v>
      </c>
      <c r="E2392" s="5">
        <f>6955/(60*60*24)</f>
        <v>8.0497685185185186E-2</v>
      </c>
      <c r="F2392" s="6">
        <f>22982/(60*60*24)</f>
        <v>0.26599537037037035</v>
      </c>
      <c r="G2392" s="7" t="s">
        <v>9</v>
      </c>
    </row>
    <row r="2393" spans="1:7" x14ac:dyDescent="0.45">
      <c r="A2393" t="s">
        <v>2488</v>
      </c>
      <c r="B2393" s="2" t="s">
        <v>40</v>
      </c>
      <c r="C2393" s="3">
        <f>5932/(60*60*24)</f>
        <v>6.8657407407407403E-2</v>
      </c>
      <c r="D2393" s="4">
        <f>2512/(60*60*24)</f>
        <v>2.9074074074074075E-2</v>
      </c>
      <c r="E2393" s="5">
        <f>6966/(60*60*24)</f>
        <v>8.0625000000000002E-2</v>
      </c>
      <c r="F2393" s="6">
        <f>22475/(60*60*24)</f>
        <v>0.26012731481481483</v>
      </c>
      <c r="G2393" s="7" t="s">
        <v>9</v>
      </c>
    </row>
    <row r="2394" spans="1:7" x14ac:dyDescent="0.45">
      <c r="A2394" t="s">
        <v>2489</v>
      </c>
      <c r="B2394" s="2" t="s">
        <v>44</v>
      </c>
      <c r="C2394" s="3">
        <f>6103/(60*60*24)</f>
        <v>7.0636574074074074E-2</v>
      </c>
      <c r="D2394" s="4">
        <f>2634/(60*60*24)</f>
        <v>3.048611111111111E-2</v>
      </c>
      <c r="E2394" s="5">
        <f>6716/(60*60*24)</f>
        <v>7.7731481481481485E-2</v>
      </c>
      <c r="F2394" s="6">
        <f>21632/(60*60*24)</f>
        <v>0.25037037037037035</v>
      </c>
      <c r="G2394" s="7" t="s">
        <v>9</v>
      </c>
    </row>
    <row r="2395" spans="1:7" x14ac:dyDescent="0.45">
      <c r="A2395" t="s">
        <v>2490</v>
      </c>
      <c r="B2395" s="2" t="s">
        <v>42</v>
      </c>
      <c r="C2395" s="8" t="s">
        <v>12</v>
      </c>
      <c r="D2395" s="4">
        <f>2462/(60*60*24)</f>
        <v>2.8495370370370369E-2</v>
      </c>
      <c r="E2395" s="3">
        <f>6458/(60*60*24)</f>
        <v>7.4745370370370365E-2</v>
      </c>
      <c r="F2395" s="5">
        <f>21228/(60*60*24)</f>
        <v>0.24569444444444444</v>
      </c>
      <c r="G2395" s="7" t="s">
        <v>9</v>
      </c>
    </row>
    <row r="2396" spans="1:7" x14ac:dyDescent="0.45">
      <c r="A2396" t="s">
        <v>2491</v>
      </c>
      <c r="B2396" s="2" t="s">
        <v>48</v>
      </c>
      <c r="C2396" s="5">
        <f>6306/(60*60*24)</f>
        <v>7.2986111111111113E-2</v>
      </c>
      <c r="D2396" s="4">
        <f>2571/(60*60*24)</f>
        <v>2.9756944444444444E-2</v>
      </c>
      <c r="E2396" s="3">
        <f>6134/(60*60*24)</f>
        <v>7.0995370370370375E-2</v>
      </c>
      <c r="F2396" s="6">
        <f>19798/(60*60*24)</f>
        <v>0.22914351851851852</v>
      </c>
      <c r="G2396" s="7" t="s">
        <v>9</v>
      </c>
    </row>
    <row r="2397" spans="1:7" x14ac:dyDescent="0.45">
      <c r="A2397" t="s">
        <v>2492</v>
      </c>
      <c r="B2397" s="2" t="s">
        <v>46</v>
      </c>
      <c r="C2397" s="8" t="s">
        <v>12</v>
      </c>
      <c r="D2397" s="4">
        <f>2418/(60*60*24)</f>
        <v>2.7986111111111111E-2</v>
      </c>
      <c r="E2397" s="3">
        <f>6335/(60*60*24)</f>
        <v>7.3321759259259253E-2</v>
      </c>
      <c r="F2397" s="5">
        <f>20450/(60*60*24)</f>
        <v>0.23668981481481483</v>
      </c>
      <c r="G2397" s="7" t="s">
        <v>9</v>
      </c>
    </row>
    <row r="2398" spans="1:7" x14ac:dyDescent="0.45">
      <c r="A2398" t="s">
        <v>2493</v>
      </c>
      <c r="B2398" s="2" t="s">
        <v>52</v>
      </c>
      <c r="C2398" s="3">
        <f>4707/(60*60*24)</f>
        <v>5.4479166666666669E-2</v>
      </c>
      <c r="D2398" s="4">
        <f>2533/(60*60*24)</f>
        <v>2.931712962962963E-2</v>
      </c>
      <c r="E2398" s="5">
        <f>5788/(60*60*24)</f>
        <v>6.699074074074074E-2</v>
      </c>
      <c r="F2398" s="6">
        <f>18619/(60*60*24)</f>
        <v>0.21549768518518519</v>
      </c>
      <c r="G2398" s="7" t="s">
        <v>9</v>
      </c>
    </row>
    <row r="2399" spans="1:7" x14ac:dyDescent="0.45">
      <c r="A2399" t="s">
        <v>2494</v>
      </c>
      <c r="B2399" s="2" t="s">
        <v>50</v>
      </c>
      <c r="C2399" s="8" t="s">
        <v>12</v>
      </c>
      <c r="D2399" s="4">
        <f>2490/(60*60*24)</f>
        <v>2.8819444444444446E-2</v>
      </c>
      <c r="E2399" s="3">
        <f>5897/(60*60*24)</f>
        <v>6.8252314814814821E-2</v>
      </c>
      <c r="F2399" s="5">
        <f>19228/(60*60*24)</f>
        <v>0.2225462962962963</v>
      </c>
      <c r="G2399" s="7" t="s">
        <v>9</v>
      </c>
    </row>
    <row r="2400" spans="1:7" x14ac:dyDescent="0.45">
      <c r="A2400" t="s">
        <v>2495</v>
      </c>
      <c r="B2400" s="2" t="s">
        <v>54</v>
      </c>
      <c r="C2400" s="3">
        <f>4601/(60*60*24)</f>
        <v>5.3252314814814815E-2</v>
      </c>
      <c r="D2400" s="4">
        <f>2441/(60*60*24)</f>
        <v>2.8252314814814813E-2</v>
      </c>
      <c r="E2400" s="5">
        <f>5587/(60*60*24)</f>
        <v>6.4664351851851848E-2</v>
      </c>
      <c r="F2400" s="6">
        <f>17928/(60*60*24)</f>
        <v>0.20749999999999999</v>
      </c>
      <c r="G2400" s="7" t="s">
        <v>9</v>
      </c>
    </row>
    <row r="2401" spans="1:7" x14ac:dyDescent="0.45">
      <c r="A2401" t="s">
        <v>2496</v>
      </c>
      <c r="B2401" s="2" t="s">
        <v>56</v>
      </c>
      <c r="C2401" s="3">
        <f>4719/(60*60*24)</f>
        <v>5.4618055555555559E-2</v>
      </c>
      <c r="D2401" s="4">
        <f>2422/(60*60*24)</f>
        <v>2.8032407407407409E-2</v>
      </c>
      <c r="E2401" s="5">
        <f>5478/(60*60*24)</f>
        <v>6.340277777777778E-2</v>
      </c>
      <c r="F2401" s="6">
        <f>17695/(60*60*24)</f>
        <v>0.20480324074074074</v>
      </c>
      <c r="G2401" s="7" t="s">
        <v>9</v>
      </c>
    </row>
    <row r="2402" spans="1:7" x14ac:dyDescent="0.45">
      <c r="A2402" t="s">
        <v>2497</v>
      </c>
      <c r="B2402" s="2" t="s">
        <v>58</v>
      </c>
      <c r="C2402" s="3">
        <f>4374/(60*60*24)</f>
        <v>5.0625000000000003E-2</v>
      </c>
      <c r="D2402" s="4">
        <f>2358/(60*60*24)</f>
        <v>2.7291666666666665E-2</v>
      </c>
      <c r="E2402" s="5">
        <f>5293/(60*60*24)</f>
        <v>6.1261574074074072E-2</v>
      </c>
      <c r="F2402" s="6">
        <f>17016/(60*60*24)</f>
        <v>0.19694444444444445</v>
      </c>
      <c r="G2402" s="7" t="s">
        <v>9</v>
      </c>
    </row>
    <row r="2403" spans="1:7" x14ac:dyDescent="0.45">
      <c r="A2403" t="s">
        <v>2498</v>
      </c>
      <c r="B2403" s="2" t="s">
        <v>60</v>
      </c>
      <c r="C2403" s="3">
        <f>4006/(60*60*24)</f>
        <v>4.6365740740740742E-2</v>
      </c>
      <c r="D2403" s="4">
        <f>2294/(60*60*24)</f>
        <v>2.6550925925925926E-2</v>
      </c>
      <c r="E2403" s="5">
        <f>5113/(60*60*24)</f>
        <v>5.917824074074074E-2</v>
      </c>
      <c r="F2403" s="6">
        <f>16453/(60*60*24)</f>
        <v>0.19042824074074075</v>
      </c>
      <c r="G2403" s="7" t="s">
        <v>9</v>
      </c>
    </row>
    <row r="2404" spans="1:7" x14ac:dyDescent="0.45">
      <c r="A2404" t="s">
        <v>2499</v>
      </c>
      <c r="B2404" s="2" t="s">
        <v>62</v>
      </c>
      <c r="C2404" s="3">
        <f>4288/(60*60*24)</f>
        <v>4.9629629629629628E-2</v>
      </c>
      <c r="D2404" s="4">
        <f>2348/(60*60*24)</f>
        <v>2.7175925925925926E-2</v>
      </c>
      <c r="E2404" s="5">
        <f>4929/(60*60*24)</f>
        <v>5.7048611111111112E-2</v>
      </c>
      <c r="F2404" s="6">
        <f>15911/(60*60*24)</f>
        <v>0.18415509259259261</v>
      </c>
      <c r="G2404" s="7" t="s">
        <v>9</v>
      </c>
    </row>
    <row r="2405" spans="1:7" x14ac:dyDescent="0.45">
      <c r="A2405" t="s">
        <v>2500</v>
      </c>
      <c r="B2405" s="2" t="s">
        <v>64</v>
      </c>
      <c r="C2405" s="3">
        <f>3915/(60*60*24)</f>
        <v>4.5312499999999999E-2</v>
      </c>
      <c r="D2405" s="4">
        <f>1882/(60*60*24)</f>
        <v>2.1782407407407407E-2</v>
      </c>
      <c r="E2405" s="5">
        <f>4534/(60*60*24)</f>
        <v>5.2476851851851851E-2</v>
      </c>
      <c r="F2405" s="6">
        <f>15224/(60*60*24)</f>
        <v>0.1762037037037037</v>
      </c>
      <c r="G2405" s="7" t="s">
        <v>9</v>
      </c>
    </row>
    <row r="2406" spans="1:7" x14ac:dyDescent="0.45">
      <c r="A2406" t="s">
        <v>2501</v>
      </c>
      <c r="B2406" s="2" t="s">
        <v>66</v>
      </c>
      <c r="C2406" s="3">
        <f>4038/(60*60*24)</f>
        <v>4.673611111111111E-2</v>
      </c>
      <c r="D2406" s="4">
        <f>2134/(60*60*24)</f>
        <v>2.4699074074074075E-2</v>
      </c>
      <c r="E2406" s="5">
        <f>4672/(60*60*24)</f>
        <v>5.4074074074074073E-2</v>
      </c>
      <c r="F2406" s="6">
        <f>14801/(60*60*24)</f>
        <v>0.17130787037037037</v>
      </c>
      <c r="G2406" s="7" t="s">
        <v>9</v>
      </c>
    </row>
    <row r="2407" spans="1:7" x14ac:dyDescent="0.45">
      <c r="A2407" t="s">
        <v>2502</v>
      </c>
      <c r="B2407" s="2" t="s">
        <v>68</v>
      </c>
      <c r="C2407" s="8" t="s">
        <v>12</v>
      </c>
      <c r="D2407" s="4">
        <f>2100/(60*60*24)</f>
        <v>2.4305555555555556E-2</v>
      </c>
      <c r="E2407" s="3">
        <f>4302/(60*60*24)</f>
        <v>4.9791666666666665E-2</v>
      </c>
      <c r="F2407" s="5">
        <f>14336/(60*60*24)</f>
        <v>0.16592592592592592</v>
      </c>
      <c r="G2407" s="7" t="s">
        <v>9</v>
      </c>
    </row>
    <row r="2408" spans="1:7" x14ac:dyDescent="0.45">
      <c r="A2408" t="s">
        <v>2503</v>
      </c>
      <c r="B2408" s="2" t="s">
        <v>72</v>
      </c>
      <c r="C2408" s="5">
        <f>4503/(60*60*24)</f>
        <v>5.2118055555555556E-2</v>
      </c>
      <c r="D2408" s="4">
        <f>1358/(60*60*24)</f>
        <v>1.5717592592592592E-2</v>
      </c>
      <c r="E2408" s="3">
        <f>4022/(60*60*24)</f>
        <v>4.6550925925925926E-2</v>
      </c>
      <c r="F2408" s="6">
        <f>13529/(60*60*24)</f>
        <v>0.15658564814814815</v>
      </c>
      <c r="G2408" s="7" t="s">
        <v>9</v>
      </c>
    </row>
    <row r="2409" spans="1:7" x14ac:dyDescent="0.45">
      <c r="A2409" t="s">
        <v>2504</v>
      </c>
      <c r="B2409" s="2" t="s">
        <v>70</v>
      </c>
      <c r="C2409" s="8" t="s">
        <v>12</v>
      </c>
      <c r="D2409" s="4">
        <f>2100/(60*60*24)</f>
        <v>2.4305555555555556E-2</v>
      </c>
      <c r="E2409" s="3">
        <f>3953/(60*60*24)</f>
        <v>4.5752314814814815E-2</v>
      </c>
      <c r="F2409" s="5">
        <f>13770/(60*60*24)</f>
        <v>0.15937499999999999</v>
      </c>
      <c r="G2409" s="7" t="s">
        <v>9</v>
      </c>
    </row>
    <row r="2410" spans="1:7" x14ac:dyDescent="0.45">
      <c r="A2410" t="s">
        <v>2505</v>
      </c>
      <c r="B2410" s="2" t="s">
        <v>74</v>
      </c>
      <c r="C2410" s="3">
        <f>3582/(60*60*24)</f>
        <v>4.1458333333333333E-2</v>
      </c>
      <c r="D2410" s="4">
        <f>1529/(60*60*24)</f>
        <v>1.7696759259259259E-2</v>
      </c>
      <c r="E2410" s="5">
        <f>3791/(60*60*24)</f>
        <v>4.3877314814814813E-2</v>
      </c>
      <c r="F2410" s="6">
        <f>12899/(60*60*24)</f>
        <v>0.14929398148148149</v>
      </c>
      <c r="G2410" s="7" t="s">
        <v>9</v>
      </c>
    </row>
    <row r="2411" spans="1:7" x14ac:dyDescent="0.45">
      <c r="A2411" t="s">
        <v>2506</v>
      </c>
      <c r="B2411" s="2" t="s">
        <v>76</v>
      </c>
      <c r="C2411" s="5">
        <f>3701/(60*60*24)</f>
        <v>4.283564814814815E-2</v>
      </c>
      <c r="D2411" s="4">
        <f>1447/(60*60*24)</f>
        <v>1.6747685185185185E-2</v>
      </c>
      <c r="E2411" s="3">
        <f>3638/(60*60*24)</f>
        <v>4.2106481481481481E-2</v>
      </c>
      <c r="F2411" s="6">
        <f>12419/(60*60*24)</f>
        <v>0.14373842592592592</v>
      </c>
      <c r="G2411" s="7" t="s">
        <v>9</v>
      </c>
    </row>
    <row r="2412" spans="1:7" x14ac:dyDescent="0.45">
      <c r="A2412" t="s">
        <v>2507</v>
      </c>
      <c r="B2412" s="2" t="s">
        <v>78</v>
      </c>
      <c r="C2412" s="5">
        <f>3682/(60*60*24)</f>
        <v>4.2615740740740739E-2</v>
      </c>
      <c r="D2412" s="4">
        <f>1491/(60*60*24)</f>
        <v>1.7256944444444443E-2</v>
      </c>
      <c r="E2412" s="3">
        <f>3366/(60*60*24)</f>
        <v>3.8958333333333331E-2</v>
      </c>
      <c r="F2412" s="6">
        <f>11664/(60*60*24)</f>
        <v>0.13500000000000001</v>
      </c>
      <c r="G2412" s="7" t="s">
        <v>9</v>
      </c>
    </row>
    <row r="2413" spans="1:7" x14ac:dyDescent="0.45">
      <c r="A2413" t="s">
        <v>2508</v>
      </c>
      <c r="B2413" s="2" t="s">
        <v>80</v>
      </c>
      <c r="C2413" s="5">
        <f>3617/(60*60*24)</f>
        <v>4.1863425925925929E-2</v>
      </c>
      <c r="D2413" s="4">
        <f>1570/(60*60*24)</f>
        <v>1.8171296296296297E-2</v>
      </c>
      <c r="E2413" s="3">
        <f>3202/(60*60*24)</f>
        <v>3.7060185185185182E-2</v>
      </c>
      <c r="F2413" s="6">
        <f>10992/(60*60*24)</f>
        <v>0.12722222222222221</v>
      </c>
      <c r="G2413" s="7" t="s">
        <v>9</v>
      </c>
    </row>
    <row r="2414" spans="1:7" x14ac:dyDescent="0.45">
      <c r="A2414" t="s">
        <v>2509</v>
      </c>
      <c r="B2414" s="2" t="s">
        <v>84</v>
      </c>
      <c r="C2414" s="3">
        <f>3032/(60*60*24)</f>
        <v>3.5092592592592592E-2</v>
      </c>
      <c r="D2414" s="4">
        <f>1420/(60*60*24)</f>
        <v>1.6435185185185185E-2</v>
      </c>
      <c r="E2414" s="5">
        <f>3173/(60*60*24)</f>
        <v>3.6724537037037035E-2</v>
      </c>
      <c r="F2414" s="6">
        <f>11017/(60*60*24)</f>
        <v>0.12751157407407407</v>
      </c>
      <c r="G2414" s="7" t="s">
        <v>9</v>
      </c>
    </row>
    <row r="2415" spans="1:7" x14ac:dyDescent="0.45">
      <c r="A2415" t="s">
        <v>2510</v>
      </c>
      <c r="B2415" s="2" t="s">
        <v>82</v>
      </c>
      <c r="C2415" s="3">
        <f>3015/(60*60*24)</f>
        <v>3.4895833333333334E-2</v>
      </c>
      <c r="D2415" s="4">
        <f>1578/(60*60*24)</f>
        <v>1.8263888888888889E-2</v>
      </c>
      <c r="E2415" s="5">
        <f>3144/(60*60*24)</f>
        <v>3.6388888888888887E-2</v>
      </c>
      <c r="F2415" s="6">
        <f>10449/(60*60*24)</f>
        <v>0.1209375</v>
      </c>
      <c r="G2415" s="7" t="s">
        <v>9</v>
      </c>
    </row>
    <row r="2416" spans="1:7" x14ac:dyDescent="0.45">
      <c r="A2416" t="s">
        <v>2511</v>
      </c>
      <c r="B2416" s="2" t="s">
        <v>88</v>
      </c>
      <c r="C2416" s="5">
        <f>3457/(60*60*24)</f>
        <v>4.0011574074074074E-2</v>
      </c>
      <c r="D2416" s="4">
        <f>1425/(60*60*24)</f>
        <v>1.6493055555555556E-2</v>
      </c>
      <c r="E2416" s="3">
        <f>2938/(60*60*24)</f>
        <v>3.4004629629629628E-2</v>
      </c>
      <c r="F2416" s="6">
        <f>10173/(60*60*24)</f>
        <v>0.11774305555555556</v>
      </c>
      <c r="G2416" s="7" t="s">
        <v>9</v>
      </c>
    </row>
    <row r="2417" spans="1:7" x14ac:dyDescent="0.45">
      <c r="A2417" t="s">
        <v>2512</v>
      </c>
      <c r="B2417" s="2" t="s">
        <v>86</v>
      </c>
      <c r="C2417" s="5">
        <f>3976/(60*60*24)</f>
        <v>4.6018518518518521E-2</v>
      </c>
      <c r="D2417" s="4">
        <f>1374/(60*60*24)</f>
        <v>1.5902777777777776E-2</v>
      </c>
      <c r="E2417" s="3">
        <f>3091/(60*60*24)</f>
        <v>3.577546296296296E-2</v>
      </c>
      <c r="F2417" s="6">
        <f>10069/(60*60*24)</f>
        <v>0.11653935185185185</v>
      </c>
      <c r="G2417" s="7" t="s">
        <v>9</v>
      </c>
    </row>
    <row r="2418" spans="1:7" x14ac:dyDescent="0.45">
      <c r="A2418" t="s">
        <v>2513</v>
      </c>
      <c r="B2418" s="2" t="s">
        <v>90</v>
      </c>
      <c r="C2418" s="5">
        <f>4291/(60*60*24)</f>
        <v>4.9664351851851848E-2</v>
      </c>
      <c r="D2418" s="4">
        <f>1250/(60*60*24)</f>
        <v>1.4467592592592593E-2</v>
      </c>
      <c r="E2418" s="3">
        <f>2949/(60*60*24)</f>
        <v>3.4131944444444444E-2</v>
      </c>
      <c r="F2418" s="6">
        <f>10200/(60*60*24)</f>
        <v>0.11805555555555555</v>
      </c>
      <c r="G2418" s="7" t="s">
        <v>9</v>
      </c>
    </row>
    <row r="2419" spans="1:7" x14ac:dyDescent="0.45">
      <c r="A2419" t="s">
        <v>2514</v>
      </c>
      <c r="B2419" s="2" t="s">
        <v>92</v>
      </c>
      <c r="C2419" s="5">
        <f>3737/(60*60*24)</f>
        <v>4.3252314814814813E-2</v>
      </c>
      <c r="D2419" s="4">
        <f>1028/(60*60*24)</f>
        <v>1.1898148148148149E-2</v>
      </c>
      <c r="E2419" s="3">
        <f>2738/(60*60*24)</f>
        <v>3.1689814814814816E-2</v>
      </c>
      <c r="F2419" s="6">
        <f>9528/(60*60*24)</f>
        <v>0.11027777777777778</v>
      </c>
      <c r="G2419" s="7" t="s">
        <v>9</v>
      </c>
    </row>
    <row r="2420" spans="1:7" x14ac:dyDescent="0.45">
      <c r="A2420" t="s">
        <v>2515</v>
      </c>
      <c r="B2420" s="2" t="s">
        <v>94</v>
      </c>
      <c r="C2420" s="5">
        <f>3611/(60*60*24)</f>
        <v>4.1793981481481481E-2</v>
      </c>
      <c r="D2420" s="4">
        <f>1028/(60*60*24)</f>
        <v>1.1898148148148149E-2</v>
      </c>
      <c r="E2420" s="3">
        <f>2652/(60*60*24)</f>
        <v>3.0694444444444444E-2</v>
      </c>
      <c r="F2420" s="6">
        <f>9215/(60*60*24)</f>
        <v>0.10665509259259259</v>
      </c>
      <c r="G2420" s="7" t="s">
        <v>9</v>
      </c>
    </row>
    <row r="2421" spans="1:7" x14ac:dyDescent="0.45">
      <c r="A2421" t="s">
        <v>2516</v>
      </c>
      <c r="B2421" s="2" t="s">
        <v>96</v>
      </c>
      <c r="C2421" s="5">
        <f>4683/(60*60*24)</f>
        <v>5.4201388888888889E-2</v>
      </c>
      <c r="D2421" s="4">
        <f>1073/(60*60*24)</f>
        <v>1.2418981481481482E-2</v>
      </c>
      <c r="E2421" s="3">
        <f>2588/(60*60*24)</f>
        <v>2.9953703703703705E-2</v>
      </c>
      <c r="F2421" s="6">
        <f>8921/(60*60*24)</f>
        <v>0.10325231481481481</v>
      </c>
      <c r="G2421" s="7" t="s">
        <v>9</v>
      </c>
    </row>
    <row r="2422" spans="1:7" x14ac:dyDescent="0.45">
      <c r="A2422" t="s">
        <v>2517</v>
      </c>
      <c r="B2422" s="2" t="s">
        <v>98</v>
      </c>
      <c r="C2422" s="5">
        <f>3957/(60*60*24)</f>
        <v>4.5798611111111109E-2</v>
      </c>
      <c r="D2422" s="4">
        <f>1003/(60*60*24)</f>
        <v>1.1608796296296296E-2</v>
      </c>
      <c r="E2422" s="3">
        <f>2386/(60*60*24)</f>
        <v>2.7615740740740739E-2</v>
      </c>
      <c r="F2422" s="6">
        <f>8845/(60*60*24)</f>
        <v>0.10237268518518519</v>
      </c>
      <c r="G2422" s="7" t="s">
        <v>9</v>
      </c>
    </row>
    <row r="2423" spans="1:7" x14ac:dyDescent="0.45">
      <c r="A2423" t="s">
        <v>2518</v>
      </c>
      <c r="B2423" s="2" t="s">
        <v>100</v>
      </c>
      <c r="C2423" s="5">
        <f>4360/(60*60*24)</f>
        <v>5.0462962962962966E-2</v>
      </c>
      <c r="D2423" s="4">
        <f>1128/(60*60*24)</f>
        <v>1.3055555555555556E-2</v>
      </c>
      <c r="E2423" s="3">
        <f>2594/(60*60*24)</f>
        <v>3.0023148148148149E-2</v>
      </c>
      <c r="F2423" s="6">
        <f>9421/(60*60*24)</f>
        <v>0.10903935185185185</v>
      </c>
      <c r="G2423" s="7" t="s">
        <v>9</v>
      </c>
    </row>
    <row r="2424" spans="1:7" x14ac:dyDescent="0.45">
      <c r="A2424" t="s">
        <v>2519</v>
      </c>
      <c r="B2424" s="2" t="s">
        <v>104</v>
      </c>
      <c r="C2424" s="5">
        <f>5346/(60*60*24)</f>
        <v>6.1874999999999999E-2</v>
      </c>
      <c r="D2424" s="4">
        <f>1230/(60*60*24)</f>
        <v>1.4236111111111111E-2</v>
      </c>
      <c r="E2424" s="3">
        <f>2463/(60*60*24)</f>
        <v>2.8506944444444446E-2</v>
      </c>
      <c r="F2424" s="6">
        <f>8559/(60*60*24)</f>
        <v>9.9062499999999998E-2</v>
      </c>
      <c r="G2424" s="7" t="s">
        <v>9</v>
      </c>
    </row>
    <row r="2425" spans="1:7" x14ac:dyDescent="0.45">
      <c r="A2425" t="s">
        <v>2520</v>
      </c>
      <c r="B2425" s="2" t="s">
        <v>102</v>
      </c>
      <c r="C2425" s="8" t="s">
        <v>12</v>
      </c>
      <c r="D2425" s="4">
        <f>1173/(60*60*24)</f>
        <v>1.357638888888889E-2</v>
      </c>
      <c r="E2425" s="3">
        <f>2475/(60*60*24)</f>
        <v>2.8645833333333332E-2</v>
      </c>
      <c r="F2425" s="5">
        <f>8610/(60*60*24)</f>
        <v>9.9652777777777785E-2</v>
      </c>
      <c r="G2425" s="7" t="s">
        <v>9</v>
      </c>
    </row>
    <row r="2426" spans="1:7" x14ac:dyDescent="0.45">
      <c r="A2426" t="s">
        <v>2521</v>
      </c>
      <c r="B2426" s="2" t="s">
        <v>106</v>
      </c>
      <c r="C2426" s="8" t="s">
        <v>12</v>
      </c>
      <c r="D2426" s="4">
        <f>1272/(60*60*24)</f>
        <v>1.4722222222222222E-2</v>
      </c>
      <c r="E2426" s="3">
        <f>2690/(60*60*24)</f>
        <v>3.1134259259259261E-2</v>
      </c>
      <c r="F2426" s="5">
        <f>8874/(60*60*24)</f>
        <v>0.10270833333333333</v>
      </c>
      <c r="G2426" s="7" t="s">
        <v>9</v>
      </c>
    </row>
    <row r="2427" spans="1:7" x14ac:dyDescent="0.45">
      <c r="A2427" t="s">
        <v>2522</v>
      </c>
      <c r="B2427" s="2" t="s">
        <v>108</v>
      </c>
      <c r="C2427" s="8" t="s">
        <v>12</v>
      </c>
      <c r="D2427" s="4">
        <f>1198/(60*60*24)</f>
        <v>1.3865740740740741E-2</v>
      </c>
      <c r="E2427" s="3">
        <f>2771/(60*60*24)</f>
        <v>3.2071759259259258E-2</v>
      </c>
      <c r="F2427" s="5">
        <f>9678/(60*60*24)</f>
        <v>0.11201388888888889</v>
      </c>
      <c r="G2427" s="7" t="s">
        <v>9</v>
      </c>
    </row>
    <row r="2428" spans="1:7" x14ac:dyDescent="0.45">
      <c r="A2428" t="s">
        <v>2523</v>
      </c>
      <c r="B2428" s="2" t="s">
        <v>112</v>
      </c>
      <c r="C2428" s="5">
        <f>4678/(60*60*24)</f>
        <v>5.4143518518518521E-2</v>
      </c>
      <c r="D2428" s="4">
        <f>1226/(60*60*24)</f>
        <v>1.4189814814814815E-2</v>
      </c>
      <c r="E2428" s="3">
        <f>2837/(60*60*24)</f>
        <v>3.2835648148148149E-2</v>
      </c>
      <c r="F2428" s="6">
        <f>9505/(60*60*24)</f>
        <v>0.11001157407407407</v>
      </c>
      <c r="G2428" s="7" t="s">
        <v>9</v>
      </c>
    </row>
    <row r="2429" spans="1:7" x14ac:dyDescent="0.45">
      <c r="A2429" t="s">
        <v>2524</v>
      </c>
      <c r="B2429" s="2" t="s">
        <v>110</v>
      </c>
      <c r="C2429" s="8" t="s">
        <v>12</v>
      </c>
      <c r="D2429" s="4">
        <f>1204/(60*60*24)</f>
        <v>1.3935185185185186E-2</v>
      </c>
      <c r="E2429" s="3">
        <f>2746/(60*60*24)</f>
        <v>3.1782407407407405E-2</v>
      </c>
      <c r="F2429" s="5">
        <f>9731/(60*60*24)</f>
        <v>0.11262731481481482</v>
      </c>
      <c r="G2429" s="7" t="s">
        <v>9</v>
      </c>
    </row>
    <row r="2430" spans="1:7" x14ac:dyDescent="0.45">
      <c r="A2430" t="s">
        <v>2525</v>
      </c>
      <c r="B2430" s="2" t="s">
        <v>114</v>
      </c>
      <c r="C2430" s="5">
        <f>5068/(60*60*24)</f>
        <v>5.8657407407407408E-2</v>
      </c>
      <c r="D2430" s="4">
        <f>1367/(60*60*24)</f>
        <v>1.5821759259259258E-2</v>
      </c>
      <c r="E2430" s="3">
        <f>3016/(60*60*24)</f>
        <v>3.4907407407407408E-2</v>
      </c>
      <c r="F2430" s="6">
        <f>9937/(60*60*24)</f>
        <v>0.11501157407407407</v>
      </c>
      <c r="G2430" s="7" t="s">
        <v>9</v>
      </c>
    </row>
    <row r="2431" spans="1:7" x14ac:dyDescent="0.45">
      <c r="A2431" t="s">
        <v>2526</v>
      </c>
      <c r="B2431" s="2" t="s">
        <v>116</v>
      </c>
      <c r="C2431" s="5">
        <f>5108/(60*60*24)</f>
        <v>5.9120370370370372E-2</v>
      </c>
      <c r="D2431" s="4">
        <f>1342/(60*60*24)</f>
        <v>1.5532407407407408E-2</v>
      </c>
      <c r="E2431" s="3">
        <f>3432/(60*60*24)</f>
        <v>3.9722222222222221E-2</v>
      </c>
      <c r="F2431" s="6">
        <f>10716/(60*60*24)</f>
        <v>0.12402777777777778</v>
      </c>
      <c r="G2431" s="7" t="s">
        <v>9</v>
      </c>
    </row>
    <row r="2432" spans="1:7" x14ac:dyDescent="0.45">
      <c r="A2432" t="s">
        <v>2527</v>
      </c>
      <c r="B2432" s="2" t="s">
        <v>118</v>
      </c>
      <c r="C2432" s="5">
        <f>4453/(60*60*24)</f>
        <v>5.153935185185185E-2</v>
      </c>
      <c r="D2432" s="4">
        <f>1395/(60*60*24)</f>
        <v>1.6145833333333335E-2</v>
      </c>
      <c r="E2432" s="3">
        <f>3251/(60*60*24)</f>
        <v>3.7627314814814815E-2</v>
      </c>
      <c r="F2432" s="6">
        <f>11022/(60*60*24)</f>
        <v>0.12756944444444446</v>
      </c>
      <c r="G2432" s="7" t="s">
        <v>9</v>
      </c>
    </row>
    <row r="2433" spans="1:7" x14ac:dyDescent="0.45">
      <c r="A2433" t="s">
        <v>2528</v>
      </c>
      <c r="B2433" s="2" t="s">
        <v>120</v>
      </c>
      <c r="C2433" s="5">
        <f>4554/(60*60*24)</f>
        <v>5.2708333333333336E-2</v>
      </c>
      <c r="D2433" s="4">
        <f>1525/(60*60*24)</f>
        <v>1.7650462962962962E-2</v>
      </c>
      <c r="E2433" s="3">
        <f>3384/(60*60*24)</f>
        <v>3.9166666666666669E-2</v>
      </c>
      <c r="F2433" s="6">
        <f>11443/(60*60*24)</f>
        <v>0.13244212962962962</v>
      </c>
      <c r="G2433" s="7" t="s">
        <v>9</v>
      </c>
    </row>
    <row r="2434" spans="1:7" x14ac:dyDescent="0.45">
      <c r="A2434" t="s">
        <v>2529</v>
      </c>
      <c r="B2434" s="2" t="s">
        <v>124</v>
      </c>
      <c r="C2434" s="5">
        <f>4576/(60*60*24)</f>
        <v>5.2962962962962962E-2</v>
      </c>
      <c r="D2434" s="4">
        <f>1567/(60*60*24)</f>
        <v>1.8136574074074076E-2</v>
      </c>
      <c r="E2434" s="3">
        <f>3575/(60*60*24)</f>
        <v>4.1377314814814818E-2</v>
      </c>
      <c r="F2434" s="6">
        <f>11983/(60*60*24)</f>
        <v>0.13869212962962962</v>
      </c>
      <c r="G2434" s="7" t="s">
        <v>9</v>
      </c>
    </row>
    <row r="2435" spans="1:7" x14ac:dyDescent="0.45">
      <c r="A2435" t="s">
        <v>2530</v>
      </c>
      <c r="B2435" s="2" t="s">
        <v>122</v>
      </c>
      <c r="C2435" s="5">
        <f>4969/(60*60*24)</f>
        <v>5.7511574074074076E-2</v>
      </c>
      <c r="D2435" s="4">
        <f>1787/(60*60*24)</f>
        <v>2.0682870370370369E-2</v>
      </c>
      <c r="E2435" s="3">
        <f>3938/(60*60*24)</f>
        <v>4.5578703703703705E-2</v>
      </c>
      <c r="F2435" s="6">
        <f>12503/(60*60*24)</f>
        <v>0.14471064814814816</v>
      </c>
      <c r="G2435" s="7" t="s">
        <v>9</v>
      </c>
    </row>
    <row r="2436" spans="1:7" x14ac:dyDescent="0.45">
      <c r="A2436" t="s">
        <v>2531</v>
      </c>
      <c r="B2436" s="2" t="s">
        <v>126</v>
      </c>
      <c r="C2436" s="8" t="s">
        <v>12</v>
      </c>
      <c r="D2436" s="4">
        <f>1986/(60*60*24)</f>
        <v>2.298611111111111E-2</v>
      </c>
      <c r="E2436" s="3">
        <f>4250/(60*60*24)</f>
        <v>4.9189814814814818E-2</v>
      </c>
      <c r="F2436" s="5">
        <f>13483/(60*60*24)</f>
        <v>0.15605324074074073</v>
      </c>
      <c r="G2436" s="7" t="s">
        <v>9</v>
      </c>
    </row>
    <row r="2437" spans="1:7" x14ac:dyDescent="0.45">
      <c r="A2437" t="s">
        <v>2532</v>
      </c>
      <c r="B2437" s="2" t="s">
        <v>128</v>
      </c>
      <c r="C2437" s="8" t="s">
        <v>12</v>
      </c>
      <c r="D2437" s="4">
        <f>1993/(60*60*24)</f>
        <v>2.3067129629629628E-2</v>
      </c>
      <c r="E2437" s="3">
        <f>4314/(60*60*24)</f>
        <v>4.9930555555555554E-2</v>
      </c>
      <c r="F2437" s="5">
        <f>13926/(60*60*24)</f>
        <v>0.16118055555555555</v>
      </c>
      <c r="G2437" s="7" t="s">
        <v>9</v>
      </c>
    </row>
    <row r="2438" spans="1:7" x14ac:dyDescent="0.45">
      <c r="A2438" t="s">
        <v>2533</v>
      </c>
      <c r="B2438" s="2" t="s">
        <v>132</v>
      </c>
      <c r="C2438" s="5">
        <f>6689/(60*60*24)</f>
        <v>7.7418981481481478E-2</v>
      </c>
      <c r="D2438" s="4">
        <f>2517/(60*60*24)</f>
        <v>2.9131944444444443E-2</v>
      </c>
      <c r="E2438" s="3">
        <f>4574/(60*60*24)</f>
        <v>5.2939814814814815E-2</v>
      </c>
      <c r="F2438" s="6">
        <f>14403/(60*60*24)</f>
        <v>0.16670138888888889</v>
      </c>
      <c r="G2438" s="7" t="s">
        <v>9</v>
      </c>
    </row>
    <row r="2439" spans="1:7" x14ac:dyDescent="0.45">
      <c r="A2439" t="s">
        <v>2534</v>
      </c>
      <c r="B2439" s="2" t="s">
        <v>130</v>
      </c>
      <c r="C2439" s="8" t="s">
        <v>12</v>
      </c>
      <c r="D2439" s="4">
        <f>2774/(60*60*24)</f>
        <v>3.2106481481481479E-2</v>
      </c>
      <c r="E2439" s="3">
        <f>4599/(60*60*24)</f>
        <v>5.3229166666666668E-2</v>
      </c>
      <c r="F2439" s="5">
        <f>14327/(60*60*24)</f>
        <v>0.16582175925925927</v>
      </c>
      <c r="G2439" s="7" t="s">
        <v>9</v>
      </c>
    </row>
    <row r="2440" spans="1:7" x14ac:dyDescent="0.45">
      <c r="A2440" t="s">
        <v>2535</v>
      </c>
      <c r="B2440" s="2" t="s">
        <v>136</v>
      </c>
      <c r="C2440" s="3">
        <f>4819/(60*60*24)</f>
        <v>5.5775462962962964E-2</v>
      </c>
      <c r="D2440" s="4">
        <f>1977/(60*60*24)</f>
        <v>2.2881944444444444E-2</v>
      </c>
      <c r="E2440" s="5">
        <f>4952/(60*60*24)</f>
        <v>5.7314814814814811E-2</v>
      </c>
      <c r="F2440" s="6">
        <f>15118/(60*60*24)</f>
        <v>0.17497685185185186</v>
      </c>
      <c r="G2440" s="7" t="s">
        <v>9</v>
      </c>
    </row>
    <row r="2441" spans="1:7" x14ac:dyDescent="0.45">
      <c r="A2441" t="s">
        <v>2536</v>
      </c>
      <c r="B2441" s="2" t="s">
        <v>134</v>
      </c>
      <c r="C2441" s="5">
        <f>5136/(60*60*24)</f>
        <v>5.9444444444444446E-2</v>
      </c>
      <c r="D2441" s="4">
        <f>1946/(60*60*24)</f>
        <v>2.252314814814815E-2</v>
      </c>
      <c r="E2441" s="3">
        <f>4730/(60*60*24)</f>
        <v>5.4745370370370368E-2</v>
      </c>
      <c r="F2441" s="6">
        <f>15748/(60*60*24)</f>
        <v>0.18226851851851852</v>
      </c>
      <c r="G2441" s="7" t="s">
        <v>9</v>
      </c>
    </row>
    <row r="2442" spans="1:7" x14ac:dyDescent="0.45">
      <c r="A2442" t="s">
        <v>2537</v>
      </c>
      <c r="B2442" s="2" t="s">
        <v>138</v>
      </c>
      <c r="C2442" s="5">
        <f>4905/(60*60*24)</f>
        <v>5.6770833333333333E-2</v>
      </c>
      <c r="D2442" s="4">
        <f>1875/(60*60*24)</f>
        <v>2.1701388888888888E-2</v>
      </c>
      <c r="E2442" s="3">
        <f>4779/(60*60*24)</f>
        <v>5.5312500000000001E-2</v>
      </c>
      <c r="F2442" s="6">
        <f>16011/(60*60*24)</f>
        <v>0.18531249999999999</v>
      </c>
      <c r="G2442" s="7" t="s">
        <v>9</v>
      </c>
    </row>
    <row r="2443" spans="1:7" x14ac:dyDescent="0.45">
      <c r="A2443" t="s">
        <v>2538</v>
      </c>
      <c r="B2443" s="2" t="s">
        <v>140</v>
      </c>
      <c r="C2443" s="5">
        <f>6077/(60*60*24)</f>
        <v>7.0335648148148147E-2</v>
      </c>
      <c r="D2443" s="4">
        <f>2082/(60*60*24)</f>
        <v>2.4097222222222221E-2</v>
      </c>
      <c r="E2443" s="3">
        <f>5011/(60*60*24)</f>
        <v>5.7997685185185187E-2</v>
      </c>
      <c r="F2443" s="6">
        <f>16724/(60*60*24)</f>
        <v>0.19356481481481483</v>
      </c>
      <c r="G2443" s="7" t="s">
        <v>9</v>
      </c>
    </row>
    <row r="2444" spans="1:7" x14ac:dyDescent="0.45">
      <c r="A2444" t="s">
        <v>2539</v>
      </c>
      <c r="B2444" s="2" t="s">
        <v>142</v>
      </c>
      <c r="C2444" s="5">
        <f>5571/(60*60*24)</f>
        <v>6.4479166666666671E-2</v>
      </c>
      <c r="D2444" s="4">
        <f>2111/(60*60*24)</f>
        <v>2.4432870370370369E-2</v>
      </c>
      <c r="E2444" s="3">
        <f>5139/(60*60*24)</f>
        <v>5.9479166666666666E-2</v>
      </c>
      <c r="F2444" s="6">
        <f>17205/(60*60*24)</f>
        <v>0.19913194444444443</v>
      </c>
      <c r="G2444" s="7" t="s">
        <v>9</v>
      </c>
    </row>
    <row r="2445" spans="1:7" x14ac:dyDescent="0.45">
      <c r="A2445" t="s">
        <v>2540</v>
      </c>
      <c r="B2445" s="2" t="s">
        <v>144</v>
      </c>
      <c r="C2445" s="5">
        <f>6117/(60*60*24)</f>
        <v>7.0798611111111118E-2</v>
      </c>
      <c r="D2445" s="4">
        <f>2325/(60*60*24)</f>
        <v>2.6909722222222224E-2</v>
      </c>
      <c r="E2445" s="3">
        <f>5452/(60*60*24)</f>
        <v>6.3101851851851853E-2</v>
      </c>
      <c r="F2445" s="6">
        <f>18323/(60*60*24)</f>
        <v>0.21207175925925925</v>
      </c>
      <c r="G2445" s="7" t="s">
        <v>9</v>
      </c>
    </row>
    <row r="2446" spans="1:7" x14ac:dyDescent="0.45">
      <c r="A2446" t="s">
        <v>2541</v>
      </c>
      <c r="B2446" s="2" t="s">
        <v>146</v>
      </c>
      <c r="C2446" s="5">
        <f>6259/(60*60*24)</f>
        <v>7.2442129629629634E-2</v>
      </c>
      <c r="D2446" s="4">
        <f>2314/(60*60*24)</f>
        <v>2.6782407407407408E-2</v>
      </c>
      <c r="E2446" s="3">
        <f>5630/(60*60*24)</f>
        <v>6.5162037037037032E-2</v>
      </c>
      <c r="F2446" s="6">
        <f>19892/(60*60*24)</f>
        <v>0.23023148148148148</v>
      </c>
      <c r="G2446" s="7" t="s">
        <v>9</v>
      </c>
    </row>
    <row r="2447" spans="1:7" x14ac:dyDescent="0.45">
      <c r="A2447" t="s">
        <v>2542</v>
      </c>
      <c r="B2447" s="2" t="s">
        <v>148</v>
      </c>
      <c r="C2447" s="5">
        <f>6505/(60*60*24)</f>
        <v>7.5289351851851857E-2</v>
      </c>
      <c r="D2447" s="4">
        <f>2399/(60*60*24)</f>
        <v>2.7766203703703703E-2</v>
      </c>
      <c r="E2447" s="3">
        <f>5854/(60*60*24)</f>
        <v>6.7754629629629623E-2</v>
      </c>
      <c r="F2447" s="6">
        <f>20135/(60*60*24)</f>
        <v>0.23304398148148148</v>
      </c>
      <c r="G2447" s="7" t="s">
        <v>9</v>
      </c>
    </row>
    <row r="2448" spans="1:7" x14ac:dyDescent="0.45">
      <c r="A2448" t="s">
        <v>2543</v>
      </c>
      <c r="B2448" s="2" t="s">
        <v>150</v>
      </c>
      <c r="C2448" s="8" t="s">
        <v>12</v>
      </c>
      <c r="D2448" s="4">
        <f>2466/(60*60*24)</f>
        <v>2.8541666666666667E-2</v>
      </c>
      <c r="E2448" s="3">
        <f>6082/(60*60*24)</f>
        <v>7.0393518518518522E-2</v>
      </c>
      <c r="F2448" s="5">
        <f>20672/(60*60*24)</f>
        <v>0.23925925925925925</v>
      </c>
      <c r="G2448" s="7" t="s">
        <v>9</v>
      </c>
    </row>
    <row r="2449" spans="1:7" x14ac:dyDescent="0.45">
      <c r="A2449" t="s">
        <v>2544</v>
      </c>
      <c r="B2449" s="2" t="s">
        <v>152</v>
      </c>
      <c r="C2449" s="8" t="s">
        <v>12</v>
      </c>
      <c r="D2449" s="4">
        <f>2426/(60*60*24)</f>
        <v>2.8078703703703703E-2</v>
      </c>
      <c r="E2449" s="3">
        <f>6463/(60*60*24)</f>
        <v>7.480324074074074E-2</v>
      </c>
      <c r="F2449" s="5">
        <f>21705/(60*60*24)</f>
        <v>0.2512152777777778</v>
      </c>
      <c r="G2449" s="7" t="s">
        <v>9</v>
      </c>
    </row>
    <row r="2450" spans="1:7" x14ac:dyDescent="0.45">
      <c r="A2450" t="s">
        <v>2545</v>
      </c>
      <c r="B2450" s="2" t="s">
        <v>154</v>
      </c>
      <c r="C2450" s="3">
        <f>5715/(60*60*24)</f>
        <v>6.6145833333333334E-2</v>
      </c>
      <c r="D2450" s="4">
        <f>2498/(60*60*24)</f>
        <v>2.8912037037037038E-2</v>
      </c>
      <c r="E2450" s="5">
        <f>6364/(60*60*24)</f>
        <v>7.3657407407407408E-2</v>
      </c>
      <c r="F2450" s="6">
        <f>21728/(60*60*24)</f>
        <v>0.25148148148148147</v>
      </c>
      <c r="G2450" s="7" t="s">
        <v>9</v>
      </c>
    </row>
    <row r="2451" spans="1:7" x14ac:dyDescent="0.45">
      <c r="A2451" t="s">
        <v>2546</v>
      </c>
      <c r="B2451" s="2" t="s">
        <v>156</v>
      </c>
      <c r="C2451" s="8" t="s">
        <v>12</v>
      </c>
      <c r="D2451" s="4">
        <f>2556/(60*60*24)</f>
        <v>2.9583333333333333E-2</v>
      </c>
      <c r="E2451" s="3">
        <f>6909/(60*60*24)</f>
        <v>7.9965277777777774E-2</v>
      </c>
      <c r="F2451" s="5">
        <f>23426/(60*60*24)</f>
        <v>0.27113425925925927</v>
      </c>
      <c r="G2451" s="7" t="s">
        <v>9</v>
      </c>
    </row>
    <row r="2452" spans="1:7" x14ac:dyDescent="0.45">
      <c r="A2452" t="s">
        <v>2547</v>
      </c>
      <c r="B2452" s="2" t="s">
        <v>160</v>
      </c>
      <c r="C2452" s="3">
        <f>5980/(60*60*24)</f>
        <v>6.9212962962962962E-2</v>
      </c>
      <c r="D2452" s="4">
        <f>2557/(60*60*24)</f>
        <v>2.9594907407407407E-2</v>
      </c>
      <c r="E2452" s="5">
        <f>6933/(60*60*24)</f>
        <v>8.0243055555555554E-2</v>
      </c>
      <c r="F2452" s="6">
        <f>23437/(60*60*24)</f>
        <v>0.27126157407407409</v>
      </c>
      <c r="G2452" s="7" t="s">
        <v>9</v>
      </c>
    </row>
    <row r="2453" spans="1:7" x14ac:dyDescent="0.45">
      <c r="A2453" t="s">
        <v>2548</v>
      </c>
      <c r="B2453" s="2" t="s">
        <v>158</v>
      </c>
      <c r="C2453" s="8" t="s">
        <v>12</v>
      </c>
      <c r="D2453" s="4">
        <f>2575/(60*60*24)</f>
        <v>2.9803240740740741E-2</v>
      </c>
      <c r="E2453" s="3">
        <f>7133/(60*60*24)</f>
        <v>8.2557870370370365E-2</v>
      </c>
      <c r="F2453" s="5">
        <f>24041/(60*60*24)</f>
        <v>0.27825231481481483</v>
      </c>
      <c r="G2453" s="7" t="s">
        <v>9</v>
      </c>
    </row>
    <row r="2454" spans="1:7" x14ac:dyDescent="0.45">
      <c r="A2454" t="s">
        <v>2549</v>
      </c>
      <c r="B2454" s="2" t="s">
        <v>162</v>
      </c>
      <c r="C2454" s="5">
        <f>9364/(60*60*24)</f>
        <v>0.10837962962962963</v>
      </c>
      <c r="D2454" s="4">
        <f>2587/(60*60*24)</f>
        <v>2.9942129629629631E-2</v>
      </c>
      <c r="E2454" s="3">
        <f>7264/(60*60*24)</f>
        <v>8.4074074074074079E-2</v>
      </c>
      <c r="F2454" s="6">
        <f>25252/(60*60*24)</f>
        <v>0.29226851851851854</v>
      </c>
      <c r="G2454" s="7" t="s">
        <v>9</v>
      </c>
    </row>
    <row r="2455" spans="1:7" x14ac:dyDescent="0.45">
      <c r="A2455" t="s">
        <v>2550</v>
      </c>
      <c r="B2455" s="2" t="s">
        <v>164</v>
      </c>
      <c r="C2455" s="5">
        <f>9097/(60*60*24)</f>
        <v>0.10528935185185186</v>
      </c>
      <c r="D2455" s="4">
        <f>2504/(60*60*24)</f>
        <v>2.8981481481481483E-2</v>
      </c>
      <c r="E2455" s="3">
        <f>7343/(60*60*24)</f>
        <v>8.4988425925925926E-2</v>
      </c>
      <c r="F2455" s="6">
        <f>25429/(60*60*24)</f>
        <v>0.29431712962962964</v>
      </c>
      <c r="G2455" s="7" t="s">
        <v>9</v>
      </c>
    </row>
    <row r="2456" spans="1:7" x14ac:dyDescent="0.45">
      <c r="A2456" t="s">
        <v>2551</v>
      </c>
      <c r="B2456" s="2" t="s">
        <v>168</v>
      </c>
      <c r="C2456" s="5">
        <f>8957/(60*60*24)</f>
        <v>0.10366898148148149</v>
      </c>
      <c r="D2456" s="4">
        <f>2605/(60*60*24)</f>
        <v>3.0150462962962962E-2</v>
      </c>
      <c r="E2456" s="3">
        <f>8126/(60*60*24)</f>
        <v>9.4050925925925927E-2</v>
      </c>
      <c r="F2456" s="6">
        <f>26917/(60*60*24)</f>
        <v>0.31153935185185183</v>
      </c>
      <c r="G2456" s="7" t="s">
        <v>9</v>
      </c>
    </row>
    <row r="2457" spans="1:7" x14ac:dyDescent="0.45">
      <c r="A2457" t="s">
        <v>2552</v>
      </c>
      <c r="B2457" s="2" t="s">
        <v>166</v>
      </c>
      <c r="C2457" s="5">
        <f>8817/(60*60*24)</f>
        <v>0.10204861111111112</v>
      </c>
      <c r="D2457" s="4">
        <f>2625/(60*60*24)</f>
        <v>3.0381944444444444E-2</v>
      </c>
      <c r="E2457" s="3">
        <f>8189/(60*60*24)</f>
        <v>9.4780092592592596E-2</v>
      </c>
      <c r="F2457" s="6">
        <f>27244/(60*60*24)</f>
        <v>0.31532407407407409</v>
      </c>
      <c r="G2457" s="7" t="s">
        <v>9</v>
      </c>
    </row>
    <row r="2458" spans="1:7" x14ac:dyDescent="0.45">
      <c r="A2458" t="s">
        <v>2553</v>
      </c>
      <c r="B2458" s="2" t="s">
        <v>170</v>
      </c>
      <c r="C2458" s="5">
        <f>8428/(60*60*24)</f>
        <v>9.7546296296296298E-2</v>
      </c>
      <c r="D2458" s="4">
        <f>2618/(60*60*24)</f>
        <v>3.0300925925925926E-2</v>
      </c>
      <c r="E2458" s="3">
        <f>7684/(60*60*24)</f>
        <v>8.8935185185185187E-2</v>
      </c>
      <c r="F2458" s="6">
        <f>28077/(60*60*24)</f>
        <v>0.32496527777777778</v>
      </c>
      <c r="G2458" s="7" t="s">
        <v>9</v>
      </c>
    </row>
    <row r="2459" spans="1:7" x14ac:dyDescent="0.45">
      <c r="A2459" t="s">
        <v>2554</v>
      </c>
      <c r="B2459" s="2" t="s">
        <v>172</v>
      </c>
      <c r="C2459" s="8" t="s">
        <v>12</v>
      </c>
      <c r="D2459" s="4">
        <f>2712/(60*60*24)</f>
        <v>3.138888888888889E-2</v>
      </c>
      <c r="E2459" s="3">
        <f>7905/(60*60*24)</f>
        <v>9.149305555555555E-2</v>
      </c>
      <c r="F2459" s="5">
        <f>29035/(60*60*24)</f>
        <v>0.33605324074074072</v>
      </c>
      <c r="G2459" s="7" t="s">
        <v>9</v>
      </c>
    </row>
    <row r="2460" spans="1:7" x14ac:dyDescent="0.45">
      <c r="A2460" t="s">
        <v>2555</v>
      </c>
      <c r="B2460" s="2" t="s">
        <v>176</v>
      </c>
      <c r="C2460" s="8" t="s">
        <v>12</v>
      </c>
      <c r="D2460" s="4">
        <f>2885/(60*60*24)</f>
        <v>3.3391203703703701E-2</v>
      </c>
      <c r="E2460" s="3">
        <f>8208/(60*60*24)</f>
        <v>9.5000000000000001E-2</v>
      </c>
      <c r="F2460" s="5">
        <f>30615/(60*60*24)</f>
        <v>0.35434027777777777</v>
      </c>
      <c r="G2460" s="7" t="s">
        <v>9</v>
      </c>
    </row>
    <row r="2461" spans="1:7" x14ac:dyDescent="0.45">
      <c r="A2461" t="s">
        <v>2556</v>
      </c>
      <c r="B2461" s="2" t="s">
        <v>174</v>
      </c>
      <c r="C2461" s="8" t="s">
        <v>12</v>
      </c>
      <c r="D2461" s="4">
        <f>3057/(60*60*24)</f>
        <v>3.5381944444444445E-2</v>
      </c>
      <c r="E2461" s="3">
        <f>8369/(60*60*24)</f>
        <v>9.6863425925925922E-2</v>
      </c>
      <c r="F2461" s="5">
        <f>31023/(60*60*24)</f>
        <v>0.35906250000000001</v>
      </c>
      <c r="G2461" s="7" t="s">
        <v>9</v>
      </c>
    </row>
    <row r="2462" spans="1:7" x14ac:dyDescent="0.45">
      <c r="A2462" t="s">
        <v>2557</v>
      </c>
      <c r="B2462" s="2" t="s">
        <v>180</v>
      </c>
      <c r="C2462" s="3">
        <f>9081/(60*60*24)</f>
        <v>0.10510416666666667</v>
      </c>
      <c r="D2462" s="4">
        <f>2991/(60*60*24)</f>
        <v>3.4618055555555555E-2</v>
      </c>
      <c r="E2462" s="5">
        <f>9098/(60*60*24)</f>
        <v>0.10530092592592592</v>
      </c>
      <c r="F2462" s="6">
        <f>31545/(60*60*24)</f>
        <v>0.36510416666666667</v>
      </c>
      <c r="G2462" s="7" t="s">
        <v>9</v>
      </c>
    </row>
    <row r="2463" spans="1:7" x14ac:dyDescent="0.45">
      <c r="A2463" t="s">
        <v>2558</v>
      </c>
      <c r="B2463" s="2" t="s">
        <v>178</v>
      </c>
      <c r="C2463" s="8" t="s">
        <v>12</v>
      </c>
      <c r="D2463" s="4">
        <f>3055/(60*60*24)</f>
        <v>3.5358796296296298E-2</v>
      </c>
      <c r="E2463" s="3">
        <f>9527/(60*60*24)</f>
        <v>0.1102662037037037</v>
      </c>
      <c r="F2463" s="5">
        <f>32365/(60*60*24)</f>
        <v>0.37459490740740742</v>
      </c>
      <c r="G2463" s="7" t="s">
        <v>9</v>
      </c>
    </row>
    <row r="2464" spans="1:7" x14ac:dyDescent="0.45">
      <c r="A2464" t="s">
        <v>2559</v>
      </c>
      <c r="B2464" s="2" t="s">
        <v>184</v>
      </c>
      <c r="C2464" s="5">
        <f>10317/(60*60*24)</f>
        <v>0.11940972222222222</v>
      </c>
      <c r="D2464" s="4">
        <f>3169/(60*60*24)</f>
        <v>3.667824074074074E-2</v>
      </c>
      <c r="E2464" s="3">
        <f>9784/(60*60*24)</f>
        <v>0.11324074074074074</v>
      </c>
      <c r="F2464" s="6">
        <f>33700/(60*60*24)</f>
        <v>0.39004629629629628</v>
      </c>
      <c r="G2464" s="7" t="s">
        <v>9</v>
      </c>
    </row>
    <row r="2465" spans="1:7" x14ac:dyDescent="0.45">
      <c r="A2465" t="s">
        <v>2560</v>
      </c>
      <c r="B2465" s="2" t="s">
        <v>182</v>
      </c>
      <c r="C2465" s="8" t="s">
        <v>12</v>
      </c>
      <c r="D2465" s="4">
        <f>3275/(60*60*24)</f>
        <v>3.7905092592592594E-2</v>
      </c>
      <c r="E2465" s="3">
        <f>9903/(60*60*24)</f>
        <v>0.11461805555555556</v>
      </c>
      <c r="F2465" s="5">
        <f>33889/(60*60*24)</f>
        <v>0.39223379629629629</v>
      </c>
      <c r="G2465" s="7" t="s">
        <v>9</v>
      </c>
    </row>
    <row r="2466" spans="1:7" x14ac:dyDescent="0.45">
      <c r="A2466" t="s">
        <v>2561</v>
      </c>
      <c r="B2466" s="2" t="s">
        <v>11</v>
      </c>
      <c r="C2466" s="3">
        <f>6111/(60*60*24)</f>
        <v>7.0729166666666662E-2</v>
      </c>
      <c r="D2466" s="4">
        <f>2219/(60*60*24)</f>
        <v>2.568287037037037E-2</v>
      </c>
      <c r="E2466" s="5">
        <f>9057/(60*60*24)</f>
        <v>0.10482638888888889</v>
      </c>
      <c r="F2466" s="6">
        <f>31398/(60*60*24)</f>
        <v>0.3634027777777778</v>
      </c>
      <c r="G2466" s="7" t="s">
        <v>9</v>
      </c>
    </row>
    <row r="2467" spans="1:7" x14ac:dyDescent="0.45">
      <c r="A2467" t="s">
        <v>2562</v>
      </c>
      <c r="B2467" s="2" t="s">
        <v>8</v>
      </c>
      <c r="C2467" s="8" t="s">
        <v>12</v>
      </c>
      <c r="D2467" s="4">
        <f>2186/(60*60*24)</f>
        <v>2.5300925925925925E-2</v>
      </c>
      <c r="E2467" s="3">
        <f>9303/(60*60*24)</f>
        <v>0.10767361111111111</v>
      </c>
      <c r="F2467" s="5">
        <f>32044/(60*60*24)</f>
        <v>0.37087962962962961</v>
      </c>
      <c r="G2467" s="7" t="s">
        <v>9</v>
      </c>
    </row>
    <row r="2468" spans="1:7" x14ac:dyDescent="0.45">
      <c r="A2468" t="s">
        <v>2563</v>
      </c>
      <c r="B2468" s="2" t="s">
        <v>14</v>
      </c>
      <c r="C2468" s="3">
        <f>6415/(60*60*24)</f>
        <v>7.424768518518518E-2</v>
      </c>
      <c r="D2468" s="4">
        <f>2246/(60*60*24)</f>
        <v>2.599537037037037E-2</v>
      </c>
      <c r="E2468" s="5">
        <f>9007/(60*60*24)</f>
        <v>0.10424768518518518</v>
      </c>
      <c r="F2468" s="6">
        <f>31125/(60*60*24)</f>
        <v>0.36024305555555558</v>
      </c>
      <c r="G2468" s="7" t="s">
        <v>9</v>
      </c>
    </row>
    <row r="2469" spans="1:7" x14ac:dyDescent="0.45">
      <c r="A2469" t="s">
        <v>2564</v>
      </c>
      <c r="B2469" s="2" t="s">
        <v>16</v>
      </c>
      <c r="C2469" s="3">
        <f>7180/(60*60*24)</f>
        <v>8.3101851851851857E-2</v>
      </c>
      <c r="D2469" s="4">
        <f>2127/(60*60*24)</f>
        <v>2.4618055555555556E-2</v>
      </c>
      <c r="E2469" s="5">
        <f>8992/(60*60*24)</f>
        <v>0.10407407407407407</v>
      </c>
      <c r="F2469" s="6">
        <f>30731/(60*60*24)</f>
        <v>0.35568287037037039</v>
      </c>
      <c r="G2469" s="7" t="s">
        <v>9</v>
      </c>
    </row>
    <row r="2470" spans="1:7" x14ac:dyDescent="0.45">
      <c r="A2470" t="s">
        <v>2565</v>
      </c>
      <c r="B2470" s="2" t="s">
        <v>18</v>
      </c>
      <c r="C2470" s="8" t="s">
        <v>12</v>
      </c>
      <c r="D2470" s="4">
        <f>2141/(60*60*24)</f>
        <v>2.4780092592592593E-2</v>
      </c>
      <c r="E2470" s="3">
        <f>8949/(60*60*24)</f>
        <v>0.10357638888888888</v>
      </c>
      <c r="F2470" s="5">
        <f>30376/(60*60*24)</f>
        <v>0.35157407407407409</v>
      </c>
      <c r="G2470" s="7" t="s">
        <v>9</v>
      </c>
    </row>
    <row r="2471" spans="1:7" x14ac:dyDescent="0.45">
      <c r="A2471" t="s">
        <v>2566</v>
      </c>
      <c r="B2471" s="2" t="s">
        <v>20</v>
      </c>
      <c r="C2471" s="8" t="s">
        <v>12</v>
      </c>
      <c r="D2471" s="4">
        <f>2014/(60*60*24)</f>
        <v>2.3310185185185184E-2</v>
      </c>
      <c r="E2471" s="3">
        <f>8744/(60*60*24)</f>
        <v>0.1012037037037037</v>
      </c>
      <c r="F2471" s="5">
        <f>29565/(60*60*24)</f>
        <v>0.34218749999999998</v>
      </c>
      <c r="G2471" s="7" t="s">
        <v>9</v>
      </c>
    </row>
    <row r="2472" spans="1:7" x14ac:dyDescent="0.45">
      <c r="A2472" t="s">
        <v>2567</v>
      </c>
      <c r="B2472" s="2" t="s">
        <v>24</v>
      </c>
      <c r="C2472" s="3">
        <f>6213/(60*60*24)</f>
        <v>7.1909722222222222E-2</v>
      </c>
      <c r="D2472" s="4">
        <f>1872/(60*60*24)</f>
        <v>2.1666666666666667E-2</v>
      </c>
      <c r="E2472" s="5">
        <f>8366/(60*60*24)</f>
        <v>9.6828703703703708E-2</v>
      </c>
      <c r="F2472" s="6">
        <f>27969/(60*60*24)</f>
        <v>0.32371527777777775</v>
      </c>
      <c r="G2472" s="7" t="s">
        <v>9</v>
      </c>
    </row>
    <row r="2473" spans="1:7" x14ac:dyDescent="0.45">
      <c r="A2473" t="s">
        <v>2568</v>
      </c>
      <c r="B2473" s="2" t="s">
        <v>22</v>
      </c>
      <c r="C2473" s="8" t="s">
        <v>12</v>
      </c>
      <c r="D2473" s="4">
        <f>1925/(60*60*24)</f>
        <v>2.2280092592592591E-2</v>
      </c>
      <c r="E2473" s="3">
        <f>8707/(60*60*24)</f>
        <v>0.10077546296296297</v>
      </c>
      <c r="F2473" s="5">
        <f>28863/(60*60*24)</f>
        <v>0.33406249999999998</v>
      </c>
      <c r="G2473" s="7" t="s">
        <v>9</v>
      </c>
    </row>
    <row r="2474" spans="1:7" x14ac:dyDescent="0.45">
      <c r="A2474" t="s">
        <v>2569</v>
      </c>
      <c r="B2474" s="2" t="s">
        <v>26</v>
      </c>
      <c r="C2474" s="3">
        <f>6184/(60*60*24)</f>
        <v>7.1574074074074068E-2</v>
      </c>
      <c r="D2474" s="4">
        <f>1953/(60*60*24)</f>
        <v>2.2604166666666668E-2</v>
      </c>
      <c r="E2474" s="5">
        <f>8224/(60*60*24)</f>
        <v>9.5185185185185192E-2</v>
      </c>
      <c r="F2474" s="6">
        <f>27524/(60*60*24)</f>
        <v>0.3185648148148148</v>
      </c>
      <c r="G2474" s="7" t="s">
        <v>9</v>
      </c>
    </row>
    <row r="2475" spans="1:7" x14ac:dyDescent="0.45">
      <c r="A2475" t="s">
        <v>2570</v>
      </c>
      <c r="B2475" s="2" t="s">
        <v>28</v>
      </c>
      <c r="C2475" s="3">
        <f>7196/(60*60*24)</f>
        <v>8.3287037037037034E-2</v>
      </c>
      <c r="D2475" s="4">
        <f>2027/(60*60*24)</f>
        <v>2.3460648148148147E-2</v>
      </c>
      <c r="E2475" s="5">
        <f>8010/(60*60*24)</f>
        <v>9.2708333333333337E-2</v>
      </c>
      <c r="F2475" s="6">
        <f>26679/(60*60*24)</f>
        <v>0.3087847222222222</v>
      </c>
      <c r="G2475" s="7" t="s">
        <v>9</v>
      </c>
    </row>
    <row r="2476" spans="1:7" x14ac:dyDescent="0.45">
      <c r="A2476" t="s">
        <v>2571</v>
      </c>
      <c r="B2476" s="2" t="s">
        <v>30</v>
      </c>
      <c r="C2476" s="3">
        <f>5794/(60*60*24)</f>
        <v>6.7060185185185181E-2</v>
      </c>
      <c r="D2476" s="4">
        <f>2186/(60*60*24)</f>
        <v>2.5300925925925925E-2</v>
      </c>
      <c r="E2476" s="5">
        <f>7811/(60*60*24)</f>
        <v>9.0405092592592592E-2</v>
      </c>
      <c r="F2476" s="6">
        <f>25936/(60*60*24)</f>
        <v>0.30018518518518517</v>
      </c>
      <c r="G2476" s="7" t="s">
        <v>9</v>
      </c>
    </row>
    <row r="2477" spans="1:7" x14ac:dyDescent="0.45">
      <c r="A2477" t="s">
        <v>2572</v>
      </c>
      <c r="B2477" s="2" t="s">
        <v>32</v>
      </c>
      <c r="C2477" s="3">
        <f>5532/(60*60*24)</f>
        <v>6.4027777777777781E-2</v>
      </c>
      <c r="D2477" s="4">
        <f>2201/(60*60*24)</f>
        <v>2.5474537037037039E-2</v>
      </c>
      <c r="E2477" s="5">
        <f>7682/(60*60*24)</f>
        <v>8.8912037037037039E-2</v>
      </c>
      <c r="F2477" s="6">
        <f>25127/(60*60*24)</f>
        <v>0.29082175925925924</v>
      </c>
      <c r="G2477" s="7" t="s">
        <v>9</v>
      </c>
    </row>
    <row r="2478" spans="1:7" x14ac:dyDescent="0.45">
      <c r="A2478" t="s">
        <v>2573</v>
      </c>
      <c r="B2478" s="2" t="s">
        <v>36</v>
      </c>
      <c r="C2478" s="3">
        <f>4453/(60*60*24)</f>
        <v>5.153935185185185E-2</v>
      </c>
      <c r="D2478" s="4">
        <f>2152/(60*60*24)</f>
        <v>2.4907407407407406E-2</v>
      </c>
      <c r="E2478" s="5">
        <f>7465/(60*60*24)</f>
        <v>8.6400462962962957E-2</v>
      </c>
      <c r="F2478" s="6">
        <f>24539/(60*60*24)</f>
        <v>0.28401620370370373</v>
      </c>
      <c r="G2478" s="7" t="s">
        <v>9</v>
      </c>
    </row>
    <row r="2479" spans="1:7" x14ac:dyDescent="0.45">
      <c r="A2479" t="s">
        <v>2574</v>
      </c>
      <c r="B2479" s="2" t="s">
        <v>34</v>
      </c>
      <c r="C2479" s="3">
        <f>4847/(60*60*24)</f>
        <v>5.6099537037037038E-2</v>
      </c>
      <c r="D2479" s="4">
        <f>2429/(60*60*24)</f>
        <v>2.8113425925925927E-2</v>
      </c>
      <c r="E2479" s="5">
        <f>7227/(60*60*24)</f>
        <v>8.3645833333333336E-2</v>
      </c>
      <c r="F2479" s="6">
        <f>23968/(60*60*24)</f>
        <v>0.27740740740740738</v>
      </c>
      <c r="G2479" s="7" t="s">
        <v>9</v>
      </c>
    </row>
    <row r="2480" spans="1:7" x14ac:dyDescent="0.45">
      <c r="A2480" t="s">
        <v>2575</v>
      </c>
      <c r="B2480" s="2" t="s">
        <v>38</v>
      </c>
      <c r="C2480" s="3">
        <f>5392/(60*60*24)</f>
        <v>6.2407407407407404E-2</v>
      </c>
      <c r="D2480" s="4">
        <f>2424/(60*60*24)</f>
        <v>2.8055555555555556E-2</v>
      </c>
      <c r="E2480" s="5">
        <f>6961/(60*60*24)</f>
        <v>8.0567129629629627E-2</v>
      </c>
      <c r="F2480" s="6">
        <f>23158/(60*60*24)</f>
        <v>0.26803240740740741</v>
      </c>
      <c r="G2480" s="7" t="s">
        <v>9</v>
      </c>
    </row>
    <row r="2481" spans="1:7" x14ac:dyDescent="0.45">
      <c r="A2481" t="s">
        <v>2576</v>
      </c>
      <c r="B2481" s="2" t="s">
        <v>40</v>
      </c>
      <c r="C2481" s="3">
        <f>5894/(60*60*24)</f>
        <v>6.8217592592592594E-2</v>
      </c>
      <c r="D2481" s="4">
        <f>2495/(60*60*24)</f>
        <v>2.8877314814814814E-2</v>
      </c>
      <c r="E2481" s="5">
        <f>6831/(60*60*24)</f>
        <v>7.9062499999999994E-2</v>
      </c>
      <c r="F2481" s="6">
        <f>22612/(60*60*24)</f>
        <v>0.26171296296296298</v>
      </c>
      <c r="G2481" s="7" t="s">
        <v>9</v>
      </c>
    </row>
    <row r="2482" spans="1:7" x14ac:dyDescent="0.45">
      <c r="A2482" t="s">
        <v>2577</v>
      </c>
      <c r="B2482" s="2" t="s">
        <v>44</v>
      </c>
      <c r="C2482" s="3">
        <f>5651/(60*60*24)</f>
        <v>6.5405092592592598E-2</v>
      </c>
      <c r="D2482" s="4">
        <f>2493/(60*60*24)</f>
        <v>2.8854166666666667E-2</v>
      </c>
      <c r="E2482" s="5">
        <f>6688/(60*60*24)</f>
        <v>7.7407407407407411E-2</v>
      </c>
      <c r="F2482" s="6">
        <f>22231/(60*60*24)</f>
        <v>0.25730324074074074</v>
      </c>
      <c r="G2482" s="7" t="s">
        <v>9</v>
      </c>
    </row>
    <row r="2483" spans="1:7" x14ac:dyDescent="0.45">
      <c r="A2483" t="s">
        <v>2578</v>
      </c>
      <c r="B2483" s="2" t="s">
        <v>42</v>
      </c>
      <c r="C2483" s="8" t="s">
        <v>12</v>
      </c>
      <c r="D2483" s="4">
        <f>2459/(60*60*24)</f>
        <v>2.8460648148148148E-2</v>
      </c>
      <c r="E2483" s="3">
        <f>6617/(60*60*24)</f>
        <v>7.6585648148148153E-2</v>
      </c>
      <c r="F2483" s="5">
        <f>21316/(60*60*24)</f>
        <v>0.24671296296296297</v>
      </c>
      <c r="G2483" s="7" t="s">
        <v>9</v>
      </c>
    </row>
    <row r="2484" spans="1:7" x14ac:dyDescent="0.45">
      <c r="A2484" t="s">
        <v>2579</v>
      </c>
      <c r="B2484" s="2" t="s">
        <v>46</v>
      </c>
      <c r="C2484" s="8" t="s">
        <v>12</v>
      </c>
      <c r="D2484" s="4">
        <f>2714/(60*60*24)</f>
        <v>3.1412037037037037E-2</v>
      </c>
      <c r="E2484" s="3">
        <f>6443/(60*60*24)</f>
        <v>7.4571759259259254E-2</v>
      </c>
      <c r="F2484" s="5">
        <f>20745/(60*60*24)</f>
        <v>0.24010416666666667</v>
      </c>
      <c r="G2484" s="7" t="s">
        <v>9</v>
      </c>
    </row>
    <row r="2485" spans="1:7" x14ac:dyDescent="0.45">
      <c r="A2485" t="s">
        <v>2580</v>
      </c>
      <c r="B2485" s="2" t="s">
        <v>48</v>
      </c>
      <c r="C2485" s="8" t="s">
        <v>12</v>
      </c>
      <c r="D2485" s="4">
        <f>2616/(60*60*24)</f>
        <v>3.0277777777777778E-2</v>
      </c>
      <c r="E2485" s="3">
        <f>6413/(60*60*24)</f>
        <v>7.4224537037037033E-2</v>
      </c>
      <c r="F2485" s="5">
        <f>20292/(60*60*24)</f>
        <v>0.2348611111111111</v>
      </c>
      <c r="G2485" s="7" t="s">
        <v>9</v>
      </c>
    </row>
    <row r="2486" spans="1:7" x14ac:dyDescent="0.45">
      <c r="A2486" t="s">
        <v>2581</v>
      </c>
      <c r="B2486" s="2" t="s">
        <v>52</v>
      </c>
      <c r="C2486" s="3">
        <f>5486/(60*60*24)</f>
        <v>6.3495370370370369E-2</v>
      </c>
      <c r="D2486" s="4">
        <f>2475/(60*60*24)</f>
        <v>2.8645833333333332E-2</v>
      </c>
      <c r="E2486" s="5">
        <f>5911/(60*60*24)</f>
        <v>6.8414351851851851E-2</v>
      </c>
      <c r="F2486" s="6">
        <f>19040/(60*60*24)</f>
        <v>0.22037037037037038</v>
      </c>
      <c r="G2486" s="7" t="s">
        <v>9</v>
      </c>
    </row>
    <row r="2487" spans="1:7" x14ac:dyDescent="0.45">
      <c r="A2487" t="s">
        <v>2582</v>
      </c>
      <c r="B2487" s="2" t="s">
        <v>50</v>
      </c>
      <c r="C2487" s="8" t="s">
        <v>12</v>
      </c>
      <c r="D2487" s="4">
        <f>2594/(60*60*24)</f>
        <v>3.0023148148148149E-2</v>
      </c>
      <c r="E2487" s="3">
        <f>6161/(60*60*24)</f>
        <v>7.1307870370370369E-2</v>
      </c>
      <c r="F2487" s="5">
        <f>19476/(60*60*24)</f>
        <v>0.22541666666666665</v>
      </c>
      <c r="G2487" s="7" t="s">
        <v>9</v>
      </c>
    </row>
    <row r="2488" spans="1:7" x14ac:dyDescent="0.45">
      <c r="A2488" t="s">
        <v>2583</v>
      </c>
      <c r="B2488" s="2" t="s">
        <v>54</v>
      </c>
      <c r="C2488" s="8" t="s">
        <v>12</v>
      </c>
      <c r="D2488" s="4">
        <f>2577/(60*60*24)</f>
        <v>2.9826388888888888E-2</v>
      </c>
      <c r="E2488" s="3">
        <f>5764/(60*60*24)</f>
        <v>6.671296296296296E-2</v>
      </c>
      <c r="F2488" s="5">
        <f>18600/(60*60*24)</f>
        <v>0.21527777777777779</v>
      </c>
      <c r="G2488" s="7" t="s">
        <v>9</v>
      </c>
    </row>
    <row r="2489" spans="1:7" x14ac:dyDescent="0.45">
      <c r="A2489" t="s">
        <v>2584</v>
      </c>
      <c r="B2489" s="2" t="s">
        <v>56</v>
      </c>
      <c r="C2489" s="8" t="s">
        <v>12</v>
      </c>
      <c r="D2489" s="4">
        <f>2630/(60*60*24)</f>
        <v>3.0439814814814815E-2</v>
      </c>
      <c r="E2489" s="3">
        <f>5662/(60*60*24)</f>
        <v>6.5532407407407414E-2</v>
      </c>
      <c r="F2489" s="5">
        <f>18043/(60*60*24)</f>
        <v>0.20883101851851851</v>
      </c>
      <c r="G2489" s="7" t="s">
        <v>9</v>
      </c>
    </row>
    <row r="2490" spans="1:7" x14ac:dyDescent="0.45">
      <c r="A2490" t="s">
        <v>2585</v>
      </c>
      <c r="B2490" s="2" t="s">
        <v>58</v>
      </c>
      <c r="C2490" s="3">
        <f>4930/(60*60*24)</f>
        <v>5.7060185185185186E-2</v>
      </c>
      <c r="D2490" s="4">
        <f>2497/(60*60*24)</f>
        <v>2.8900462962962965E-2</v>
      </c>
      <c r="E2490" s="5">
        <f>5370/(60*60*24)</f>
        <v>6.2152777777777779E-2</v>
      </c>
      <c r="F2490" s="6">
        <f>17492/(60*60*24)</f>
        <v>0.20245370370370369</v>
      </c>
      <c r="G2490" s="7" t="s">
        <v>9</v>
      </c>
    </row>
    <row r="2491" spans="1:7" x14ac:dyDescent="0.45">
      <c r="A2491" t="s">
        <v>2586</v>
      </c>
      <c r="B2491" s="2" t="s">
        <v>60</v>
      </c>
      <c r="C2491" s="3">
        <f>4326/(60*60*24)</f>
        <v>5.0069444444444444E-2</v>
      </c>
      <c r="D2491" s="4">
        <f>2418/(60*60*24)</f>
        <v>2.7986111111111111E-2</v>
      </c>
      <c r="E2491" s="5">
        <f>5116/(60*60*24)</f>
        <v>5.921296296296296E-2</v>
      </c>
      <c r="F2491" s="6">
        <f>16792/(60*60*24)</f>
        <v>0.19435185185185186</v>
      </c>
      <c r="G2491" s="7" t="s">
        <v>9</v>
      </c>
    </row>
    <row r="2492" spans="1:7" x14ac:dyDescent="0.45">
      <c r="A2492" t="s">
        <v>2587</v>
      </c>
      <c r="B2492" s="2" t="s">
        <v>62</v>
      </c>
      <c r="C2492" s="3">
        <f>4124/(60*60*24)</f>
        <v>4.7731481481481479E-2</v>
      </c>
      <c r="D2492" s="4">
        <f>2522/(60*60*24)</f>
        <v>2.9189814814814814E-2</v>
      </c>
      <c r="E2492" s="5">
        <f>4945/(60*60*24)</f>
        <v>5.7233796296296297E-2</v>
      </c>
      <c r="F2492" s="6">
        <f>16217/(60*60*24)</f>
        <v>0.18769675925925927</v>
      </c>
      <c r="G2492" s="7" t="s">
        <v>9</v>
      </c>
    </row>
    <row r="2493" spans="1:7" x14ac:dyDescent="0.45">
      <c r="A2493" t="s">
        <v>2588</v>
      </c>
      <c r="B2493" s="2" t="s">
        <v>64</v>
      </c>
      <c r="C2493" s="3">
        <f>3925/(60*60*24)</f>
        <v>4.5428240740740741E-2</v>
      </c>
      <c r="D2493" s="4">
        <f>1915/(60*60*24)</f>
        <v>2.2164351851851852E-2</v>
      </c>
      <c r="E2493" s="5">
        <f>4641/(60*60*24)</f>
        <v>5.3715277777777778E-2</v>
      </c>
      <c r="F2493" s="6">
        <f>15640/(60*60*24)</f>
        <v>0.18101851851851852</v>
      </c>
      <c r="G2493" s="7" t="s">
        <v>9</v>
      </c>
    </row>
    <row r="2494" spans="1:7" x14ac:dyDescent="0.45">
      <c r="A2494" t="s">
        <v>2589</v>
      </c>
      <c r="B2494" s="2" t="s">
        <v>66</v>
      </c>
      <c r="C2494" s="3">
        <f>4316/(60*60*24)</f>
        <v>4.9953703703703702E-2</v>
      </c>
      <c r="D2494" s="4">
        <f>1925/(60*60*24)</f>
        <v>2.2280092592592591E-2</v>
      </c>
      <c r="E2494" s="5">
        <f>4735/(60*60*24)</f>
        <v>5.4803240740740743E-2</v>
      </c>
      <c r="F2494" s="6">
        <f>15200/(60*60*24)</f>
        <v>0.17592592592592593</v>
      </c>
      <c r="G2494" s="7" t="s">
        <v>9</v>
      </c>
    </row>
    <row r="2495" spans="1:7" x14ac:dyDescent="0.45">
      <c r="A2495" t="s">
        <v>2590</v>
      </c>
      <c r="B2495" s="2" t="s">
        <v>68</v>
      </c>
      <c r="C2495" s="8" t="s">
        <v>12</v>
      </c>
      <c r="D2495" s="4">
        <f>2050/(60*60*24)</f>
        <v>2.3726851851851853E-2</v>
      </c>
      <c r="E2495" s="3">
        <f>4270/(60*60*24)</f>
        <v>4.9421296296296297E-2</v>
      </c>
      <c r="F2495" s="5">
        <f>14721/(60*60*24)</f>
        <v>0.17038194444444443</v>
      </c>
      <c r="G2495" s="7" t="s">
        <v>9</v>
      </c>
    </row>
    <row r="2496" spans="1:7" x14ac:dyDescent="0.45">
      <c r="A2496" t="s">
        <v>2591</v>
      </c>
      <c r="B2496" s="2" t="s">
        <v>72</v>
      </c>
      <c r="C2496" s="5">
        <f>4548/(60*60*24)</f>
        <v>5.2638888888888888E-2</v>
      </c>
      <c r="D2496" s="4">
        <f>1392/(60*60*24)</f>
        <v>1.6111111111111111E-2</v>
      </c>
      <c r="E2496" s="3">
        <f>4132/(60*60*24)</f>
        <v>4.7824074074074074E-2</v>
      </c>
      <c r="F2496" s="6">
        <f>13808/(60*60*24)</f>
        <v>0.15981481481481483</v>
      </c>
      <c r="G2496" s="7" t="s">
        <v>9</v>
      </c>
    </row>
    <row r="2497" spans="1:7" x14ac:dyDescent="0.45">
      <c r="A2497" t="s">
        <v>2592</v>
      </c>
      <c r="B2497" s="2" t="s">
        <v>70</v>
      </c>
      <c r="C2497" s="8" t="s">
        <v>12</v>
      </c>
      <c r="D2497" s="4">
        <f>2201/(60*60*24)</f>
        <v>2.5474537037037039E-2</v>
      </c>
      <c r="E2497" s="3">
        <f>4213/(60*60*24)</f>
        <v>4.8761574074074075E-2</v>
      </c>
      <c r="F2497" s="5">
        <f>14410/(60*60*24)</f>
        <v>0.16678240740740741</v>
      </c>
      <c r="G2497" s="7" t="s">
        <v>9</v>
      </c>
    </row>
    <row r="2498" spans="1:7" x14ac:dyDescent="0.45">
      <c r="A2498" t="s">
        <v>2593</v>
      </c>
      <c r="B2498" s="2" t="s">
        <v>74</v>
      </c>
      <c r="C2498" s="3">
        <f>3946/(60*60*24)</f>
        <v>4.5671296296296293E-2</v>
      </c>
      <c r="D2498" s="4">
        <f>1574/(60*60*24)</f>
        <v>1.8217592592592594E-2</v>
      </c>
      <c r="E2498" s="5">
        <f>4012/(60*60*24)</f>
        <v>4.6435185185185184E-2</v>
      </c>
      <c r="F2498" s="6">
        <f>13554/(60*60*24)</f>
        <v>0.15687499999999999</v>
      </c>
      <c r="G2498" s="7" t="s">
        <v>9</v>
      </c>
    </row>
    <row r="2499" spans="1:7" x14ac:dyDescent="0.45">
      <c r="A2499" t="s">
        <v>2594</v>
      </c>
      <c r="B2499" s="2" t="s">
        <v>76</v>
      </c>
      <c r="C2499" s="5">
        <f>3785/(60*60*24)</f>
        <v>4.3807870370370372E-2</v>
      </c>
      <c r="D2499" s="4">
        <f>1484/(60*60*24)</f>
        <v>1.7175925925925924E-2</v>
      </c>
      <c r="E2499" s="3">
        <f>3746/(60*60*24)</f>
        <v>4.3356481481481482E-2</v>
      </c>
      <c r="F2499" s="6">
        <f>12961/(60*60*24)</f>
        <v>0.15001157407407406</v>
      </c>
      <c r="G2499" s="7" t="s">
        <v>9</v>
      </c>
    </row>
    <row r="2500" spans="1:7" x14ac:dyDescent="0.45">
      <c r="A2500" t="s">
        <v>2595</v>
      </c>
      <c r="B2500" s="2" t="s">
        <v>78</v>
      </c>
      <c r="C2500" s="5">
        <f>4153/(60*60*24)</f>
        <v>4.8067129629629626E-2</v>
      </c>
      <c r="D2500" s="4">
        <f>1149/(60*60*24)</f>
        <v>1.3298611111111112E-2</v>
      </c>
      <c r="E2500" s="3">
        <f>3630/(60*60*24)</f>
        <v>4.2013888888888892E-2</v>
      </c>
      <c r="F2500" s="6">
        <f>12339/(60*60*24)</f>
        <v>0.14281250000000001</v>
      </c>
      <c r="G2500" s="7" t="s">
        <v>9</v>
      </c>
    </row>
    <row r="2501" spans="1:7" x14ac:dyDescent="0.45">
      <c r="A2501" t="s">
        <v>2596</v>
      </c>
      <c r="B2501" s="2" t="s">
        <v>80</v>
      </c>
      <c r="C2501" s="8" t="s">
        <v>12</v>
      </c>
      <c r="D2501" s="4">
        <f>1337/(60*60*24)</f>
        <v>1.5474537037037037E-2</v>
      </c>
      <c r="E2501" s="3">
        <f>3461/(60*60*24)</f>
        <v>4.0057870370370369E-2</v>
      </c>
      <c r="F2501" s="5">
        <f>11719/(60*60*24)</f>
        <v>0.13563657407407406</v>
      </c>
      <c r="G2501" s="7" t="s">
        <v>9</v>
      </c>
    </row>
    <row r="2502" spans="1:7" x14ac:dyDescent="0.45">
      <c r="A2502" t="s">
        <v>2597</v>
      </c>
      <c r="B2502" s="2" t="s">
        <v>84</v>
      </c>
      <c r="C2502" s="5">
        <f>3631/(60*60*24)</f>
        <v>4.2025462962962966E-2</v>
      </c>
      <c r="D2502" s="4">
        <f>1346/(60*60*24)</f>
        <v>1.5578703703703704E-2</v>
      </c>
      <c r="E2502" s="3">
        <f>3419/(60*60*24)</f>
        <v>3.9571759259259258E-2</v>
      </c>
      <c r="F2502" s="6">
        <f>11337/(60*60*24)</f>
        <v>0.13121527777777778</v>
      </c>
      <c r="G2502" s="7" t="s">
        <v>9</v>
      </c>
    </row>
    <row r="2503" spans="1:7" x14ac:dyDescent="0.45">
      <c r="A2503" t="s">
        <v>2598</v>
      </c>
      <c r="B2503" s="2" t="s">
        <v>82</v>
      </c>
      <c r="C2503" s="3">
        <f>3303/(60*60*24)</f>
        <v>3.8229166666666668E-2</v>
      </c>
      <c r="D2503" s="4">
        <f>1452/(60*60*24)</f>
        <v>1.6805555555555556E-2</v>
      </c>
      <c r="E2503" s="5">
        <f>3514/(60*60*24)</f>
        <v>4.0671296296296296E-2</v>
      </c>
      <c r="F2503" s="6">
        <f>11050/(60*60*24)</f>
        <v>0.12789351851851852</v>
      </c>
      <c r="G2503" s="7" t="s">
        <v>9</v>
      </c>
    </row>
    <row r="2504" spans="1:7" x14ac:dyDescent="0.45">
      <c r="A2504" t="s">
        <v>2599</v>
      </c>
      <c r="B2504" s="2" t="s">
        <v>88</v>
      </c>
      <c r="C2504" s="5">
        <f>3474/(60*60*24)</f>
        <v>4.0208333333333332E-2</v>
      </c>
      <c r="D2504" s="4">
        <f>1368/(60*60*24)</f>
        <v>1.5833333333333335E-2</v>
      </c>
      <c r="E2504" s="3">
        <f>3422/(60*60*24)</f>
        <v>3.9606481481481479E-2</v>
      </c>
      <c r="F2504" s="6">
        <f>10895/(60*60*24)</f>
        <v>0.12609953703703702</v>
      </c>
      <c r="G2504" s="7" t="s">
        <v>9</v>
      </c>
    </row>
    <row r="2505" spans="1:7" x14ac:dyDescent="0.45">
      <c r="A2505" t="s">
        <v>2600</v>
      </c>
      <c r="B2505" s="2" t="s">
        <v>86</v>
      </c>
      <c r="C2505" s="5">
        <f>3745/(60*60*24)</f>
        <v>4.3344907407407408E-2</v>
      </c>
      <c r="D2505" s="4">
        <f>1201/(60*60*24)</f>
        <v>1.3900462962962963E-2</v>
      </c>
      <c r="E2505" s="3">
        <f>3236/(60*60*24)</f>
        <v>3.7453703703703704E-2</v>
      </c>
      <c r="F2505" s="6">
        <f>10802/(60*60*24)</f>
        <v>0.12502314814814816</v>
      </c>
      <c r="G2505" s="7" t="s">
        <v>9</v>
      </c>
    </row>
    <row r="2506" spans="1:7" x14ac:dyDescent="0.45">
      <c r="A2506" t="s">
        <v>2601</v>
      </c>
      <c r="B2506" s="2" t="s">
        <v>90</v>
      </c>
      <c r="C2506" s="5">
        <f>4050/(60*60*24)</f>
        <v>4.6875E-2</v>
      </c>
      <c r="D2506" s="4">
        <f>1219/(60*60*24)</f>
        <v>1.4108796296296296E-2</v>
      </c>
      <c r="E2506" s="3">
        <f>3228/(60*60*24)</f>
        <v>3.7361111111111109E-2</v>
      </c>
      <c r="F2506" s="6">
        <f>10332/(60*60*24)</f>
        <v>0.11958333333333333</v>
      </c>
      <c r="G2506" s="7" t="s">
        <v>9</v>
      </c>
    </row>
    <row r="2507" spans="1:7" x14ac:dyDescent="0.45">
      <c r="A2507" t="s">
        <v>2602</v>
      </c>
      <c r="B2507" s="2" t="s">
        <v>92</v>
      </c>
      <c r="C2507" s="5">
        <f>3714/(60*60*24)</f>
        <v>4.2986111111111114E-2</v>
      </c>
      <c r="D2507" s="4">
        <f>937/(60*60*24)</f>
        <v>1.0844907407407407E-2</v>
      </c>
      <c r="E2507" s="3">
        <f>2858/(60*60*24)</f>
        <v>3.30787037037037E-2</v>
      </c>
      <c r="F2507" s="6">
        <f>9730/(60*60*24)</f>
        <v>0.11261574074074074</v>
      </c>
      <c r="G2507" s="7" t="s">
        <v>9</v>
      </c>
    </row>
    <row r="2508" spans="1:7" x14ac:dyDescent="0.45">
      <c r="A2508" t="s">
        <v>2603</v>
      </c>
      <c r="B2508" s="2" t="s">
        <v>94</v>
      </c>
      <c r="C2508" s="5">
        <f>3623/(60*60*24)</f>
        <v>4.193287037037037E-2</v>
      </c>
      <c r="D2508" s="4">
        <f>1010/(60*60*24)</f>
        <v>1.1689814814814814E-2</v>
      </c>
      <c r="E2508" s="3">
        <f>2824/(60*60*24)</f>
        <v>3.2685185185185185E-2</v>
      </c>
      <c r="F2508" s="6">
        <f>9621/(60*60*24)</f>
        <v>0.11135416666666667</v>
      </c>
      <c r="G2508" s="7" t="s">
        <v>9</v>
      </c>
    </row>
    <row r="2509" spans="1:7" x14ac:dyDescent="0.45">
      <c r="A2509" t="s">
        <v>2604</v>
      </c>
      <c r="B2509" s="2" t="s">
        <v>96</v>
      </c>
      <c r="C2509" s="8" t="s">
        <v>12</v>
      </c>
      <c r="D2509" s="4">
        <f>1080/(60*60*24)</f>
        <v>1.2500000000000001E-2</v>
      </c>
      <c r="E2509" s="3">
        <f>2782/(60*60*24)</f>
        <v>3.2199074074074074E-2</v>
      </c>
      <c r="F2509" s="5">
        <f>10132/(60*60*24)</f>
        <v>0.11726851851851852</v>
      </c>
      <c r="G2509" s="7" t="s">
        <v>9</v>
      </c>
    </row>
    <row r="2510" spans="1:7" x14ac:dyDescent="0.45">
      <c r="A2510" t="s">
        <v>2605</v>
      </c>
      <c r="B2510" s="2" t="s">
        <v>100</v>
      </c>
      <c r="C2510" s="5">
        <f>4791/(60*60*24)</f>
        <v>5.545138888888889E-2</v>
      </c>
      <c r="D2510" s="4">
        <f>1377/(60*60*24)</f>
        <v>1.59375E-2</v>
      </c>
      <c r="E2510" s="3">
        <f>2717/(60*60*24)</f>
        <v>3.1446759259259258E-2</v>
      </c>
      <c r="F2510" s="6">
        <f>9729/(60*60*24)</f>
        <v>0.11260416666666667</v>
      </c>
      <c r="G2510" s="7" t="s">
        <v>9</v>
      </c>
    </row>
    <row r="2511" spans="1:7" x14ac:dyDescent="0.45">
      <c r="A2511" t="s">
        <v>2606</v>
      </c>
      <c r="B2511" s="2" t="s">
        <v>98</v>
      </c>
      <c r="C2511" s="8" t="s">
        <v>12</v>
      </c>
      <c r="D2511" s="4">
        <f>1122/(60*60*24)</f>
        <v>1.2986111111111111E-2</v>
      </c>
      <c r="E2511" s="3">
        <f>2556/(60*60*24)</f>
        <v>2.9583333333333333E-2</v>
      </c>
      <c r="F2511" s="5">
        <f>9457/(60*60*24)</f>
        <v>0.10945601851851852</v>
      </c>
      <c r="G2511" s="7" t="s">
        <v>9</v>
      </c>
    </row>
    <row r="2512" spans="1:7" x14ac:dyDescent="0.45">
      <c r="A2512" t="s">
        <v>2607</v>
      </c>
      <c r="B2512" s="2" t="s">
        <v>104</v>
      </c>
      <c r="C2512" s="5">
        <f>4997/(60*60*24)</f>
        <v>5.783564814814815E-2</v>
      </c>
      <c r="D2512" s="4">
        <f>1209/(60*60*24)</f>
        <v>1.3993055555555555E-2</v>
      </c>
      <c r="E2512" s="3">
        <f>2722/(60*60*24)</f>
        <v>3.1504629629629632E-2</v>
      </c>
      <c r="F2512" s="6">
        <f>9314/(60*60*24)</f>
        <v>0.10780092592592593</v>
      </c>
      <c r="G2512" s="7" t="s">
        <v>9</v>
      </c>
    </row>
    <row r="2513" spans="1:7" x14ac:dyDescent="0.45">
      <c r="A2513" t="s">
        <v>2608</v>
      </c>
      <c r="B2513" s="2" t="s">
        <v>102</v>
      </c>
      <c r="C2513" s="5">
        <f>4980/(60*60*24)</f>
        <v>5.7638888888888892E-2</v>
      </c>
      <c r="D2513" s="4">
        <f>1223/(60*60*24)</f>
        <v>1.4155092592592592E-2</v>
      </c>
      <c r="E2513" s="3">
        <f>2625/(60*60*24)</f>
        <v>3.0381944444444444E-2</v>
      </c>
      <c r="F2513" s="6">
        <f>9227/(60*60*24)</f>
        <v>0.10679398148148148</v>
      </c>
      <c r="G2513" s="7" t="s">
        <v>9</v>
      </c>
    </row>
    <row r="2514" spans="1:7" x14ac:dyDescent="0.45">
      <c r="A2514" t="s">
        <v>2609</v>
      </c>
      <c r="B2514" s="2" t="s">
        <v>106</v>
      </c>
      <c r="C2514" s="8" t="s">
        <v>12</v>
      </c>
      <c r="D2514" s="4">
        <f>1199/(60*60*24)</f>
        <v>1.3877314814814815E-2</v>
      </c>
      <c r="E2514" s="3">
        <f>2876/(60*60*24)</f>
        <v>3.3287037037037039E-2</v>
      </c>
      <c r="F2514" s="5">
        <f>9585/(60*60*24)</f>
        <v>0.11093749999999999</v>
      </c>
      <c r="G2514" s="7" t="s">
        <v>9</v>
      </c>
    </row>
    <row r="2515" spans="1:7" x14ac:dyDescent="0.45">
      <c r="A2515" t="s">
        <v>2610</v>
      </c>
      <c r="B2515" s="2" t="s">
        <v>108</v>
      </c>
      <c r="C2515" s="8" t="s">
        <v>12</v>
      </c>
      <c r="D2515" s="4">
        <f>1278/(60*60*24)</f>
        <v>1.4791666666666667E-2</v>
      </c>
      <c r="E2515" s="3">
        <f>2877/(60*60*24)</f>
        <v>3.3298611111111112E-2</v>
      </c>
      <c r="F2515" s="5">
        <f>10249/(60*60*24)</f>
        <v>0.11862268518518519</v>
      </c>
      <c r="G2515" s="7" t="s">
        <v>9</v>
      </c>
    </row>
    <row r="2516" spans="1:7" x14ac:dyDescent="0.45">
      <c r="A2516" t="s">
        <v>2611</v>
      </c>
      <c r="B2516" s="2" t="s">
        <v>112</v>
      </c>
      <c r="C2516" s="5">
        <f>4998/(60*60*24)</f>
        <v>5.7847222222222223E-2</v>
      </c>
      <c r="D2516" s="4">
        <f>1178/(60*60*24)</f>
        <v>1.3634259259259259E-2</v>
      </c>
      <c r="E2516" s="3">
        <f>3074/(60*60*24)</f>
        <v>3.5578703703703703E-2</v>
      </c>
      <c r="F2516" s="6">
        <f>10228/(60*60*24)</f>
        <v>0.11837962962962963</v>
      </c>
      <c r="G2516" s="7" t="s">
        <v>9</v>
      </c>
    </row>
    <row r="2517" spans="1:7" x14ac:dyDescent="0.45">
      <c r="A2517" t="s">
        <v>2612</v>
      </c>
      <c r="B2517" s="2" t="s">
        <v>110</v>
      </c>
      <c r="C2517" s="8" t="s">
        <v>12</v>
      </c>
      <c r="D2517" s="4">
        <f>1250/(60*60*24)</f>
        <v>1.4467592592592593E-2</v>
      </c>
      <c r="E2517" s="3">
        <f>3037/(60*60*24)</f>
        <v>3.515046296296296E-2</v>
      </c>
      <c r="F2517" s="5">
        <f>10323/(60*60*24)</f>
        <v>0.11947916666666666</v>
      </c>
      <c r="G2517" s="7" t="s">
        <v>9</v>
      </c>
    </row>
    <row r="2518" spans="1:7" x14ac:dyDescent="0.45">
      <c r="A2518" t="s">
        <v>2613</v>
      </c>
      <c r="B2518" s="2" t="s">
        <v>114</v>
      </c>
      <c r="C2518" s="8" t="s">
        <v>12</v>
      </c>
      <c r="D2518" s="4">
        <f>1210/(60*60*24)</f>
        <v>1.4004629629629629E-2</v>
      </c>
      <c r="E2518" s="3">
        <f>3089/(60*60*24)</f>
        <v>3.5752314814814813E-2</v>
      </c>
      <c r="F2518" s="5">
        <f>10384/(60*60*24)</f>
        <v>0.12018518518518519</v>
      </c>
      <c r="G2518" s="7" t="s">
        <v>9</v>
      </c>
    </row>
    <row r="2519" spans="1:7" x14ac:dyDescent="0.45">
      <c r="A2519" t="s">
        <v>2614</v>
      </c>
      <c r="B2519" s="2" t="s">
        <v>116</v>
      </c>
      <c r="C2519" s="8" t="s">
        <v>12</v>
      </c>
      <c r="D2519" s="4">
        <f>1315/(60*60*24)</f>
        <v>1.5219907407407408E-2</v>
      </c>
      <c r="E2519" s="3">
        <f>3495/(60*60*24)</f>
        <v>4.0451388888888891E-2</v>
      </c>
      <c r="F2519" s="5">
        <f>10937/(60*60*24)</f>
        <v>0.12658564814814816</v>
      </c>
      <c r="G2519" s="7" t="s">
        <v>9</v>
      </c>
    </row>
    <row r="2520" spans="1:7" x14ac:dyDescent="0.45">
      <c r="A2520" t="s">
        <v>2615</v>
      </c>
      <c r="B2520" s="2" t="s">
        <v>118</v>
      </c>
      <c r="C2520" s="8" t="s">
        <v>12</v>
      </c>
      <c r="D2520" s="4">
        <f>1370/(60*60*24)</f>
        <v>1.5856481481481482E-2</v>
      </c>
      <c r="E2520" s="3">
        <f>3454/(60*60*24)</f>
        <v>3.9976851851851854E-2</v>
      </c>
      <c r="F2520" s="5">
        <f>11464/(60*60*24)</f>
        <v>0.13268518518518518</v>
      </c>
      <c r="G2520" s="7" t="s">
        <v>9</v>
      </c>
    </row>
    <row r="2521" spans="1:7" x14ac:dyDescent="0.45">
      <c r="A2521" t="s">
        <v>2616</v>
      </c>
      <c r="B2521" s="2" t="s">
        <v>120</v>
      </c>
      <c r="C2521" s="8" t="s">
        <v>12</v>
      </c>
      <c r="D2521" s="4">
        <f>1507/(60*60*24)</f>
        <v>1.744212962962963E-2</v>
      </c>
      <c r="E2521" s="3">
        <f>3502/(60*60*24)</f>
        <v>4.0532407407407406E-2</v>
      </c>
      <c r="F2521" s="5">
        <f>12012/(60*60*24)</f>
        <v>0.13902777777777778</v>
      </c>
      <c r="G2521" s="7" t="s">
        <v>9</v>
      </c>
    </row>
    <row r="2522" spans="1:7" x14ac:dyDescent="0.45">
      <c r="A2522" t="s">
        <v>2617</v>
      </c>
      <c r="B2522" s="2" t="s">
        <v>124</v>
      </c>
      <c r="C2522" s="5">
        <f>4842/(60*60*24)</f>
        <v>5.6041666666666663E-2</v>
      </c>
      <c r="D2522" s="4">
        <f>1618/(60*60*24)</f>
        <v>1.8726851851851852E-2</v>
      </c>
      <c r="E2522" s="3">
        <f>3646/(60*60*24)</f>
        <v>4.2199074074074076E-2</v>
      </c>
      <c r="F2522" s="6">
        <f>12346/(60*60*24)</f>
        <v>0.14289351851851853</v>
      </c>
      <c r="G2522" s="7" t="s">
        <v>9</v>
      </c>
    </row>
    <row r="2523" spans="1:7" x14ac:dyDescent="0.45">
      <c r="A2523" t="s">
        <v>2618</v>
      </c>
      <c r="B2523" s="2" t="s">
        <v>122</v>
      </c>
      <c r="C2523" s="5">
        <f>4254/(60*60*24)</f>
        <v>4.9236111111111112E-2</v>
      </c>
      <c r="D2523" s="4">
        <f>1743/(60*60*24)</f>
        <v>2.0173611111111111E-2</v>
      </c>
      <c r="E2523" s="3">
        <f>3888/(60*60*24)</f>
        <v>4.4999999999999998E-2</v>
      </c>
      <c r="F2523" s="6">
        <f>12886/(60*60*24)</f>
        <v>0.14914351851851851</v>
      </c>
      <c r="G2523" s="7" t="s">
        <v>9</v>
      </c>
    </row>
    <row r="2524" spans="1:7" x14ac:dyDescent="0.45">
      <c r="A2524" t="s">
        <v>2619</v>
      </c>
      <c r="B2524" s="2" t="s">
        <v>126</v>
      </c>
      <c r="C2524" s="5">
        <f>5954/(60*60*24)</f>
        <v>6.8912037037037036E-2</v>
      </c>
      <c r="D2524" s="4">
        <f>1746/(60*60*24)</f>
        <v>2.0208333333333332E-2</v>
      </c>
      <c r="E2524" s="3">
        <f>4011/(60*60*24)</f>
        <v>4.642361111111111E-2</v>
      </c>
      <c r="F2524" s="6">
        <f>13545/(60*60*24)</f>
        <v>0.15677083333333333</v>
      </c>
      <c r="G2524" s="7" t="s">
        <v>9</v>
      </c>
    </row>
    <row r="2525" spans="1:7" x14ac:dyDescent="0.45">
      <c r="A2525" t="s">
        <v>2620</v>
      </c>
      <c r="B2525" s="2" t="s">
        <v>128</v>
      </c>
      <c r="C2525" s="5">
        <f>6457/(60*60*24)</f>
        <v>7.4733796296296298E-2</v>
      </c>
      <c r="D2525" s="4">
        <f>1790/(60*60*24)</f>
        <v>2.0717592592592593E-2</v>
      </c>
      <c r="E2525" s="3">
        <f>4189/(60*60*24)</f>
        <v>4.8483796296296296E-2</v>
      </c>
      <c r="F2525" s="6">
        <f>14319/(60*60*24)</f>
        <v>0.16572916666666668</v>
      </c>
      <c r="G2525" s="7" t="s">
        <v>9</v>
      </c>
    </row>
    <row r="2526" spans="1:7" x14ac:dyDescent="0.45">
      <c r="A2526" t="s">
        <v>2621</v>
      </c>
      <c r="B2526" s="2" t="s">
        <v>132</v>
      </c>
      <c r="C2526" s="5">
        <f>6355/(60*60*24)</f>
        <v>7.3553240740740738E-2</v>
      </c>
      <c r="D2526" s="4">
        <f>1936/(60*60*24)</f>
        <v>2.2407407407407407E-2</v>
      </c>
      <c r="E2526" s="3">
        <f>4574/(60*60*24)</f>
        <v>5.2939814814814815E-2</v>
      </c>
      <c r="F2526" s="6">
        <f>15268/(60*60*24)</f>
        <v>0.17671296296296296</v>
      </c>
      <c r="G2526" s="7" t="s">
        <v>9</v>
      </c>
    </row>
    <row r="2527" spans="1:7" x14ac:dyDescent="0.45">
      <c r="A2527" t="s">
        <v>2622</v>
      </c>
      <c r="B2527" s="2" t="s">
        <v>130</v>
      </c>
      <c r="C2527" s="8" t="s">
        <v>12</v>
      </c>
      <c r="D2527" s="4">
        <f>1821/(60*60*24)</f>
        <v>2.1076388888888888E-2</v>
      </c>
      <c r="E2527" s="3">
        <f>4418/(60*60*24)</f>
        <v>5.1134259259259261E-2</v>
      </c>
      <c r="F2527" s="5">
        <f>15075/(60*60*24)</f>
        <v>0.17447916666666666</v>
      </c>
      <c r="G2527" s="7" t="s">
        <v>9</v>
      </c>
    </row>
    <row r="2528" spans="1:7" x14ac:dyDescent="0.45">
      <c r="A2528" t="s">
        <v>2623</v>
      </c>
      <c r="B2528" s="2" t="s">
        <v>136</v>
      </c>
      <c r="C2528" s="5">
        <f>6815/(60*60*24)</f>
        <v>7.8877314814814817E-2</v>
      </c>
      <c r="D2528" s="4">
        <f>2067/(60*60*24)</f>
        <v>2.3923611111111111E-2</v>
      </c>
      <c r="E2528" s="3">
        <f>5093/(60*60*24)</f>
        <v>5.8946759259259261E-2</v>
      </c>
      <c r="F2528" s="6">
        <f>15903/(60*60*24)</f>
        <v>0.18406249999999999</v>
      </c>
      <c r="G2528" s="7" t="s">
        <v>9</v>
      </c>
    </row>
    <row r="2529" spans="1:7" x14ac:dyDescent="0.45">
      <c r="A2529" t="s">
        <v>2624</v>
      </c>
      <c r="B2529" s="2" t="s">
        <v>134</v>
      </c>
      <c r="C2529" s="5">
        <f>5220/(60*60*24)</f>
        <v>6.0416666666666667E-2</v>
      </c>
      <c r="D2529" s="4">
        <f>1953/(60*60*24)</f>
        <v>2.2604166666666668E-2</v>
      </c>
      <c r="E2529" s="3">
        <f>4936/(60*60*24)</f>
        <v>5.7129629629629627E-2</v>
      </c>
      <c r="F2529" s="6">
        <f>16163/(60*60*24)</f>
        <v>0.18707175925925926</v>
      </c>
      <c r="G2529" s="7" t="s">
        <v>9</v>
      </c>
    </row>
    <row r="2530" spans="1:7" x14ac:dyDescent="0.45">
      <c r="A2530" t="s">
        <v>2625</v>
      </c>
      <c r="B2530" s="2" t="s">
        <v>138</v>
      </c>
      <c r="C2530" s="5">
        <f>5226/(60*60*24)</f>
        <v>6.0486111111111109E-2</v>
      </c>
      <c r="D2530" s="4">
        <f>2021/(60*60*24)</f>
        <v>2.3391203703703702E-2</v>
      </c>
      <c r="E2530" s="3">
        <f>4948/(60*60*24)</f>
        <v>5.7268518518518517E-2</v>
      </c>
      <c r="F2530" s="6">
        <f>16558/(60*60*24)</f>
        <v>0.19164351851851852</v>
      </c>
      <c r="G2530" s="7" t="s">
        <v>9</v>
      </c>
    </row>
    <row r="2531" spans="1:7" x14ac:dyDescent="0.45">
      <c r="A2531" t="s">
        <v>2626</v>
      </c>
      <c r="B2531" s="2" t="s">
        <v>140</v>
      </c>
      <c r="C2531" s="8" t="s">
        <v>12</v>
      </c>
      <c r="D2531" s="4">
        <f>2058/(60*60*24)</f>
        <v>2.3819444444444445E-2</v>
      </c>
      <c r="E2531" s="3">
        <f>5141/(60*60*24)</f>
        <v>5.9502314814814813E-2</v>
      </c>
      <c r="F2531" s="5">
        <f>17397/(60*60*24)</f>
        <v>0.20135416666666667</v>
      </c>
      <c r="G2531" s="7" t="s">
        <v>9</v>
      </c>
    </row>
    <row r="2532" spans="1:7" x14ac:dyDescent="0.45">
      <c r="A2532" t="s">
        <v>2627</v>
      </c>
      <c r="B2532" s="2" t="s">
        <v>142</v>
      </c>
      <c r="C2532" s="8" t="s">
        <v>12</v>
      </c>
      <c r="D2532" s="4">
        <f>2144/(60*60*24)</f>
        <v>2.4814814814814814E-2</v>
      </c>
      <c r="E2532" s="3">
        <f>5385/(60*60*24)</f>
        <v>6.232638888888889E-2</v>
      </c>
      <c r="F2532" s="5">
        <f>17970/(60*60*24)</f>
        <v>0.20798611111111112</v>
      </c>
      <c r="G2532" s="7" t="s">
        <v>9</v>
      </c>
    </row>
    <row r="2533" spans="1:7" x14ac:dyDescent="0.45">
      <c r="A2533" t="s">
        <v>2628</v>
      </c>
      <c r="B2533" s="2" t="s">
        <v>144</v>
      </c>
      <c r="C2533" s="8" t="s">
        <v>12</v>
      </c>
      <c r="D2533" s="4">
        <f>2261/(60*60*24)</f>
        <v>2.6168981481481481E-2</v>
      </c>
      <c r="E2533" s="3">
        <f>5408/(60*60*24)</f>
        <v>6.2592592592592589E-2</v>
      </c>
      <c r="F2533" s="5">
        <f>18174/(60*60*24)</f>
        <v>0.21034722222222221</v>
      </c>
      <c r="G2533" s="7" t="s">
        <v>9</v>
      </c>
    </row>
    <row r="2534" spans="1:7" x14ac:dyDescent="0.45">
      <c r="A2534" t="s">
        <v>2629</v>
      </c>
      <c r="B2534" s="2" t="s">
        <v>146</v>
      </c>
      <c r="C2534" s="5">
        <f>8413/(60*60*24)</f>
        <v>9.7372685185185187E-2</v>
      </c>
      <c r="D2534" s="4">
        <f>2321/(60*60*24)</f>
        <v>2.6863425925925926E-2</v>
      </c>
      <c r="E2534" s="3">
        <f>5690/(60*60*24)</f>
        <v>6.5856481481481488E-2</v>
      </c>
      <c r="F2534" s="6">
        <f>19326/(60*60*24)</f>
        <v>0.22368055555555555</v>
      </c>
      <c r="G2534" s="7" t="s">
        <v>9</v>
      </c>
    </row>
    <row r="2535" spans="1:7" x14ac:dyDescent="0.45">
      <c r="A2535" t="s">
        <v>2630</v>
      </c>
      <c r="B2535" s="2" t="s">
        <v>148</v>
      </c>
      <c r="C2535" s="8" t="s">
        <v>12</v>
      </c>
      <c r="D2535" s="4">
        <f>2518/(60*60*24)</f>
        <v>2.914351851851852E-2</v>
      </c>
      <c r="E2535" s="3">
        <f>5913/(60*60*24)</f>
        <v>6.8437499999999998E-2</v>
      </c>
      <c r="F2535" s="5">
        <f>19833/(60*60*24)</f>
        <v>0.22954861111111111</v>
      </c>
      <c r="G2535" s="7" t="s">
        <v>9</v>
      </c>
    </row>
    <row r="2536" spans="1:7" x14ac:dyDescent="0.45">
      <c r="A2536" t="s">
        <v>2631</v>
      </c>
      <c r="B2536" s="2" t="s">
        <v>152</v>
      </c>
      <c r="C2536" s="5">
        <f>6809/(60*60*24)</f>
        <v>7.8807870370370375E-2</v>
      </c>
      <c r="D2536" s="4">
        <f>2419/(60*60*24)</f>
        <v>2.7997685185185184E-2</v>
      </c>
      <c r="E2536" s="3">
        <f>6532/(60*60*24)</f>
        <v>7.5601851851851851E-2</v>
      </c>
      <c r="F2536" s="6">
        <f>22446/(60*60*24)</f>
        <v>0.25979166666666664</v>
      </c>
      <c r="G2536" s="7" t="s">
        <v>9</v>
      </c>
    </row>
    <row r="2537" spans="1:7" x14ac:dyDescent="0.45">
      <c r="A2537" t="s">
        <v>2632</v>
      </c>
      <c r="B2537" s="2" t="s">
        <v>150</v>
      </c>
      <c r="C2537" s="8" t="s">
        <v>12</v>
      </c>
      <c r="D2537" s="4">
        <f>2573/(60*60*24)</f>
        <v>2.9780092592592594E-2</v>
      </c>
      <c r="E2537" s="3">
        <f>6325/(60*60*24)</f>
        <v>7.3206018518518517E-2</v>
      </c>
      <c r="F2537" s="5">
        <f>21285/(60*60*24)</f>
        <v>0.24635416666666668</v>
      </c>
      <c r="G2537" s="7" t="s">
        <v>9</v>
      </c>
    </row>
    <row r="2538" spans="1:7" x14ac:dyDescent="0.45">
      <c r="A2538" t="s">
        <v>2633</v>
      </c>
      <c r="B2538" s="2" t="s">
        <v>154</v>
      </c>
      <c r="C2538" s="8" t="s">
        <v>12</v>
      </c>
      <c r="D2538" s="4">
        <f>2582/(60*60*24)</f>
        <v>2.988425925925926E-2</v>
      </c>
      <c r="E2538" s="3">
        <f>6688/(60*60*24)</f>
        <v>7.7407407407407411E-2</v>
      </c>
      <c r="F2538" s="5">
        <f>22453/(60*60*24)</f>
        <v>0.25987268518518519</v>
      </c>
      <c r="G2538" s="7" t="s">
        <v>9</v>
      </c>
    </row>
    <row r="2539" spans="1:7" x14ac:dyDescent="0.45">
      <c r="A2539" t="s">
        <v>2634</v>
      </c>
      <c r="B2539" s="2" t="s">
        <v>156</v>
      </c>
      <c r="C2539" s="8" t="s">
        <v>12</v>
      </c>
      <c r="D2539" s="4">
        <f>2602/(60*60*24)</f>
        <v>3.0115740740740742E-2</v>
      </c>
      <c r="E2539" s="3">
        <f>6941/(60*60*24)</f>
        <v>8.0335648148148142E-2</v>
      </c>
      <c r="F2539" s="5">
        <f>23607/(60*60*24)</f>
        <v>0.27322916666666669</v>
      </c>
      <c r="G2539" s="7" t="s">
        <v>9</v>
      </c>
    </row>
    <row r="2540" spans="1:7" x14ac:dyDescent="0.45">
      <c r="A2540" t="s">
        <v>2635</v>
      </c>
      <c r="B2540" s="2" t="s">
        <v>160</v>
      </c>
      <c r="C2540" s="8" t="s">
        <v>12</v>
      </c>
      <c r="D2540" s="4">
        <f>2662/(60*60*24)</f>
        <v>3.0810185185185184E-2</v>
      </c>
      <c r="E2540" s="3">
        <f>7060/(60*60*24)</f>
        <v>8.1712962962962959E-2</v>
      </c>
      <c r="F2540" s="5">
        <f>23738/(60*60*24)</f>
        <v>0.27474537037037039</v>
      </c>
      <c r="G2540" s="7" t="s">
        <v>9</v>
      </c>
    </row>
    <row r="2541" spans="1:7" x14ac:dyDescent="0.45">
      <c r="A2541" t="s">
        <v>2636</v>
      </c>
      <c r="B2541" s="2" t="s">
        <v>158</v>
      </c>
      <c r="C2541" s="8" t="s">
        <v>12</v>
      </c>
      <c r="D2541" s="4">
        <f>2586/(60*60*24)</f>
        <v>2.9930555555555554E-2</v>
      </c>
      <c r="E2541" s="3">
        <f>7315/(60*60*24)</f>
        <v>8.4664351851851852E-2</v>
      </c>
      <c r="F2541" s="5">
        <f>24495/(60*60*24)</f>
        <v>0.28350694444444446</v>
      </c>
      <c r="G2541" s="7" t="s">
        <v>9</v>
      </c>
    </row>
    <row r="2542" spans="1:7" x14ac:dyDescent="0.45">
      <c r="A2542" t="s">
        <v>2637</v>
      </c>
      <c r="B2542" s="2" t="s">
        <v>162</v>
      </c>
      <c r="C2542" s="3">
        <f>6951/(60*60*24)</f>
        <v>8.0451388888888892E-2</v>
      </c>
      <c r="D2542" s="4">
        <f>2710/(60*60*24)</f>
        <v>3.1365740740740743E-2</v>
      </c>
      <c r="E2542" s="5">
        <f>7524/(60*60*24)</f>
        <v>8.7083333333333332E-2</v>
      </c>
      <c r="F2542" s="6">
        <f>25301/(60*60*24)</f>
        <v>0.29283564814814816</v>
      </c>
      <c r="G2542" s="7" t="s">
        <v>9</v>
      </c>
    </row>
    <row r="2543" spans="1:7" x14ac:dyDescent="0.45">
      <c r="A2543" t="s">
        <v>2638</v>
      </c>
      <c r="B2543" s="2" t="s">
        <v>164</v>
      </c>
      <c r="C2543" s="8" t="s">
        <v>12</v>
      </c>
      <c r="D2543" s="4">
        <f>2669/(60*60*24)</f>
        <v>3.0891203703703702E-2</v>
      </c>
      <c r="E2543" s="3">
        <f>7856/(60*60*24)</f>
        <v>9.0925925925925924E-2</v>
      </c>
      <c r="F2543" s="5">
        <f>25916/(60*60*24)</f>
        <v>0.29995370370370372</v>
      </c>
      <c r="G2543" s="7" t="s">
        <v>9</v>
      </c>
    </row>
    <row r="2544" spans="1:7" x14ac:dyDescent="0.45">
      <c r="A2544" t="s">
        <v>2639</v>
      </c>
      <c r="B2544" s="2" t="s">
        <v>166</v>
      </c>
      <c r="C2544" s="5">
        <f>9435/(60*60*24)</f>
        <v>0.10920138888888889</v>
      </c>
      <c r="D2544" s="4">
        <f>2582/(60*60*24)</f>
        <v>2.988425925925926E-2</v>
      </c>
      <c r="E2544" s="3">
        <f>8153/(60*60*24)</f>
        <v>9.436342592592592E-2</v>
      </c>
      <c r="F2544" s="6">
        <f>27323/(60*60*24)</f>
        <v>0.31623842592592594</v>
      </c>
      <c r="G2544" s="7" t="s">
        <v>9</v>
      </c>
    </row>
    <row r="2545" spans="1:7" x14ac:dyDescent="0.45">
      <c r="A2545" t="s">
        <v>2640</v>
      </c>
      <c r="B2545" s="2" t="s">
        <v>168</v>
      </c>
      <c r="C2545" s="8" t="s">
        <v>12</v>
      </c>
      <c r="D2545" s="4">
        <f>2661/(60*60*24)</f>
        <v>3.079861111111111E-2</v>
      </c>
      <c r="E2545" s="3">
        <f>7947/(60*60*24)</f>
        <v>9.1979166666666667E-2</v>
      </c>
      <c r="F2545" s="5">
        <f>26912/(60*60*24)</f>
        <v>0.31148148148148147</v>
      </c>
      <c r="G2545" s="7" t="s">
        <v>9</v>
      </c>
    </row>
    <row r="2546" spans="1:7" x14ac:dyDescent="0.45">
      <c r="A2546" t="s">
        <v>2641</v>
      </c>
      <c r="B2546" s="2" t="s">
        <v>170</v>
      </c>
      <c r="C2546" s="5">
        <f>8442/(60*60*24)</f>
        <v>9.7708333333333328E-2</v>
      </c>
      <c r="D2546" s="4">
        <f>2650/(60*60*24)</f>
        <v>3.0671296296296297E-2</v>
      </c>
      <c r="E2546" s="3">
        <f>8392/(60*60*24)</f>
        <v>9.7129629629629635E-2</v>
      </c>
      <c r="F2546" s="6">
        <f>28389/(60*60*24)</f>
        <v>0.3285763888888889</v>
      </c>
      <c r="G2546" s="7" t="s">
        <v>9</v>
      </c>
    </row>
    <row r="2547" spans="1:7" x14ac:dyDescent="0.45">
      <c r="A2547" t="s">
        <v>2642</v>
      </c>
      <c r="B2547" s="2" t="s">
        <v>172</v>
      </c>
      <c r="C2547" s="3">
        <f>7725/(60*60*24)</f>
        <v>8.9409722222222224E-2</v>
      </c>
      <c r="D2547" s="4">
        <f>2968/(60*60*24)</f>
        <v>3.4351851851851849E-2</v>
      </c>
      <c r="E2547" s="5">
        <f>8717/(60*60*24)</f>
        <v>0.10089120370370371</v>
      </c>
      <c r="F2547" s="6">
        <f>29555/(60*60*24)</f>
        <v>0.34207175925925926</v>
      </c>
      <c r="G2547" s="7" t="s">
        <v>9</v>
      </c>
    </row>
    <row r="2548" spans="1:7" x14ac:dyDescent="0.45">
      <c r="A2548" t="s">
        <v>2643</v>
      </c>
      <c r="B2548" s="2" t="s">
        <v>176</v>
      </c>
      <c r="C2548" s="3">
        <f>6885/(60*60*24)</f>
        <v>7.9687499999999994E-2</v>
      </c>
      <c r="D2548" s="4">
        <f>2893/(60*60*24)</f>
        <v>3.3483796296296296E-2</v>
      </c>
      <c r="E2548" s="5">
        <f>8943/(60*60*24)</f>
        <v>0.10350694444444444</v>
      </c>
      <c r="F2548" s="6">
        <f>29872/(60*60*24)</f>
        <v>0.34574074074074074</v>
      </c>
      <c r="G2548" s="7" t="s">
        <v>9</v>
      </c>
    </row>
    <row r="2549" spans="1:7" x14ac:dyDescent="0.45">
      <c r="A2549" t="s">
        <v>2644</v>
      </c>
      <c r="B2549" s="2" t="s">
        <v>174</v>
      </c>
      <c r="C2549" s="8" t="s">
        <v>12</v>
      </c>
      <c r="D2549" s="4">
        <f>3013/(60*60*24)</f>
        <v>3.4872685185185187E-2</v>
      </c>
      <c r="E2549" s="3">
        <f>9123/(60*60*24)</f>
        <v>0.10559027777777778</v>
      </c>
      <c r="F2549" s="5">
        <f>30763/(60*60*24)</f>
        <v>0.35605324074074074</v>
      </c>
      <c r="G2549" s="7" t="s">
        <v>9</v>
      </c>
    </row>
    <row r="2550" spans="1:7" x14ac:dyDescent="0.45">
      <c r="A2550" t="s">
        <v>2645</v>
      </c>
      <c r="B2550" s="2" t="s">
        <v>180</v>
      </c>
      <c r="C2550" s="3">
        <f>6932/(60*60*24)</f>
        <v>8.0231481481481487E-2</v>
      </c>
      <c r="D2550" s="4">
        <f>3078/(60*60*24)</f>
        <v>3.5624999999999997E-2</v>
      </c>
      <c r="E2550" s="5">
        <f>9196/(60*60*24)</f>
        <v>0.10643518518518519</v>
      </c>
      <c r="F2550" s="6">
        <f>31284/(60*60*24)</f>
        <v>0.36208333333333331</v>
      </c>
      <c r="G2550" s="7" t="s">
        <v>9</v>
      </c>
    </row>
    <row r="2551" spans="1:7" x14ac:dyDescent="0.45">
      <c r="A2551" t="s">
        <v>2646</v>
      </c>
      <c r="B2551" s="2" t="s">
        <v>178</v>
      </c>
      <c r="C2551" s="3">
        <f>8969/(60*60*24)</f>
        <v>0.10380787037037037</v>
      </c>
      <c r="D2551" s="4">
        <f>2955/(60*60*24)</f>
        <v>3.4201388888888892E-2</v>
      </c>
      <c r="E2551" s="5">
        <f>9289/(60*60*24)</f>
        <v>0.10751157407407408</v>
      </c>
      <c r="F2551" s="6">
        <f>31917/(60*60*24)</f>
        <v>0.36940972222222224</v>
      </c>
      <c r="G2551" s="7" t="s">
        <v>9</v>
      </c>
    </row>
    <row r="2552" spans="1:7" x14ac:dyDescent="0.45">
      <c r="A2552" t="s">
        <v>2647</v>
      </c>
      <c r="B2552" s="2" t="s">
        <v>184</v>
      </c>
      <c r="C2552" s="3">
        <f>8510/(60*60*24)</f>
        <v>9.8495370370370372E-2</v>
      </c>
      <c r="D2552" s="4">
        <f>3111/(60*60*24)</f>
        <v>3.6006944444444446E-2</v>
      </c>
      <c r="E2552" s="5">
        <f>9682/(60*60*24)</f>
        <v>0.11206018518518518</v>
      </c>
      <c r="F2552" s="6">
        <f>33472/(60*60*24)</f>
        <v>0.38740740740740742</v>
      </c>
      <c r="G2552" s="7" t="s">
        <v>9</v>
      </c>
    </row>
    <row r="2553" spans="1:7" x14ac:dyDescent="0.45">
      <c r="A2553" t="s">
        <v>2648</v>
      </c>
      <c r="B2553" s="2" t="s">
        <v>182</v>
      </c>
      <c r="C2553" s="8" t="s">
        <v>12</v>
      </c>
      <c r="D2553" s="4">
        <f>2989/(60*60*24)</f>
        <v>3.4594907407407408E-2</v>
      </c>
      <c r="E2553" s="3">
        <f>9551/(60*60*24)</f>
        <v>0.11054398148148148</v>
      </c>
      <c r="F2553" s="5">
        <f>32758/(60*60*24)</f>
        <v>0.37914351851851852</v>
      </c>
      <c r="G2553" s="7" t="s">
        <v>9</v>
      </c>
    </row>
    <row r="2554" spans="1:7" x14ac:dyDescent="0.45">
      <c r="A2554" t="s">
        <v>2649</v>
      </c>
      <c r="B2554" s="2" t="s">
        <v>8</v>
      </c>
      <c r="C2554" s="3">
        <f>6857/(60*60*24)</f>
        <v>7.9363425925925921E-2</v>
      </c>
      <c r="D2554" s="4">
        <f>2353/(60*60*24)</f>
        <v>2.7233796296296298E-2</v>
      </c>
      <c r="E2554" s="5">
        <f>9430/(60*60*24)</f>
        <v>0.10914351851851851</v>
      </c>
      <c r="F2554" s="6">
        <f>32445/(60*60*24)</f>
        <v>0.37552083333333336</v>
      </c>
      <c r="G2554" s="7" t="s">
        <v>9</v>
      </c>
    </row>
    <row r="2555" spans="1:7" x14ac:dyDescent="0.45">
      <c r="A2555" t="s">
        <v>2650</v>
      </c>
      <c r="B2555" s="2" t="s">
        <v>11</v>
      </c>
      <c r="C2555" s="8" t="s">
        <v>12</v>
      </c>
      <c r="D2555" s="4">
        <f>2351/(60*60*24)</f>
        <v>2.7210648148148147E-2</v>
      </c>
      <c r="E2555" s="3">
        <f>9265/(60*60*24)</f>
        <v>0.1072337962962963</v>
      </c>
      <c r="F2555" s="5">
        <f>32262/(60*60*24)</f>
        <v>0.37340277777777775</v>
      </c>
      <c r="G2555" s="7" t="s">
        <v>9</v>
      </c>
    </row>
    <row r="2556" spans="1:7" x14ac:dyDescent="0.45">
      <c r="A2556" t="s">
        <v>2651</v>
      </c>
      <c r="B2556" s="2" t="s">
        <v>14</v>
      </c>
      <c r="C2556" s="3">
        <f>7002/(60*60*24)</f>
        <v>8.1041666666666665E-2</v>
      </c>
      <c r="D2556" s="4">
        <f>2377/(60*60*24)</f>
        <v>2.7511574074074074E-2</v>
      </c>
      <c r="E2556" s="5">
        <f>9198/(60*60*24)</f>
        <v>0.10645833333333334</v>
      </c>
      <c r="F2556" s="6">
        <f>31618/(60*60*24)</f>
        <v>0.36594907407407407</v>
      </c>
      <c r="G2556" s="7" t="s">
        <v>9</v>
      </c>
    </row>
    <row r="2557" spans="1:7" x14ac:dyDescent="0.45">
      <c r="A2557" t="s">
        <v>2652</v>
      </c>
      <c r="B2557" s="2" t="s">
        <v>16</v>
      </c>
      <c r="C2557" s="8" t="s">
        <v>12</v>
      </c>
      <c r="D2557" s="4">
        <f>2236/(60*60*24)</f>
        <v>2.5879629629629631E-2</v>
      </c>
      <c r="E2557" s="3">
        <f>9276/(60*60*24)</f>
        <v>0.10736111111111112</v>
      </c>
      <c r="F2557" s="5">
        <f>31454/(60*60*24)</f>
        <v>0.36405092592592592</v>
      </c>
      <c r="G2557" s="7" t="s">
        <v>9</v>
      </c>
    </row>
    <row r="2558" spans="1:7" x14ac:dyDescent="0.45">
      <c r="A2558" t="s">
        <v>2653</v>
      </c>
      <c r="B2558" s="2" t="s">
        <v>18</v>
      </c>
      <c r="C2558" s="8" t="s">
        <v>12</v>
      </c>
      <c r="D2558" s="4">
        <f>2270/(60*60*24)</f>
        <v>2.627314814814815E-2</v>
      </c>
      <c r="E2558" s="3">
        <f>9568/(60*60*24)</f>
        <v>0.11074074074074074</v>
      </c>
      <c r="F2558" s="5">
        <f>31268/(60*60*24)</f>
        <v>0.36189814814814814</v>
      </c>
      <c r="G2558" s="7" t="s">
        <v>9</v>
      </c>
    </row>
    <row r="2559" spans="1:7" x14ac:dyDescent="0.45">
      <c r="A2559" t="s">
        <v>2654</v>
      </c>
      <c r="B2559" s="2" t="s">
        <v>20</v>
      </c>
      <c r="C2559" s="8" t="s">
        <v>12</v>
      </c>
      <c r="D2559" s="4">
        <f>2181/(60*60*24)</f>
        <v>2.5243055555555557E-2</v>
      </c>
      <c r="E2559" s="3">
        <f>8848/(60*60*24)</f>
        <v>0.10240740740740741</v>
      </c>
      <c r="F2559" s="5">
        <f>30086/(60*60*24)</f>
        <v>0.34821759259259261</v>
      </c>
      <c r="G2559" s="7" t="s">
        <v>9</v>
      </c>
    </row>
    <row r="2560" spans="1:7" x14ac:dyDescent="0.45">
      <c r="A2560" t="s">
        <v>2655</v>
      </c>
      <c r="B2560" s="2" t="s">
        <v>24</v>
      </c>
      <c r="C2560" s="3">
        <f>6084/(60*60*24)</f>
        <v>7.0416666666666669E-2</v>
      </c>
      <c r="D2560" s="4">
        <f>1973/(60*60*24)</f>
        <v>2.2835648148148147E-2</v>
      </c>
      <c r="E2560" s="5">
        <f>8416/(60*60*24)</f>
        <v>9.7407407407407401E-2</v>
      </c>
      <c r="F2560" s="6">
        <f>28151/(60*60*24)</f>
        <v>0.32582175925925927</v>
      </c>
      <c r="G2560" s="7" t="s">
        <v>9</v>
      </c>
    </row>
    <row r="2561" spans="1:7" x14ac:dyDescent="0.45">
      <c r="A2561" t="s">
        <v>2656</v>
      </c>
      <c r="B2561" s="2" t="s">
        <v>22</v>
      </c>
      <c r="C2561" s="8" t="s">
        <v>12</v>
      </c>
      <c r="D2561" s="4">
        <f>1984/(60*60*24)</f>
        <v>2.2962962962962963E-2</v>
      </c>
      <c r="E2561" s="3">
        <f>8557/(60*60*24)</f>
        <v>9.9039351851851851E-2</v>
      </c>
      <c r="F2561" s="5">
        <f>29261/(60*60*24)</f>
        <v>0.3386689814814815</v>
      </c>
      <c r="G2561" s="7" t="s">
        <v>9</v>
      </c>
    </row>
    <row r="2562" spans="1:7" x14ac:dyDescent="0.45">
      <c r="A2562" t="s">
        <v>2657</v>
      </c>
      <c r="B2562" s="2" t="s">
        <v>26</v>
      </c>
      <c r="C2562" s="3">
        <f>5867/(60*60*24)</f>
        <v>6.7905092592592586E-2</v>
      </c>
      <c r="D2562" s="4">
        <f>1994/(60*60*24)</f>
        <v>2.3078703703703702E-2</v>
      </c>
      <c r="E2562" s="5">
        <f>8210/(60*60*24)</f>
        <v>9.5023148148148148E-2</v>
      </c>
      <c r="F2562" s="6">
        <f>27360/(60*60*24)</f>
        <v>0.31666666666666665</v>
      </c>
      <c r="G2562" s="7" t="s">
        <v>9</v>
      </c>
    </row>
    <row r="2563" spans="1:7" x14ac:dyDescent="0.45">
      <c r="A2563" t="s">
        <v>2658</v>
      </c>
      <c r="B2563" s="2" t="s">
        <v>28</v>
      </c>
      <c r="C2563" s="8" t="s">
        <v>12</v>
      </c>
      <c r="D2563" s="4">
        <f>2076/(60*60*24)</f>
        <v>2.4027777777777776E-2</v>
      </c>
      <c r="E2563" s="3">
        <f>8063/(60*60*24)</f>
        <v>9.3321759259259257E-2</v>
      </c>
      <c r="F2563" s="5">
        <f>26694/(60*60*24)</f>
        <v>0.30895833333333333</v>
      </c>
      <c r="G2563" s="7" t="s">
        <v>9</v>
      </c>
    </row>
    <row r="2564" spans="1:7" x14ac:dyDescent="0.45">
      <c r="A2564" t="s">
        <v>2659</v>
      </c>
      <c r="B2564" s="2" t="s">
        <v>30</v>
      </c>
      <c r="C2564" s="3">
        <f>5539/(60*60*24)</f>
        <v>6.4108796296296303E-2</v>
      </c>
      <c r="D2564" s="4">
        <f>2252/(60*60*24)</f>
        <v>2.6064814814814815E-2</v>
      </c>
      <c r="E2564" s="5">
        <f>7866/(60*60*24)</f>
        <v>9.1041666666666674E-2</v>
      </c>
      <c r="F2564" s="6">
        <f>26109/(60*60*24)</f>
        <v>0.3021875</v>
      </c>
      <c r="G2564" s="7" t="s">
        <v>9</v>
      </c>
    </row>
    <row r="2565" spans="1:7" x14ac:dyDescent="0.45">
      <c r="A2565" t="s">
        <v>2660</v>
      </c>
      <c r="B2565" s="2" t="s">
        <v>32</v>
      </c>
      <c r="C2565" s="3">
        <f>5565/(60*60*24)</f>
        <v>6.4409722222222215E-2</v>
      </c>
      <c r="D2565" s="4">
        <f>2251/(60*60*24)</f>
        <v>2.6053240740740741E-2</v>
      </c>
      <c r="E2565" s="5">
        <f>7680/(60*60*24)</f>
        <v>8.8888888888888892E-2</v>
      </c>
      <c r="F2565" s="6">
        <f>25509/(60*60*24)</f>
        <v>0.29524305555555558</v>
      </c>
      <c r="G2565" s="7" t="s">
        <v>9</v>
      </c>
    </row>
    <row r="2566" spans="1:7" x14ac:dyDescent="0.45">
      <c r="A2566" t="s">
        <v>2661</v>
      </c>
      <c r="B2566" s="2" t="s">
        <v>36</v>
      </c>
      <c r="C2566" s="3">
        <f>4654/(60*60*24)</f>
        <v>5.3865740740740742E-2</v>
      </c>
      <c r="D2566" s="4">
        <f>2385/(60*60*24)</f>
        <v>2.7604166666666666E-2</v>
      </c>
      <c r="E2566" s="5">
        <f>7417/(60*60*24)</f>
        <v>8.5844907407407411E-2</v>
      </c>
      <c r="F2566" s="6">
        <f>24806/(60*60*24)</f>
        <v>0.28710648148148149</v>
      </c>
      <c r="G2566" s="7" t="s">
        <v>9</v>
      </c>
    </row>
    <row r="2567" spans="1:7" x14ac:dyDescent="0.45">
      <c r="A2567" t="s">
        <v>2662</v>
      </c>
      <c r="B2567" s="2" t="s">
        <v>34</v>
      </c>
      <c r="C2567" s="3">
        <f>4891/(60*60*24)</f>
        <v>5.6608796296296296E-2</v>
      </c>
      <c r="D2567" s="4">
        <f>2404/(60*60*24)</f>
        <v>2.7824074074074074E-2</v>
      </c>
      <c r="E2567" s="5">
        <f>7239/(60*60*24)</f>
        <v>8.3784722222222219E-2</v>
      </c>
      <c r="F2567" s="6">
        <f>24142/(60*60*24)</f>
        <v>0.27942129629629631</v>
      </c>
      <c r="G2567" s="7" t="s">
        <v>9</v>
      </c>
    </row>
    <row r="2568" spans="1:7" x14ac:dyDescent="0.45">
      <c r="A2568" t="s">
        <v>2663</v>
      </c>
      <c r="B2568" s="2" t="s">
        <v>38</v>
      </c>
      <c r="C2568" s="3">
        <f>5539/(60*60*24)</f>
        <v>6.4108796296296303E-2</v>
      </c>
      <c r="D2568" s="4">
        <f>2436/(60*60*24)</f>
        <v>2.8194444444444446E-2</v>
      </c>
      <c r="E2568" s="5">
        <f>7253/(60*60*24)</f>
        <v>8.3946759259259263E-2</v>
      </c>
      <c r="F2568" s="6">
        <f>23779/(60*60*24)</f>
        <v>0.27521990740740743</v>
      </c>
      <c r="G2568" s="7" t="s">
        <v>9</v>
      </c>
    </row>
    <row r="2569" spans="1:7" x14ac:dyDescent="0.45">
      <c r="A2569" t="s">
        <v>2664</v>
      </c>
      <c r="B2569" s="2" t="s">
        <v>40</v>
      </c>
      <c r="C2569" s="3">
        <f>6548/(60*60*24)</f>
        <v>7.5787037037037042E-2</v>
      </c>
      <c r="D2569" s="4">
        <f>2616/(60*60*24)</f>
        <v>3.0277777777777778E-2</v>
      </c>
      <c r="E2569" s="5">
        <f>7025/(60*60*24)</f>
        <v>8.1307870370370364E-2</v>
      </c>
      <c r="F2569" s="6">
        <f>22935/(60*60*24)</f>
        <v>0.26545138888888886</v>
      </c>
      <c r="G2569" s="7" t="s">
        <v>9</v>
      </c>
    </row>
    <row r="2570" spans="1:7" x14ac:dyDescent="0.45">
      <c r="A2570" t="s">
        <v>2665</v>
      </c>
      <c r="B2570" s="2" t="s">
        <v>44</v>
      </c>
      <c r="C2570" s="8" t="s">
        <v>12</v>
      </c>
      <c r="D2570" s="4">
        <f>2573/(60*60*24)</f>
        <v>2.9780092592592594E-2</v>
      </c>
      <c r="E2570" s="3">
        <f>6921/(60*60*24)</f>
        <v>8.0104166666666671E-2</v>
      </c>
      <c r="F2570" s="5">
        <f>22297/(60*60*24)</f>
        <v>0.25806712962962963</v>
      </c>
      <c r="G2570" s="7" t="s">
        <v>9</v>
      </c>
    </row>
    <row r="2571" spans="1:7" x14ac:dyDescent="0.45">
      <c r="A2571" t="s">
        <v>2666</v>
      </c>
      <c r="B2571" s="2" t="s">
        <v>42</v>
      </c>
      <c r="C2571" s="8" t="s">
        <v>12</v>
      </c>
      <c r="D2571" s="4">
        <f>2858/(60*60*24)</f>
        <v>3.30787037037037E-2</v>
      </c>
      <c r="E2571" s="3">
        <f>6950/(60*60*24)</f>
        <v>8.0439814814814811E-2</v>
      </c>
      <c r="F2571" s="5">
        <f>21885/(60*60*24)</f>
        <v>0.25329861111111113</v>
      </c>
      <c r="G2571" s="7" t="s">
        <v>9</v>
      </c>
    </row>
    <row r="2572" spans="1:7" x14ac:dyDescent="0.45">
      <c r="A2572" t="s">
        <v>2667</v>
      </c>
      <c r="B2572" s="2" t="s">
        <v>46</v>
      </c>
      <c r="C2572" s="8" t="s">
        <v>12</v>
      </c>
      <c r="D2572" s="4">
        <f>2793/(60*60*24)</f>
        <v>3.2326388888888891E-2</v>
      </c>
      <c r="E2572" s="3">
        <f>6520/(60*60*24)</f>
        <v>7.5462962962962968E-2</v>
      </c>
      <c r="F2572" s="5">
        <f>21107/(60*60*24)</f>
        <v>0.24429398148148149</v>
      </c>
      <c r="G2572" s="7" t="s">
        <v>9</v>
      </c>
    </row>
    <row r="2573" spans="1:7" x14ac:dyDescent="0.45">
      <c r="A2573" t="s">
        <v>2668</v>
      </c>
      <c r="B2573" s="2" t="s">
        <v>48</v>
      </c>
      <c r="C2573" s="8" t="s">
        <v>12</v>
      </c>
      <c r="D2573" s="4">
        <f>2632/(60*60*24)</f>
        <v>3.0462962962962963E-2</v>
      </c>
      <c r="E2573" s="3">
        <f>6223/(60*60*24)</f>
        <v>7.2025462962962958E-2</v>
      </c>
      <c r="F2573" s="5">
        <f>20421/(60*60*24)</f>
        <v>0.23635416666666667</v>
      </c>
      <c r="G2573" s="7" t="s">
        <v>9</v>
      </c>
    </row>
    <row r="2574" spans="1:7" x14ac:dyDescent="0.45">
      <c r="A2574" t="s">
        <v>2669</v>
      </c>
      <c r="B2574" s="2" t="s">
        <v>50</v>
      </c>
      <c r="C2574" s="8" t="s">
        <v>12</v>
      </c>
      <c r="D2574" s="4">
        <f>2708/(60*60*24)</f>
        <v>3.1342592592592596E-2</v>
      </c>
      <c r="E2574" s="3">
        <f>6306/(60*60*24)</f>
        <v>7.2986111111111113E-2</v>
      </c>
      <c r="F2574" s="5">
        <f>19888/(60*60*24)</f>
        <v>0.23018518518518519</v>
      </c>
      <c r="G2574" s="7" t="s">
        <v>9</v>
      </c>
    </row>
    <row r="2575" spans="1:7" x14ac:dyDescent="0.45">
      <c r="A2575" t="s">
        <v>2670</v>
      </c>
      <c r="B2575" s="2" t="s">
        <v>52</v>
      </c>
      <c r="C2575" s="8" t="s">
        <v>12</v>
      </c>
      <c r="D2575" s="4">
        <f>3043/(60*60*24)</f>
        <v>3.5219907407407408E-2</v>
      </c>
      <c r="E2575" s="3">
        <f>6089/(60*60*24)</f>
        <v>7.0474537037037044E-2</v>
      </c>
      <c r="F2575" s="5">
        <f>19648/(60*60*24)</f>
        <v>0.22740740740740742</v>
      </c>
      <c r="G2575" s="7" t="s">
        <v>9</v>
      </c>
    </row>
    <row r="2576" spans="1:7" x14ac:dyDescent="0.45">
      <c r="A2576" t="s">
        <v>2671</v>
      </c>
      <c r="B2576" s="2" t="s">
        <v>54</v>
      </c>
      <c r="C2576" s="8" t="s">
        <v>12</v>
      </c>
      <c r="D2576" s="4">
        <f>2464/(60*60*24)</f>
        <v>2.8518518518518519E-2</v>
      </c>
      <c r="E2576" s="3">
        <f>5920/(60*60*24)</f>
        <v>6.851851851851852E-2</v>
      </c>
      <c r="F2576" s="5">
        <f>19117/(60*60*24)</f>
        <v>0.22126157407407407</v>
      </c>
      <c r="G2576" s="7" t="s">
        <v>9</v>
      </c>
    </row>
    <row r="2577" spans="1:7" x14ac:dyDescent="0.45">
      <c r="A2577" t="s">
        <v>2672</v>
      </c>
      <c r="B2577" s="2" t="s">
        <v>56</v>
      </c>
      <c r="C2577" s="8" t="s">
        <v>12</v>
      </c>
      <c r="D2577" s="4">
        <f>3193/(60*60*24)</f>
        <v>3.695601851851852E-2</v>
      </c>
      <c r="E2577" s="3">
        <f>5696/(60*60*24)</f>
        <v>6.5925925925925929E-2</v>
      </c>
      <c r="F2577" s="5">
        <f>18397/(60*60*24)</f>
        <v>0.21292824074074074</v>
      </c>
      <c r="G2577" s="7" t="s">
        <v>9</v>
      </c>
    </row>
    <row r="2578" spans="1:7" x14ac:dyDescent="0.45">
      <c r="A2578" t="s">
        <v>2673</v>
      </c>
      <c r="B2578" s="2" t="s">
        <v>58</v>
      </c>
      <c r="C2578" s="3">
        <f>4987/(60*60*24)</f>
        <v>5.7719907407407407E-2</v>
      </c>
      <c r="D2578" s="4">
        <f>2432/(60*60*24)</f>
        <v>2.8148148148148148E-2</v>
      </c>
      <c r="E2578" s="5">
        <f>5546/(60*60*24)</f>
        <v>6.4189814814814811E-2</v>
      </c>
      <c r="F2578" s="6">
        <f>17827/(60*60*24)</f>
        <v>0.20633101851851851</v>
      </c>
      <c r="G2578" s="7" t="s">
        <v>9</v>
      </c>
    </row>
    <row r="2579" spans="1:7" x14ac:dyDescent="0.45">
      <c r="A2579" t="s">
        <v>2674</v>
      </c>
      <c r="B2579" s="2" t="s">
        <v>60</v>
      </c>
      <c r="C2579" s="3">
        <f>4525/(60*60*24)</f>
        <v>5.2372685185185182E-2</v>
      </c>
      <c r="D2579" s="4">
        <f>2536/(60*60*24)</f>
        <v>2.9351851851851851E-2</v>
      </c>
      <c r="E2579" s="5">
        <f>5235/(60*60*24)</f>
        <v>6.0590277777777778E-2</v>
      </c>
      <c r="F2579" s="6">
        <f>17189/(60*60*24)</f>
        <v>0.19894675925925925</v>
      </c>
      <c r="G2579" s="7" t="s">
        <v>9</v>
      </c>
    </row>
    <row r="2580" spans="1:7" x14ac:dyDescent="0.45">
      <c r="A2580" t="s">
        <v>2675</v>
      </c>
      <c r="B2580" s="2" t="s">
        <v>62</v>
      </c>
      <c r="C2580" s="3">
        <f>4634/(60*60*24)</f>
        <v>5.3634259259259257E-2</v>
      </c>
      <c r="D2580" s="4">
        <f>3277/(60*60*24)</f>
        <v>3.7928240740740742E-2</v>
      </c>
      <c r="E2580" s="5">
        <f>5257/(60*60*24)</f>
        <v>6.084490740740741E-2</v>
      </c>
      <c r="F2580" s="6">
        <f>16988/(60*60*24)</f>
        <v>0.19662037037037036</v>
      </c>
      <c r="G2580" s="7" t="s">
        <v>9</v>
      </c>
    </row>
    <row r="2581" spans="1:7" x14ac:dyDescent="0.45">
      <c r="A2581" t="s">
        <v>2676</v>
      </c>
      <c r="B2581" s="2" t="s">
        <v>64</v>
      </c>
      <c r="C2581" s="3">
        <f>4119/(60*60*24)</f>
        <v>4.7673611111111111E-2</v>
      </c>
      <c r="D2581" s="4">
        <f>2028/(60*60*24)</f>
        <v>2.3472222222222221E-2</v>
      </c>
      <c r="E2581" s="5">
        <f>4894/(60*60*24)</f>
        <v>5.6643518518518517E-2</v>
      </c>
      <c r="F2581" s="6">
        <f>16247/(60*60*24)</f>
        <v>0.18804398148148149</v>
      </c>
      <c r="G2581" s="7" t="s">
        <v>9</v>
      </c>
    </row>
    <row r="2582" spans="1:7" x14ac:dyDescent="0.45">
      <c r="A2582" t="s">
        <v>2677</v>
      </c>
      <c r="B2582" s="2" t="s">
        <v>66</v>
      </c>
      <c r="C2582" s="8" t="s">
        <v>12</v>
      </c>
      <c r="D2582" s="4">
        <f>2184/(60*60*24)</f>
        <v>2.5277777777777777E-2</v>
      </c>
      <c r="E2582" s="3">
        <f>4507/(60*60*24)</f>
        <v>5.2164351851851851E-2</v>
      </c>
      <c r="F2582" s="5">
        <f>15661/(60*60*24)</f>
        <v>0.18126157407407406</v>
      </c>
      <c r="G2582" s="7" t="s">
        <v>9</v>
      </c>
    </row>
    <row r="2583" spans="1:7" x14ac:dyDescent="0.45">
      <c r="A2583" t="s">
        <v>2678</v>
      </c>
      <c r="B2583" s="2" t="s">
        <v>68</v>
      </c>
      <c r="C2583" s="8" t="s">
        <v>12</v>
      </c>
      <c r="D2583" s="4">
        <f>2276/(60*60*24)</f>
        <v>2.6342592592592591E-2</v>
      </c>
      <c r="E2583" s="3">
        <f>4391/(60*60*24)</f>
        <v>5.0821759259259261E-2</v>
      </c>
      <c r="F2583" s="5">
        <f>15127/(60*60*24)</f>
        <v>0.17508101851851851</v>
      </c>
      <c r="G2583" s="7" t="s">
        <v>9</v>
      </c>
    </row>
    <row r="2584" spans="1:7" x14ac:dyDescent="0.45">
      <c r="A2584" t="s">
        <v>2679</v>
      </c>
      <c r="B2584" s="2" t="s">
        <v>70</v>
      </c>
      <c r="C2584" s="8" t="s">
        <v>12</v>
      </c>
      <c r="D2584" s="4">
        <f>2171/(60*60*24)</f>
        <v>2.5127314814814814E-2</v>
      </c>
      <c r="E2584" s="3">
        <f>4461/(60*60*24)</f>
        <v>5.1631944444444446E-2</v>
      </c>
      <c r="F2584" s="5">
        <f>14713/(60*60*24)</f>
        <v>0.17028935185185184</v>
      </c>
      <c r="G2584" s="7" t="s">
        <v>9</v>
      </c>
    </row>
    <row r="2585" spans="1:7" x14ac:dyDescent="0.45">
      <c r="A2585" t="s">
        <v>2680</v>
      </c>
      <c r="B2585" s="2" t="s">
        <v>72</v>
      </c>
      <c r="C2585" s="8" t="s">
        <v>12</v>
      </c>
      <c r="D2585" s="4">
        <f>1420/(60*60*24)</f>
        <v>1.6435185185185185E-2</v>
      </c>
      <c r="E2585" s="3">
        <f>4320/(60*60*24)</f>
        <v>0.05</v>
      </c>
      <c r="F2585" s="5">
        <f>14407/(60*60*24)</f>
        <v>0.16674768518518518</v>
      </c>
      <c r="G2585" s="7" t="s">
        <v>9</v>
      </c>
    </row>
    <row r="2586" spans="1:7" x14ac:dyDescent="0.45">
      <c r="A2586" t="s">
        <v>2681</v>
      </c>
      <c r="B2586" s="2" t="s">
        <v>74</v>
      </c>
      <c r="C2586" s="3">
        <f>3952/(60*60*24)</f>
        <v>4.5740740740740742E-2</v>
      </c>
      <c r="D2586" s="4">
        <f>1754/(60*60*24)</f>
        <v>2.0300925925925927E-2</v>
      </c>
      <c r="E2586" s="5">
        <f>4180/(60*60*24)</f>
        <v>4.8379629629629627E-2</v>
      </c>
      <c r="F2586" s="6">
        <f>13878/(60*60*24)</f>
        <v>0.16062499999999999</v>
      </c>
      <c r="G2586" s="7" t="s">
        <v>9</v>
      </c>
    </row>
    <row r="2587" spans="1:7" x14ac:dyDescent="0.45">
      <c r="A2587" t="s">
        <v>2682</v>
      </c>
      <c r="B2587" s="2" t="s">
        <v>76</v>
      </c>
      <c r="C2587" s="3">
        <f>3695/(60*60*24)</f>
        <v>4.2766203703703702E-2</v>
      </c>
      <c r="D2587" s="4">
        <f>1483/(60*60*24)</f>
        <v>1.7164351851851851E-2</v>
      </c>
      <c r="E2587" s="5">
        <f>3924/(60*60*24)</f>
        <v>4.5416666666666668E-2</v>
      </c>
      <c r="F2587" s="6">
        <f>13249/(60*60*24)</f>
        <v>0.15334490740740742</v>
      </c>
      <c r="G2587" s="7" t="s">
        <v>9</v>
      </c>
    </row>
    <row r="2588" spans="1:7" x14ac:dyDescent="0.45">
      <c r="A2588" t="s">
        <v>2683</v>
      </c>
      <c r="B2588" s="2" t="s">
        <v>78</v>
      </c>
      <c r="C2588" s="5">
        <f>3959/(60*60*24)</f>
        <v>4.5821759259259257E-2</v>
      </c>
      <c r="D2588" s="4">
        <f>1492/(60*60*24)</f>
        <v>1.726851851851852E-2</v>
      </c>
      <c r="E2588" s="3">
        <f>3834/(60*60*24)</f>
        <v>4.4374999999999998E-2</v>
      </c>
      <c r="F2588" s="6">
        <f>12761/(60*60*24)</f>
        <v>0.14769675925925926</v>
      </c>
      <c r="G2588" s="7" t="s">
        <v>9</v>
      </c>
    </row>
    <row r="2589" spans="1:7" x14ac:dyDescent="0.45">
      <c r="A2589" t="s">
        <v>2684</v>
      </c>
      <c r="B2589" s="2" t="s">
        <v>80</v>
      </c>
      <c r="C2589" s="5">
        <f>5586/(60*60*24)</f>
        <v>6.4652777777777781E-2</v>
      </c>
      <c r="D2589" s="4">
        <f>1130/(60*60*24)</f>
        <v>1.3078703703703703E-2</v>
      </c>
      <c r="E2589" s="3">
        <f>3646/(60*60*24)</f>
        <v>4.2199074074074076E-2</v>
      </c>
      <c r="F2589" s="6">
        <f>12190/(60*60*24)</f>
        <v>0.14108796296296297</v>
      </c>
      <c r="G2589" s="7" t="s">
        <v>9</v>
      </c>
    </row>
    <row r="2590" spans="1:7" x14ac:dyDescent="0.45">
      <c r="A2590" t="s">
        <v>2685</v>
      </c>
      <c r="B2590" s="2" t="s">
        <v>84</v>
      </c>
      <c r="C2590" s="3">
        <f>3286/(60*60*24)</f>
        <v>3.8032407407407411E-2</v>
      </c>
      <c r="D2590" s="4">
        <f>1262/(60*60*24)</f>
        <v>1.4606481481481481E-2</v>
      </c>
      <c r="E2590" s="5">
        <f>3592/(60*60*24)</f>
        <v>4.1574074074074076E-2</v>
      </c>
      <c r="F2590" s="6">
        <f>12055/(60*60*24)</f>
        <v>0.13952546296296298</v>
      </c>
      <c r="G2590" s="7" t="s">
        <v>9</v>
      </c>
    </row>
    <row r="2591" spans="1:7" x14ac:dyDescent="0.45">
      <c r="A2591" t="s">
        <v>2686</v>
      </c>
      <c r="B2591" s="2" t="s">
        <v>82</v>
      </c>
      <c r="C2591" s="3">
        <f>3433/(60*60*24)</f>
        <v>3.9733796296296295E-2</v>
      </c>
      <c r="D2591" s="4">
        <f>1225/(60*60*24)</f>
        <v>1.4178240740740741E-2</v>
      </c>
      <c r="E2591" s="5">
        <f>3625/(60*60*24)</f>
        <v>4.1956018518518517E-2</v>
      </c>
      <c r="F2591" s="6">
        <f>11828/(60*60*24)</f>
        <v>0.13689814814814816</v>
      </c>
      <c r="G2591" s="7" t="s">
        <v>9</v>
      </c>
    </row>
    <row r="2592" spans="1:7" x14ac:dyDescent="0.45">
      <c r="A2592" t="s">
        <v>2687</v>
      </c>
      <c r="B2592" s="2" t="s">
        <v>88</v>
      </c>
      <c r="C2592" s="3">
        <f>3087/(60*60*24)</f>
        <v>3.5729166666666666E-2</v>
      </c>
      <c r="D2592" s="4">
        <f>1306/(60*60*24)</f>
        <v>1.511574074074074E-2</v>
      </c>
      <c r="E2592" s="5">
        <f>3590/(60*60*24)</f>
        <v>4.1550925925925929E-2</v>
      </c>
      <c r="F2592" s="6">
        <f>11783/(60*60*24)</f>
        <v>0.13637731481481483</v>
      </c>
      <c r="G2592" s="7" t="s">
        <v>9</v>
      </c>
    </row>
    <row r="2593" spans="1:7" x14ac:dyDescent="0.45">
      <c r="A2593" t="s">
        <v>2688</v>
      </c>
      <c r="B2593" s="2" t="s">
        <v>86</v>
      </c>
      <c r="C2593" s="3">
        <f>3104/(60*60*24)</f>
        <v>3.5925925925925924E-2</v>
      </c>
      <c r="D2593" s="4">
        <f>1267/(60*60*24)</f>
        <v>1.4664351851851852E-2</v>
      </c>
      <c r="E2593" s="5">
        <f>3370/(60*60*24)</f>
        <v>3.9004629629629632E-2</v>
      </c>
      <c r="F2593" s="6">
        <f>11138/(60*60*24)</f>
        <v>0.12891203703703705</v>
      </c>
      <c r="G2593" s="7" t="s">
        <v>9</v>
      </c>
    </row>
    <row r="2594" spans="1:7" x14ac:dyDescent="0.45">
      <c r="A2594" t="s">
        <v>2689</v>
      </c>
      <c r="B2594" s="2" t="s">
        <v>90</v>
      </c>
      <c r="C2594" s="5">
        <f>3791/(60*60*24)</f>
        <v>4.3877314814814813E-2</v>
      </c>
      <c r="D2594" s="4">
        <f>1164/(60*60*24)</f>
        <v>1.3472222222222222E-2</v>
      </c>
      <c r="E2594" s="3">
        <f>3141/(60*60*24)</f>
        <v>3.6354166666666667E-2</v>
      </c>
      <c r="F2594" s="6">
        <f>10643/(60*60*24)</f>
        <v>0.12318287037037037</v>
      </c>
      <c r="G2594" s="7" t="s">
        <v>9</v>
      </c>
    </row>
    <row r="2595" spans="1:7" x14ac:dyDescent="0.45">
      <c r="A2595" t="s">
        <v>2690</v>
      </c>
      <c r="B2595" s="2" t="s">
        <v>92</v>
      </c>
      <c r="C2595" s="5">
        <f>4208/(60*60*24)</f>
        <v>4.87037037037037E-2</v>
      </c>
      <c r="D2595" s="4">
        <f>745/(60*60*24)</f>
        <v>8.6226851851851846E-3</v>
      </c>
      <c r="E2595" s="3">
        <f>3055/(60*60*24)</f>
        <v>3.5358796296296298E-2</v>
      </c>
      <c r="F2595" s="6">
        <f>10319/(60*60*24)</f>
        <v>0.11943287037037037</v>
      </c>
      <c r="G2595" s="7" t="s">
        <v>9</v>
      </c>
    </row>
    <row r="2596" spans="1:7" x14ac:dyDescent="0.45">
      <c r="A2596" t="s">
        <v>2691</v>
      </c>
      <c r="B2596" s="2" t="s">
        <v>94</v>
      </c>
      <c r="C2596" s="8" t="s">
        <v>12</v>
      </c>
      <c r="D2596" s="4">
        <f>1068/(60*60*24)</f>
        <v>1.2361111111111111E-2</v>
      </c>
      <c r="E2596" s="3">
        <f>2929/(60*60*24)</f>
        <v>3.3900462962962966E-2</v>
      </c>
      <c r="F2596" s="5">
        <f>10207/(60*60*24)</f>
        <v>0.11813657407407407</v>
      </c>
      <c r="G2596" s="7" t="s">
        <v>9</v>
      </c>
    </row>
    <row r="2597" spans="1:7" x14ac:dyDescent="0.45">
      <c r="A2597" t="s">
        <v>2692</v>
      </c>
      <c r="B2597" s="2" t="s">
        <v>96</v>
      </c>
      <c r="C2597" s="8" t="s">
        <v>12</v>
      </c>
      <c r="D2597" s="4">
        <f>1377/(60*60*24)</f>
        <v>1.59375E-2</v>
      </c>
      <c r="E2597" s="3">
        <f>2829/(60*60*24)</f>
        <v>3.2743055555555553E-2</v>
      </c>
      <c r="F2597" s="5">
        <f>10427/(60*60*24)</f>
        <v>0.12068287037037037</v>
      </c>
      <c r="G2597" s="7" t="s">
        <v>9</v>
      </c>
    </row>
    <row r="2598" spans="1:7" x14ac:dyDescent="0.45">
      <c r="A2598" t="s">
        <v>2693</v>
      </c>
      <c r="B2598" s="2" t="s">
        <v>98</v>
      </c>
      <c r="C2598" s="8" t="s">
        <v>12</v>
      </c>
      <c r="D2598" s="4">
        <f>1164/(60*60*24)</f>
        <v>1.3472222222222222E-2</v>
      </c>
      <c r="E2598" s="3">
        <f>2898/(60*60*24)</f>
        <v>3.3541666666666664E-2</v>
      </c>
      <c r="F2598" s="5">
        <f>10673/(60*60*24)</f>
        <v>0.12353009259259259</v>
      </c>
      <c r="G2598" s="7" t="s">
        <v>9</v>
      </c>
    </row>
    <row r="2599" spans="1:7" x14ac:dyDescent="0.45">
      <c r="A2599" t="s">
        <v>2694</v>
      </c>
      <c r="B2599" s="2" t="s">
        <v>100</v>
      </c>
      <c r="C2599" s="8" t="s">
        <v>12</v>
      </c>
      <c r="D2599" s="4">
        <f>1270/(60*60*24)</f>
        <v>1.4699074074074074E-2</v>
      </c>
      <c r="E2599" s="3">
        <f>2914/(60*60*24)</f>
        <v>3.3726851851851855E-2</v>
      </c>
      <c r="F2599" s="5">
        <f>10528/(60*60*24)</f>
        <v>0.12185185185185185</v>
      </c>
      <c r="G2599" s="7" t="s">
        <v>9</v>
      </c>
    </row>
    <row r="2600" spans="1:7" x14ac:dyDescent="0.45">
      <c r="A2600" t="s">
        <v>2695</v>
      </c>
      <c r="B2600" s="2" t="s">
        <v>104</v>
      </c>
      <c r="C2600" s="8" t="s">
        <v>12</v>
      </c>
      <c r="D2600" s="4">
        <f>1370/(60*60*24)</f>
        <v>1.5856481481481482E-2</v>
      </c>
      <c r="E2600" s="3">
        <f>2940/(60*60*24)</f>
        <v>3.4027777777777775E-2</v>
      </c>
      <c r="F2600" s="5">
        <f>11671/(60*60*24)</f>
        <v>0.13508101851851853</v>
      </c>
      <c r="G2600" s="7" t="s">
        <v>9</v>
      </c>
    </row>
    <row r="2601" spans="1:7" x14ac:dyDescent="0.45">
      <c r="A2601" t="s">
        <v>2696</v>
      </c>
      <c r="B2601" s="2" t="s">
        <v>102</v>
      </c>
      <c r="C2601" s="8" t="s">
        <v>12</v>
      </c>
      <c r="D2601" s="4">
        <f>1297/(60*60*24)</f>
        <v>1.5011574074074075E-2</v>
      </c>
      <c r="E2601" s="3">
        <f>2959/(60*60*24)</f>
        <v>3.4247685185185187E-2</v>
      </c>
      <c r="F2601" s="5">
        <f>10103/(60*60*24)</f>
        <v>0.11693287037037037</v>
      </c>
      <c r="G2601" s="7" t="s">
        <v>9</v>
      </c>
    </row>
    <row r="2602" spans="1:7" x14ac:dyDescent="0.45">
      <c r="A2602" t="s">
        <v>2697</v>
      </c>
      <c r="B2602" s="2" t="s">
        <v>106</v>
      </c>
      <c r="C2602" s="8" t="s">
        <v>12</v>
      </c>
      <c r="D2602" s="4">
        <f>1321/(60*60*24)</f>
        <v>1.5289351851851853E-2</v>
      </c>
      <c r="E2602" s="3">
        <f>2962/(60*60*24)</f>
        <v>3.4282407407407407E-2</v>
      </c>
      <c r="F2602" s="5">
        <f>9965/(60*60*24)</f>
        <v>0.11533564814814815</v>
      </c>
      <c r="G2602" s="7" t="s">
        <v>9</v>
      </c>
    </row>
    <row r="2603" spans="1:7" x14ac:dyDescent="0.45">
      <c r="A2603" t="s">
        <v>2698</v>
      </c>
      <c r="B2603" s="2" t="s">
        <v>108</v>
      </c>
      <c r="C2603" s="8" t="s">
        <v>12</v>
      </c>
      <c r="D2603" s="4">
        <f>1457/(60*60*24)</f>
        <v>1.6863425925925928E-2</v>
      </c>
      <c r="E2603" s="3">
        <f>3143/(60*60*24)</f>
        <v>3.6377314814814814E-2</v>
      </c>
      <c r="F2603" s="5">
        <f>10545/(60*60*24)</f>
        <v>0.12204861111111111</v>
      </c>
      <c r="G2603" s="7" t="s">
        <v>9</v>
      </c>
    </row>
    <row r="2604" spans="1:7" x14ac:dyDescent="0.45">
      <c r="A2604" t="s">
        <v>2699</v>
      </c>
      <c r="B2604" s="2" t="s">
        <v>112</v>
      </c>
      <c r="C2604" s="5">
        <f>5134/(60*60*24)</f>
        <v>5.9421296296296298E-2</v>
      </c>
      <c r="D2604" s="4">
        <f>1224/(60*60*24)</f>
        <v>1.4166666666666666E-2</v>
      </c>
      <c r="E2604" s="3">
        <f>3419/(60*60*24)</f>
        <v>3.9571759259259258E-2</v>
      </c>
      <c r="F2604" s="6">
        <f>10849/(60*60*24)</f>
        <v>0.12556712962962963</v>
      </c>
      <c r="G2604" s="7" t="s">
        <v>9</v>
      </c>
    </row>
    <row r="2605" spans="1:7" x14ac:dyDescent="0.45">
      <c r="A2605" t="s">
        <v>2700</v>
      </c>
      <c r="B2605" s="2" t="s">
        <v>110</v>
      </c>
      <c r="C2605" s="8" t="s">
        <v>12</v>
      </c>
      <c r="D2605" s="4">
        <f>1354/(60*60*24)</f>
        <v>1.5671296296296298E-2</v>
      </c>
      <c r="E2605" s="3">
        <f>3188/(60*60*24)</f>
        <v>3.6898148148148145E-2</v>
      </c>
      <c r="F2605" s="5">
        <f>10843/(60*60*24)</f>
        <v>0.1254976851851852</v>
      </c>
      <c r="G2605" s="7" t="s">
        <v>9</v>
      </c>
    </row>
    <row r="2606" spans="1:7" x14ac:dyDescent="0.45">
      <c r="A2606" t="s">
        <v>2701</v>
      </c>
      <c r="B2606" s="2" t="s">
        <v>116</v>
      </c>
      <c r="C2606" s="5">
        <f>5123/(60*60*24)</f>
        <v>5.9293981481481482E-2</v>
      </c>
      <c r="D2606" s="4">
        <f>1259/(60*60*24)</f>
        <v>1.457175925925926E-2</v>
      </c>
      <c r="E2606" s="3">
        <f>3323/(60*60*24)</f>
        <v>3.8460648148148147E-2</v>
      </c>
      <c r="F2606" s="6">
        <f>11421/(60*60*24)</f>
        <v>0.13218750000000001</v>
      </c>
      <c r="G2606" s="7" t="s">
        <v>9</v>
      </c>
    </row>
    <row r="2607" spans="1:7" x14ac:dyDescent="0.45">
      <c r="A2607" t="s">
        <v>2702</v>
      </c>
      <c r="B2607" s="2" t="s">
        <v>114</v>
      </c>
      <c r="C2607" s="8" t="s">
        <v>12</v>
      </c>
      <c r="D2607" s="4">
        <f>1339/(60*60*24)</f>
        <v>1.5497685185185186E-2</v>
      </c>
      <c r="E2607" s="3">
        <f>3455/(60*60*24)</f>
        <v>3.9988425925925927E-2</v>
      </c>
      <c r="F2607" s="5">
        <f>11103/(60*60*24)</f>
        <v>0.12850694444444444</v>
      </c>
      <c r="G2607" s="7" t="s">
        <v>9</v>
      </c>
    </row>
    <row r="2608" spans="1:7" x14ac:dyDescent="0.45">
      <c r="A2608" t="s">
        <v>2703</v>
      </c>
      <c r="B2608" s="2" t="s">
        <v>118</v>
      </c>
      <c r="C2608" s="8" t="s">
        <v>12</v>
      </c>
      <c r="D2608" s="4">
        <f>1421/(60*60*24)</f>
        <v>1.6446759259259258E-2</v>
      </c>
      <c r="E2608" s="3">
        <f>3693/(60*60*24)</f>
        <v>4.2743055555555555E-2</v>
      </c>
      <c r="F2608" s="5">
        <f>11993/(60*60*24)</f>
        <v>0.13880787037037037</v>
      </c>
      <c r="G2608" s="7" t="s">
        <v>9</v>
      </c>
    </row>
    <row r="2609" spans="1:7" x14ac:dyDescent="0.45">
      <c r="A2609" t="s">
        <v>2704</v>
      </c>
      <c r="B2609" s="2" t="s">
        <v>120</v>
      </c>
      <c r="C2609" s="8" t="s">
        <v>12</v>
      </c>
      <c r="D2609" s="4">
        <f>1600/(60*60*24)</f>
        <v>1.8518518518518517E-2</v>
      </c>
      <c r="E2609" s="3">
        <f>3743/(60*60*24)</f>
        <v>4.3321759259259261E-2</v>
      </c>
      <c r="F2609" s="5">
        <f>12517/(60*60*24)</f>
        <v>0.14487268518518517</v>
      </c>
      <c r="G2609" s="7" t="s">
        <v>9</v>
      </c>
    </row>
    <row r="2610" spans="1:7" x14ac:dyDescent="0.45">
      <c r="A2610" t="s">
        <v>2705</v>
      </c>
      <c r="B2610" s="2" t="s">
        <v>122</v>
      </c>
      <c r="C2610" s="5">
        <f>4604/(60*60*24)</f>
        <v>5.3287037037037036E-2</v>
      </c>
      <c r="D2610" s="4">
        <f>1848/(60*60*24)</f>
        <v>2.1388888888888888E-2</v>
      </c>
      <c r="E2610" s="3">
        <f>3944/(60*60*24)</f>
        <v>4.5648148148148146E-2</v>
      </c>
      <c r="F2610" s="6">
        <f>13280/(60*60*24)</f>
        <v>0.1537037037037037</v>
      </c>
      <c r="G2610" s="7" t="s">
        <v>9</v>
      </c>
    </row>
    <row r="2611" spans="1:7" x14ac:dyDescent="0.45">
      <c r="A2611" t="s">
        <v>2706</v>
      </c>
      <c r="B2611" s="2" t="s">
        <v>124</v>
      </c>
      <c r="C2611" s="8" t="s">
        <v>12</v>
      </c>
      <c r="D2611" s="4">
        <f>1863/(60*60*24)</f>
        <v>2.1562499999999998E-2</v>
      </c>
      <c r="E2611" s="3">
        <f>3944/(60*60*24)</f>
        <v>4.5648148148148146E-2</v>
      </c>
      <c r="F2611" s="5">
        <f>13092/(60*60*24)</f>
        <v>0.15152777777777779</v>
      </c>
      <c r="G2611" s="7" t="s">
        <v>9</v>
      </c>
    </row>
    <row r="2612" spans="1:7" x14ac:dyDescent="0.45">
      <c r="A2612" t="s">
        <v>2707</v>
      </c>
      <c r="B2612" s="2" t="s">
        <v>126</v>
      </c>
      <c r="C2612" s="8" t="s">
        <v>12</v>
      </c>
      <c r="D2612" s="4">
        <f>2019/(60*60*24)</f>
        <v>2.3368055555555555E-2</v>
      </c>
      <c r="E2612" s="3">
        <f>4394/(60*60*24)</f>
        <v>5.0856481481481482E-2</v>
      </c>
      <c r="F2612" s="5">
        <f>13819/(60*60*24)</f>
        <v>0.15994212962962964</v>
      </c>
      <c r="G2612" s="7" t="s">
        <v>9</v>
      </c>
    </row>
    <row r="2613" spans="1:7" x14ac:dyDescent="0.45">
      <c r="A2613" t="s">
        <v>2708</v>
      </c>
      <c r="B2613" s="2" t="s">
        <v>128</v>
      </c>
      <c r="C2613" s="8" t="s">
        <v>12</v>
      </c>
      <c r="D2613" s="4">
        <f>2007/(60*60*24)</f>
        <v>2.3229166666666665E-2</v>
      </c>
      <c r="E2613" s="3">
        <f>4259/(60*60*24)</f>
        <v>4.929398148148148E-2</v>
      </c>
      <c r="F2613" s="5">
        <f>14331/(60*60*24)</f>
        <v>0.16586805555555556</v>
      </c>
      <c r="G2613" s="7" t="s">
        <v>9</v>
      </c>
    </row>
    <row r="2614" spans="1:7" x14ac:dyDescent="0.45">
      <c r="A2614" t="s">
        <v>2709</v>
      </c>
      <c r="B2614" s="2" t="s">
        <v>130</v>
      </c>
      <c r="C2614" s="8" t="s">
        <v>12</v>
      </c>
      <c r="D2614" s="4">
        <f>1948/(60*60*24)</f>
        <v>2.2546296296296297E-2</v>
      </c>
      <c r="E2614" s="3">
        <f>4517/(60*60*24)</f>
        <v>5.2280092592592593E-2</v>
      </c>
      <c r="F2614" s="5">
        <f>15262/(60*60*24)</f>
        <v>0.17664351851851851</v>
      </c>
      <c r="G2614" s="7" t="s">
        <v>9</v>
      </c>
    </row>
    <row r="2615" spans="1:7" x14ac:dyDescent="0.45">
      <c r="A2615" t="s">
        <v>2710</v>
      </c>
      <c r="B2615" s="2" t="s">
        <v>132</v>
      </c>
      <c r="C2615" s="8" t="s">
        <v>12</v>
      </c>
      <c r="D2615" s="4">
        <f>1933/(60*60*24)</f>
        <v>2.2372685185185186E-2</v>
      </c>
      <c r="E2615" s="3">
        <f>4661/(60*60*24)</f>
        <v>5.3946759259259257E-2</v>
      </c>
      <c r="F2615" s="5">
        <f>15921/(60*60*24)</f>
        <v>0.18427083333333333</v>
      </c>
      <c r="G2615" s="7" t="s">
        <v>9</v>
      </c>
    </row>
    <row r="2616" spans="1:7" x14ac:dyDescent="0.45">
      <c r="A2616" t="s">
        <v>2711</v>
      </c>
      <c r="B2616" s="2" t="s">
        <v>134</v>
      </c>
      <c r="C2616" s="5">
        <f>6232/(60*60*24)</f>
        <v>7.2129629629629627E-2</v>
      </c>
      <c r="D2616" s="4">
        <f>2067/(60*60*24)</f>
        <v>2.3923611111111111E-2</v>
      </c>
      <c r="E2616" s="3">
        <f>5225/(60*60*24)</f>
        <v>6.0474537037037035E-2</v>
      </c>
      <c r="F2616" s="6">
        <f>16815/(60*60*24)</f>
        <v>0.19461805555555556</v>
      </c>
      <c r="G2616" s="7" t="s">
        <v>9</v>
      </c>
    </row>
    <row r="2617" spans="1:7" x14ac:dyDescent="0.45">
      <c r="A2617" t="s">
        <v>2712</v>
      </c>
      <c r="B2617" s="2" t="s">
        <v>136</v>
      </c>
      <c r="C2617" s="8" t="s">
        <v>12</v>
      </c>
      <c r="D2617" s="4">
        <f>2016/(60*60*24)</f>
        <v>2.3333333333333334E-2</v>
      </c>
      <c r="E2617" s="3">
        <f>5288/(60*60*24)</f>
        <v>6.1203703703703705E-2</v>
      </c>
      <c r="F2617" s="5">
        <f>16603/(60*60*24)</f>
        <v>0.19216435185185185</v>
      </c>
      <c r="G2617" s="7" t="s">
        <v>9</v>
      </c>
    </row>
    <row r="2618" spans="1:7" x14ac:dyDescent="0.45">
      <c r="A2618" t="s">
        <v>2713</v>
      </c>
      <c r="B2618" s="2" t="s">
        <v>138</v>
      </c>
      <c r="C2618" s="8" t="s">
        <v>12</v>
      </c>
      <c r="D2618" s="4">
        <f>2027/(60*60*24)</f>
        <v>2.3460648148148147E-2</v>
      </c>
      <c r="E2618" s="3">
        <f>5292/(60*60*24)</f>
        <v>6.1249999999999999E-2</v>
      </c>
      <c r="F2618" s="5">
        <f>18774/(60*60*24)</f>
        <v>0.21729166666666666</v>
      </c>
      <c r="G2618" s="7" t="s">
        <v>9</v>
      </c>
    </row>
    <row r="2619" spans="1:7" x14ac:dyDescent="0.45">
      <c r="A2619" t="s">
        <v>2714</v>
      </c>
      <c r="B2619" s="2" t="s">
        <v>140</v>
      </c>
      <c r="C2619" s="8" t="s">
        <v>12</v>
      </c>
      <c r="D2619" s="4">
        <f>2084/(60*60*24)</f>
        <v>2.4120370370370372E-2</v>
      </c>
      <c r="E2619" s="3">
        <f>5280/(60*60*24)</f>
        <v>6.1111111111111109E-2</v>
      </c>
      <c r="F2619" s="5">
        <f>18541/(60*60*24)</f>
        <v>0.21459490740740741</v>
      </c>
      <c r="G2619" s="7" t="s">
        <v>9</v>
      </c>
    </row>
    <row r="2620" spans="1:7" x14ac:dyDescent="0.45">
      <c r="A2620" t="s">
        <v>2715</v>
      </c>
      <c r="B2620" s="2" t="s">
        <v>144</v>
      </c>
      <c r="C2620" s="5">
        <f>8586/(60*60*24)</f>
        <v>9.9375000000000005E-2</v>
      </c>
      <c r="D2620" s="4">
        <f>2228/(60*60*24)</f>
        <v>2.5787037037037035E-2</v>
      </c>
      <c r="E2620" s="3">
        <f>5563/(60*60*24)</f>
        <v>6.4386574074074068E-2</v>
      </c>
      <c r="F2620" s="6">
        <f>18732/(60*60*24)</f>
        <v>0.21680555555555556</v>
      </c>
      <c r="G2620" s="7" t="s">
        <v>9</v>
      </c>
    </row>
    <row r="2621" spans="1:7" x14ac:dyDescent="0.45">
      <c r="A2621" t="s">
        <v>2716</v>
      </c>
      <c r="B2621" s="2" t="s">
        <v>142</v>
      </c>
      <c r="C2621" s="8" t="s">
        <v>12</v>
      </c>
      <c r="D2621" s="4">
        <f>2129/(60*60*24)</f>
        <v>2.4641203703703703E-2</v>
      </c>
      <c r="E2621" s="3">
        <f>5468/(60*60*24)</f>
        <v>6.3287037037037031E-2</v>
      </c>
      <c r="F2621" s="5">
        <f>18517/(60*60*24)</f>
        <v>0.21431712962962962</v>
      </c>
      <c r="G2621" s="7" t="s">
        <v>9</v>
      </c>
    </row>
    <row r="2622" spans="1:7" x14ac:dyDescent="0.45">
      <c r="A2622" t="s">
        <v>2717</v>
      </c>
      <c r="B2622" s="2" t="s">
        <v>146</v>
      </c>
      <c r="C2622" s="5">
        <f>8219/(60*60*24)</f>
        <v>9.5127314814814817E-2</v>
      </c>
      <c r="D2622" s="4">
        <f>2314/(60*60*24)</f>
        <v>2.6782407407407408E-2</v>
      </c>
      <c r="E2622" s="3">
        <f>5932/(60*60*24)</f>
        <v>6.8657407407407403E-2</v>
      </c>
      <c r="F2622" s="6">
        <f>19354/(60*60*24)</f>
        <v>0.22400462962962964</v>
      </c>
      <c r="G2622" s="7" t="s">
        <v>9</v>
      </c>
    </row>
    <row r="2623" spans="1:7" x14ac:dyDescent="0.45">
      <c r="A2623" t="s">
        <v>2718</v>
      </c>
      <c r="B2623" s="2" t="s">
        <v>148</v>
      </c>
      <c r="C2623" s="8" t="s">
        <v>12</v>
      </c>
      <c r="D2623" s="4">
        <f>2428/(60*60*24)</f>
        <v>2.8101851851851854E-2</v>
      </c>
      <c r="E2623" s="3">
        <f>6092/(60*60*24)</f>
        <v>7.0509259259259258E-2</v>
      </c>
      <c r="F2623" s="5">
        <f>19979/(60*60*24)</f>
        <v>0.23123842592592592</v>
      </c>
      <c r="G2623" s="7" t="s">
        <v>9</v>
      </c>
    </row>
    <row r="2624" spans="1:7" x14ac:dyDescent="0.45">
      <c r="A2624" t="s">
        <v>2719</v>
      </c>
      <c r="B2624" s="2" t="s">
        <v>150</v>
      </c>
      <c r="C2624" s="5">
        <f>6627/(60*60*24)</f>
        <v>7.6701388888888888E-2</v>
      </c>
      <c r="D2624" s="4">
        <f>2530/(60*60*24)</f>
        <v>2.9282407407407406E-2</v>
      </c>
      <c r="E2624" s="3">
        <f>6128/(60*60*24)</f>
        <v>7.092592592592592E-2</v>
      </c>
      <c r="F2624" s="6">
        <f>20505/(60*60*24)</f>
        <v>0.23732638888888888</v>
      </c>
      <c r="G2624" s="7" t="s">
        <v>9</v>
      </c>
    </row>
    <row r="2625" spans="1:7" x14ac:dyDescent="0.45">
      <c r="A2625" t="s">
        <v>2720</v>
      </c>
      <c r="B2625" s="2" t="s">
        <v>152</v>
      </c>
      <c r="C2625" s="3">
        <f>6224/(60*60*24)</f>
        <v>7.2037037037037038E-2</v>
      </c>
      <c r="D2625" s="4">
        <f>2621/(60*60*24)</f>
        <v>3.033564814814815E-2</v>
      </c>
      <c r="E2625" s="5">
        <f>6341/(60*60*24)</f>
        <v>7.3391203703703708E-2</v>
      </c>
      <c r="F2625" s="6">
        <f>22262/(60*60*24)</f>
        <v>0.25766203703703705</v>
      </c>
      <c r="G2625" s="7" t="s">
        <v>9</v>
      </c>
    </row>
    <row r="2626" spans="1:7" x14ac:dyDescent="0.45">
      <c r="A2626" t="s">
        <v>2721</v>
      </c>
      <c r="B2626" s="2" t="s">
        <v>154</v>
      </c>
      <c r="C2626" s="8" t="s">
        <v>12</v>
      </c>
      <c r="D2626" s="4">
        <f>2686/(60*60*24)</f>
        <v>3.1087962962962963E-2</v>
      </c>
      <c r="E2626" s="3">
        <f>6688/(60*60*24)</f>
        <v>7.7407407407407411E-2</v>
      </c>
      <c r="F2626" s="5">
        <f>23095/(60*60*24)</f>
        <v>0.26730324074074074</v>
      </c>
      <c r="G2626" s="7" t="s">
        <v>9</v>
      </c>
    </row>
    <row r="2627" spans="1:7" x14ac:dyDescent="0.45">
      <c r="A2627" t="s">
        <v>2722</v>
      </c>
      <c r="B2627" s="2" t="s">
        <v>156</v>
      </c>
      <c r="C2627" s="8" t="s">
        <v>12</v>
      </c>
      <c r="D2627" s="4">
        <f>3216/(60*60*24)</f>
        <v>3.7222222222222219E-2</v>
      </c>
      <c r="E2627" s="3">
        <f>7102/(60*60*24)</f>
        <v>8.2199074074074077E-2</v>
      </c>
      <c r="F2627" s="5">
        <f>23711/(60*60*24)</f>
        <v>0.2744328703703704</v>
      </c>
      <c r="G2627" s="7" t="s">
        <v>9</v>
      </c>
    </row>
    <row r="2628" spans="1:7" x14ac:dyDescent="0.45">
      <c r="A2628" t="s">
        <v>2723</v>
      </c>
      <c r="B2628" s="2" t="s">
        <v>158</v>
      </c>
      <c r="C2628" s="3">
        <f>7165/(60*60*24)</f>
        <v>8.2928240740740747E-2</v>
      </c>
      <c r="D2628" s="4">
        <f>2682/(60*60*24)</f>
        <v>3.1041666666666665E-2</v>
      </c>
      <c r="E2628" s="5">
        <f>7277/(60*60*24)</f>
        <v>8.4224537037037042E-2</v>
      </c>
      <c r="F2628" s="6">
        <f>24530/(60*60*24)</f>
        <v>0.28391203703703705</v>
      </c>
      <c r="G2628" s="7" t="s">
        <v>9</v>
      </c>
    </row>
    <row r="2629" spans="1:7" x14ac:dyDescent="0.45">
      <c r="A2629" t="s">
        <v>2724</v>
      </c>
      <c r="B2629" s="2" t="s">
        <v>160</v>
      </c>
      <c r="C2629" s="8" t="s">
        <v>12</v>
      </c>
      <c r="D2629" s="4">
        <f>2785/(60*60*24)</f>
        <v>3.2233796296296295E-2</v>
      </c>
      <c r="E2629" s="3">
        <f>7432/(60*60*24)</f>
        <v>8.6018518518518522E-2</v>
      </c>
      <c r="F2629" s="5">
        <f>24766/(60*60*24)</f>
        <v>0.28664351851851849</v>
      </c>
      <c r="G2629" s="7" t="s">
        <v>9</v>
      </c>
    </row>
    <row r="2630" spans="1:7" x14ac:dyDescent="0.45">
      <c r="A2630" t="s">
        <v>2725</v>
      </c>
      <c r="B2630" s="2" t="s">
        <v>162</v>
      </c>
      <c r="C2630" s="3">
        <f>6482/(60*60*24)</f>
        <v>7.5023148148148144E-2</v>
      </c>
      <c r="D2630" s="4">
        <f>2585/(60*60*24)</f>
        <v>2.991898148148148E-2</v>
      </c>
      <c r="E2630" s="5">
        <f>7436/(60*60*24)</f>
        <v>8.6064814814814816E-2</v>
      </c>
      <c r="F2630" s="6">
        <f>25279/(60*60*24)</f>
        <v>0.29258101851851853</v>
      </c>
      <c r="G2630" s="7" t="s">
        <v>9</v>
      </c>
    </row>
    <row r="2631" spans="1:7" x14ac:dyDescent="0.45">
      <c r="A2631" t="s">
        <v>2726</v>
      </c>
      <c r="B2631" s="2" t="s">
        <v>164</v>
      </c>
      <c r="C2631" s="5">
        <f>7936/(60*60*24)</f>
        <v>9.1851851851851851E-2</v>
      </c>
      <c r="D2631" s="4">
        <f>2686/(60*60*24)</f>
        <v>3.1087962962962963E-2</v>
      </c>
      <c r="E2631" s="3">
        <f>7714/(60*60*24)</f>
        <v>8.9282407407407408E-2</v>
      </c>
      <c r="F2631" s="6">
        <f>26144/(60*60*24)</f>
        <v>0.30259259259259258</v>
      </c>
      <c r="G2631" s="7" t="s">
        <v>9</v>
      </c>
    </row>
    <row r="2632" spans="1:7" x14ac:dyDescent="0.45">
      <c r="A2632" t="s">
        <v>2727</v>
      </c>
      <c r="B2632" s="2" t="s">
        <v>166</v>
      </c>
      <c r="C2632" s="3">
        <f>7801/(60*60*24)</f>
        <v>9.0289351851851857E-2</v>
      </c>
      <c r="D2632" s="4">
        <f>2768/(60*60*24)</f>
        <v>3.2037037037037037E-2</v>
      </c>
      <c r="E2632" s="5">
        <f>8134/(60*60*24)</f>
        <v>9.4143518518518515E-2</v>
      </c>
      <c r="F2632" s="6">
        <f>27379/(60*60*24)</f>
        <v>0.31688657407407406</v>
      </c>
      <c r="G2632" s="7" t="s">
        <v>9</v>
      </c>
    </row>
    <row r="2633" spans="1:7" x14ac:dyDescent="0.45">
      <c r="A2633" t="s">
        <v>2728</v>
      </c>
      <c r="B2633" s="2" t="s">
        <v>168</v>
      </c>
      <c r="C2633" s="8" t="s">
        <v>12</v>
      </c>
      <c r="D2633" s="4">
        <f>2721/(60*60*24)</f>
        <v>3.1493055555555559E-2</v>
      </c>
      <c r="E2633" s="3">
        <f>7866/(60*60*24)</f>
        <v>9.1041666666666674E-2</v>
      </c>
      <c r="F2633" s="5">
        <f>26754/(60*60*24)</f>
        <v>0.30965277777777778</v>
      </c>
      <c r="G2633" s="7" t="s">
        <v>9</v>
      </c>
    </row>
    <row r="2634" spans="1:7" x14ac:dyDescent="0.45">
      <c r="A2634" t="s">
        <v>2729</v>
      </c>
      <c r="B2634" s="2" t="s">
        <v>170</v>
      </c>
      <c r="C2634" s="3">
        <f>6129/(60*60*24)</f>
        <v>7.0937500000000001E-2</v>
      </c>
      <c r="D2634" s="4">
        <f>2808/(60*60*24)</f>
        <v>3.2500000000000001E-2</v>
      </c>
      <c r="E2634" s="5">
        <f>8200/(60*60*24)</f>
        <v>9.4907407407407413E-2</v>
      </c>
      <c r="F2634" s="6">
        <f>28023/(60*60*24)</f>
        <v>0.3243402777777778</v>
      </c>
      <c r="G2634" s="7" t="s">
        <v>9</v>
      </c>
    </row>
    <row r="2635" spans="1:7" x14ac:dyDescent="0.45">
      <c r="A2635" t="s">
        <v>2730</v>
      </c>
      <c r="B2635" s="2" t="s">
        <v>172</v>
      </c>
      <c r="C2635" s="3">
        <f>6589/(60*60*24)</f>
        <v>7.6261574074074079E-2</v>
      </c>
      <c r="D2635" s="4">
        <f>2773/(60*60*24)</f>
        <v>3.2094907407407405E-2</v>
      </c>
      <c r="E2635" s="5">
        <f>8437/(60*60*24)</f>
        <v>9.7650462962962967E-2</v>
      </c>
      <c r="F2635" s="6">
        <f>28954/(60*60*24)</f>
        <v>0.33511574074074074</v>
      </c>
      <c r="G2635" s="7" t="s">
        <v>9</v>
      </c>
    </row>
    <row r="2636" spans="1:7" x14ac:dyDescent="0.45">
      <c r="A2636" t="s">
        <v>2731</v>
      </c>
      <c r="B2636" s="2" t="s">
        <v>176</v>
      </c>
      <c r="C2636" s="3">
        <f>6641/(60*60*24)</f>
        <v>7.6863425925925932E-2</v>
      </c>
      <c r="D2636" s="4">
        <f>2781/(60*60*24)</f>
        <v>3.2187500000000001E-2</v>
      </c>
      <c r="E2636" s="5">
        <f>8588/(60*60*24)</f>
        <v>9.9398148148148152E-2</v>
      </c>
      <c r="F2636" s="6">
        <f>29630/(60*60*24)</f>
        <v>0.34293981481481484</v>
      </c>
      <c r="G2636" s="7" t="s">
        <v>9</v>
      </c>
    </row>
    <row r="2637" spans="1:7" x14ac:dyDescent="0.45">
      <c r="A2637" t="s">
        <v>2732</v>
      </c>
      <c r="B2637" s="2" t="s">
        <v>174</v>
      </c>
      <c r="C2637" s="3">
        <f>6556/(60*60*24)</f>
        <v>7.587962962962963E-2</v>
      </c>
      <c r="D2637" s="4">
        <f>2958/(60*60*24)</f>
        <v>3.4236111111111113E-2</v>
      </c>
      <c r="E2637" s="5">
        <f>8843/(60*60*24)</f>
        <v>0.10234953703703703</v>
      </c>
      <c r="F2637" s="6">
        <f>30280/(60*60*24)</f>
        <v>0.35046296296296298</v>
      </c>
      <c r="G2637" s="7" t="s">
        <v>9</v>
      </c>
    </row>
    <row r="2638" spans="1:7" x14ac:dyDescent="0.45">
      <c r="A2638" t="s">
        <v>2733</v>
      </c>
      <c r="B2638" s="2" t="s">
        <v>180</v>
      </c>
      <c r="C2638" s="3">
        <f>6697/(60*60*24)</f>
        <v>7.751157407407408E-2</v>
      </c>
      <c r="D2638" s="4">
        <f>3008/(60*60*24)</f>
        <v>3.4814814814814812E-2</v>
      </c>
      <c r="E2638" s="5">
        <f>9053/(60*60*24)</f>
        <v>0.10478009259259259</v>
      </c>
      <c r="F2638" s="6">
        <f>31013/(60*60*24)</f>
        <v>0.35894675925925928</v>
      </c>
      <c r="G2638" s="7" t="s">
        <v>9</v>
      </c>
    </row>
    <row r="2639" spans="1:7" x14ac:dyDescent="0.45">
      <c r="A2639" t="s">
        <v>2734</v>
      </c>
      <c r="B2639" s="2" t="s">
        <v>178</v>
      </c>
      <c r="C2639" s="3">
        <f>6671/(60*60*24)</f>
        <v>7.7210648148148153E-2</v>
      </c>
      <c r="D2639" s="4">
        <f>3088/(60*60*24)</f>
        <v>3.574074074074074E-2</v>
      </c>
      <c r="E2639" s="5">
        <f>9223/(60*60*24)</f>
        <v>0.10674768518518518</v>
      </c>
      <c r="F2639" s="6">
        <f>31778/(60*60*24)</f>
        <v>0.36780092592592595</v>
      </c>
      <c r="G2639" s="7" t="s">
        <v>9</v>
      </c>
    </row>
    <row r="2640" spans="1:7" x14ac:dyDescent="0.45">
      <c r="A2640" t="s">
        <v>2735</v>
      </c>
      <c r="B2640" s="2" t="s">
        <v>182</v>
      </c>
      <c r="C2640" s="3">
        <f>7073/(60*60*24)</f>
        <v>8.1863425925925923E-2</v>
      </c>
      <c r="D2640" s="4">
        <f>3131/(60*60*24)</f>
        <v>3.6238425925925924E-2</v>
      </c>
      <c r="E2640" s="5">
        <f>9568/(60*60*24)</f>
        <v>0.11074074074074074</v>
      </c>
      <c r="F2640" s="6">
        <f>32682/(60*60*24)</f>
        <v>0.3782638888888889</v>
      </c>
      <c r="G2640" s="7" t="s">
        <v>9</v>
      </c>
    </row>
    <row r="2641" spans="1:7" x14ac:dyDescent="0.45">
      <c r="A2641" t="s">
        <v>2736</v>
      </c>
      <c r="B2641" s="2" t="s">
        <v>184</v>
      </c>
      <c r="C2641" s="3">
        <f>7535/(60*60*24)</f>
        <v>8.7210648148148148E-2</v>
      </c>
      <c r="D2641" s="4">
        <f>3097/(60*60*24)</f>
        <v>3.5844907407407409E-2</v>
      </c>
      <c r="E2641" s="5">
        <f>9925/(60*60*24)</f>
        <v>0.11487268518518519</v>
      </c>
      <c r="F2641" s="6">
        <f>33376/(60*60*24)</f>
        <v>0.3862962962962963</v>
      </c>
      <c r="G2641" s="7" t="s">
        <v>9</v>
      </c>
    </row>
    <row r="2642" spans="1:7" x14ac:dyDescent="0.45">
      <c r="A2642" t="s">
        <v>2737</v>
      </c>
      <c r="B2642" s="2" t="s">
        <v>8</v>
      </c>
      <c r="C2642" s="3">
        <f>6540/(60*60*24)</f>
        <v>7.5694444444444439E-2</v>
      </c>
      <c r="D2642" s="4">
        <f>2230/(60*60*24)</f>
        <v>2.5810185185185186E-2</v>
      </c>
      <c r="E2642" s="5">
        <f>9512/(60*60*24)</f>
        <v>0.11009259259259259</v>
      </c>
      <c r="F2642" s="6">
        <f>32888/(60*60*24)</f>
        <v>0.38064814814814812</v>
      </c>
      <c r="G2642" s="7" t="s">
        <v>9</v>
      </c>
    </row>
    <row r="2643" spans="1:7" x14ac:dyDescent="0.45">
      <c r="A2643" t="s">
        <v>2738</v>
      </c>
      <c r="B2643" s="2" t="s">
        <v>11</v>
      </c>
      <c r="C2643" s="3">
        <f>7197/(60*60*24)</f>
        <v>8.3298611111111115E-2</v>
      </c>
      <c r="D2643" s="4">
        <f>2270/(60*60*24)</f>
        <v>2.627314814814815E-2</v>
      </c>
      <c r="E2643" s="5">
        <f>9520/(60*60*24)</f>
        <v>0.11018518518518519</v>
      </c>
      <c r="F2643" s="6">
        <f>32467/(60*60*24)</f>
        <v>0.37577546296296294</v>
      </c>
      <c r="G2643" s="7" t="s">
        <v>9</v>
      </c>
    </row>
    <row r="2644" spans="1:7" x14ac:dyDescent="0.45">
      <c r="A2644" t="s">
        <v>2739</v>
      </c>
      <c r="B2644" s="2" t="s">
        <v>14</v>
      </c>
      <c r="C2644" s="3">
        <f>7055/(60*60*24)</f>
        <v>8.1655092592592599E-2</v>
      </c>
      <c r="D2644" s="4">
        <f>2406/(60*60*24)</f>
        <v>2.7847222222222221E-2</v>
      </c>
      <c r="E2644" s="5">
        <f>9528/(60*60*24)</f>
        <v>0.11027777777777778</v>
      </c>
      <c r="F2644" s="6">
        <f>31968/(60*60*24)</f>
        <v>0.37</v>
      </c>
      <c r="G2644" s="7" t="s">
        <v>9</v>
      </c>
    </row>
    <row r="2645" spans="1:7" x14ac:dyDescent="0.45">
      <c r="A2645" t="s">
        <v>2740</v>
      </c>
      <c r="B2645" s="2" t="s">
        <v>16</v>
      </c>
      <c r="C2645" s="3">
        <f>6681/(60*60*24)</f>
        <v>7.7326388888888889E-2</v>
      </c>
      <c r="D2645" s="4">
        <f>2364/(60*60*24)</f>
        <v>2.736111111111111E-2</v>
      </c>
      <c r="E2645" s="5">
        <f>9171/(60*60*24)</f>
        <v>0.10614583333333333</v>
      </c>
      <c r="F2645" s="6">
        <f>31300/(60*60*24)</f>
        <v>0.36226851851851855</v>
      </c>
      <c r="G2645" s="7" t="s">
        <v>9</v>
      </c>
    </row>
    <row r="2646" spans="1:7" x14ac:dyDescent="0.45">
      <c r="A2646" t="s">
        <v>2741</v>
      </c>
      <c r="B2646" s="2" t="s">
        <v>18</v>
      </c>
      <c r="C2646" s="3">
        <f>6873/(60*60*24)</f>
        <v>7.9548611111111112E-2</v>
      </c>
      <c r="D2646" s="4">
        <f>2196/(60*60*24)</f>
        <v>2.5416666666666667E-2</v>
      </c>
      <c r="E2646" s="5">
        <f>8984/(60*60*24)</f>
        <v>0.10398148148148148</v>
      </c>
      <c r="F2646" s="6">
        <f>30657/(60*60*24)</f>
        <v>0.3548263888888889</v>
      </c>
      <c r="G2646" s="7" t="s">
        <v>9</v>
      </c>
    </row>
    <row r="2647" spans="1:7" x14ac:dyDescent="0.45">
      <c r="A2647" t="s">
        <v>2742</v>
      </c>
      <c r="B2647" s="2" t="s">
        <v>20</v>
      </c>
      <c r="C2647" s="8" t="s">
        <v>12</v>
      </c>
      <c r="D2647" s="4">
        <f>2232/(60*60*24)</f>
        <v>2.5833333333333333E-2</v>
      </c>
      <c r="E2647" s="3">
        <f>8913/(60*60*24)</f>
        <v>0.10315972222222222</v>
      </c>
      <c r="F2647" s="5">
        <f>30240/(60*60*24)</f>
        <v>0.35</v>
      </c>
      <c r="G2647" s="7" t="s">
        <v>9</v>
      </c>
    </row>
    <row r="2648" spans="1:7" x14ac:dyDescent="0.45">
      <c r="A2648" t="s">
        <v>2743</v>
      </c>
      <c r="B2648" s="2" t="s">
        <v>24</v>
      </c>
      <c r="C2648" s="3">
        <f>6927/(60*60*24)</f>
        <v>8.0173611111111112E-2</v>
      </c>
      <c r="D2648" s="4">
        <f>2037/(60*60*24)</f>
        <v>2.357638888888889E-2</v>
      </c>
      <c r="E2648" s="5">
        <f>8576/(60*60*24)</f>
        <v>9.9259259259259255E-2</v>
      </c>
      <c r="F2648" s="6">
        <f>28321/(60*60*24)</f>
        <v>0.32778935185185187</v>
      </c>
      <c r="G2648" s="7" t="s">
        <v>9</v>
      </c>
    </row>
    <row r="2649" spans="1:7" x14ac:dyDescent="0.45">
      <c r="A2649" t="s">
        <v>2744</v>
      </c>
      <c r="B2649" s="2" t="s">
        <v>22</v>
      </c>
      <c r="C2649" s="8" t="s">
        <v>12</v>
      </c>
      <c r="D2649" s="4">
        <f>2170/(60*60*24)</f>
        <v>2.5115740740740741E-2</v>
      </c>
      <c r="E2649" s="3">
        <f>8940/(60*60*24)</f>
        <v>0.10347222222222222</v>
      </c>
      <c r="F2649" s="5">
        <f>29605/(60*60*24)</f>
        <v>0.34265046296296298</v>
      </c>
      <c r="G2649" s="7" t="s">
        <v>9</v>
      </c>
    </row>
    <row r="2650" spans="1:7" x14ac:dyDescent="0.45">
      <c r="A2650" t="s">
        <v>2745</v>
      </c>
      <c r="B2650" s="2" t="s">
        <v>26</v>
      </c>
      <c r="C2650" s="8" t="s">
        <v>12</v>
      </c>
      <c r="D2650" s="4">
        <f>2074/(60*60*24)</f>
        <v>2.4004629629629629E-2</v>
      </c>
      <c r="E2650" s="3">
        <f>8396/(60*60*24)</f>
        <v>9.7175925925925929E-2</v>
      </c>
      <c r="F2650" s="5">
        <f>27729/(60*60*24)</f>
        <v>0.32093749999999999</v>
      </c>
      <c r="G2650" s="7" t="s">
        <v>9</v>
      </c>
    </row>
    <row r="2651" spans="1:7" x14ac:dyDescent="0.45">
      <c r="A2651" t="s">
        <v>2746</v>
      </c>
      <c r="B2651" s="2" t="s">
        <v>28</v>
      </c>
      <c r="C2651" s="8" t="s">
        <v>12</v>
      </c>
      <c r="D2651" s="4">
        <f>2225/(60*60*24)</f>
        <v>2.5752314814814815E-2</v>
      </c>
      <c r="E2651" s="3">
        <f>8319/(60*60*24)</f>
        <v>9.6284722222222216E-2</v>
      </c>
      <c r="F2651" s="5">
        <f>27116/(60*60*24)</f>
        <v>0.31384259259259262</v>
      </c>
      <c r="G2651" s="7" t="s">
        <v>9</v>
      </c>
    </row>
    <row r="2652" spans="1:7" x14ac:dyDescent="0.45">
      <c r="A2652" t="s">
        <v>2747</v>
      </c>
      <c r="B2652" s="2" t="s">
        <v>32</v>
      </c>
      <c r="C2652" s="3">
        <f>7192/(60*60*24)</f>
        <v>8.324074074074074E-2</v>
      </c>
      <c r="D2652" s="4">
        <f>2369/(60*60*24)</f>
        <v>2.7418981481481482E-2</v>
      </c>
      <c r="E2652" s="5">
        <f>7699/(60*60*24)</f>
        <v>8.9108796296296297E-2</v>
      </c>
      <c r="F2652" s="6">
        <f>25820/(60*60*24)</f>
        <v>0.2988425925925926</v>
      </c>
      <c r="G2652" s="7" t="s">
        <v>9</v>
      </c>
    </row>
    <row r="2653" spans="1:7" x14ac:dyDescent="0.45">
      <c r="A2653" t="s">
        <v>2748</v>
      </c>
      <c r="B2653" s="2" t="s">
        <v>30</v>
      </c>
      <c r="C2653" s="8" t="s">
        <v>12</v>
      </c>
      <c r="D2653" s="4">
        <f>2256/(60*60*24)</f>
        <v>2.6111111111111113E-2</v>
      </c>
      <c r="E2653" s="3">
        <f>8010/(60*60*24)</f>
        <v>9.2708333333333337E-2</v>
      </c>
      <c r="F2653" s="5">
        <f>26651/(60*60*24)</f>
        <v>0.30846064814814816</v>
      </c>
      <c r="G2653" s="7" t="s">
        <v>9</v>
      </c>
    </row>
    <row r="2654" spans="1:7" x14ac:dyDescent="0.45">
      <c r="A2654" t="s">
        <v>2749</v>
      </c>
      <c r="B2654" s="2" t="s">
        <v>36</v>
      </c>
      <c r="C2654" s="3">
        <f>7445/(60*60*24)</f>
        <v>8.6168981481481485E-2</v>
      </c>
      <c r="D2654" s="4">
        <f>2461/(60*60*24)</f>
        <v>2.8483796296296295E-2</v>
      </c>
      <c r="E2654" s="5">
        <f>7530/(60*60*24)</f>
        <v>8.7152777777777773E-2</v>
      </c>
      <c r="F2654" s="6">
        <f>25070/(60*60*24)</f>
        <v>0.29016203703703702</v>
      </c>
      <c r="G2654" s="7" t="s">
        <v>9</v>
      </c>
    </row>
    <row r="2655" spans="1:7" x14ac:dyDescent="0.45">
      <c r="A2655" t="s">
        <v>2750</v>
      </c>
      <c r="B2655" s="2" t="s">
        <v>34</v>
      </c>
      <c r="C2655" s="3">
        <f>5715/(60*60*24)</f>
        <v>6.6145833333333334E-2</v>
      </c>
      <c r="D2655" s="4">
        <f>2491/(60*60*24)</f>
        <v>2.883101851851852E-2</v>
      </c>
      <c r="E2655" s="5">
        <f>7412/(60*60*24)</f>
        <v>8.5787037037037037E-2</v>
      </c>
      <c r="F2655" s="6">
        <f>24658/(60*60*24)</f>
        <v>0.28539351851851852</v>
      </c>
      <c r="G2655" s="7" t="s">
        <v>9</v>
      </c>
    </row>
    <row r="2656" spans="1:7" x14ac:dyDescent="0.45">
      <c r="A2656" t="s">
        <v>2751</v>
      </c>
      <c r="B2656" s="2" t="s">
        <v>38</v>
      </c>
      <c r="C2656" s="3">
        <f>5863/(60*60*24)</f>
        <v>6.7858796296296292E-2</v>
      </c>
      <c r="D2656" s="4">
        <f>2437/(60*60*24)</f>
        <v>2.8206018518518519E-2</v>
      </c>
      <c r="E2656" s="5">
        <f>7301/(60*60*24)</f>
        <v>8.4502314814814808E-2</v>
      </c>
      <c r="F2656" s="6">
        <f>24033/(60*60*24)</f>
        <v>0.27815972222222224</v>
      </c>
      <c r="G2656" s="7" t="s">
        <v>9</v>
      </c>
    </row>
    <row r="2657" spans="1:7" x14ac:dyDescent="0.45">
      <c r="A2657" t="s">
        <v>2752</v>
      </c>
      <c r="B2657" s="2" t="s">
        <v>40</v>
      </c>
      <c r="C2657" s="3">
        <f>6024/(60*60*24)</f>
        <v>6.9722222222222227E-2</v>
      </c>
      <c r="D2657" s="4">
        <f>2582/(60*60*24)</f>
        <v>2.988425925925926E-2</v>
      </c>
      <c r="E2657" s="5">
        <f>7172/(60*60*24)</f>
        <v>8.3009259259259255E-2</v>
      </c>
      <c r="F2657" s="6">
        <f>23295/(60*60*24)</f>
        <v>0.26961805555555557</v>
      </c>
      <c r="G2657" s="7" t="s">
        <v>9</v>
      </c>
    </row>
    <row r="2658" spans="1:7" x14ac:dyDescent="0.45">
      <c r="A2658" t="s">
        <v>2753</v>
      </c>
      <c r="B2658" s="2" t="s">
        <v>44</v>
      </c>
      <c r="C2658" s="8" t="s">
        <v>12</v>
      </c>
      <c r="D2658" s="4">
        <f>3001/(60*60*24)</f>
        <v>3.4733796296296297E-2</v>
      </c>
      <c r="E2658" s="3">
        <f>7180/(60*60*24)</f>
        <v>8.3101851851851857E-2</v>
      </c>
      <c r="F2658" s="5">
        <f>22996/(60*60*24)</f>
        <v>0.2661574074074074</v>
      </c>
      <c r="G2658" s="7" t="s">
        <v>9</v>
      </c>
    </row>
    <row r="2659" spans="1:7" x14ac:dyDescent="0.45">
      <c r="A2659" t="s">
        <v>2754</v>
      </c>
      <c r="B2659" s="2" t="s">
        <v>42</v>
      </c>
      <c r="C2659" s="8" t="s">
        <v>12</v>
      </c>
      <c r="D2659" s="4">
        <f>2936/(60*60*24)</f>
        <v>3.3981481481481481E-2</v>
      </c>
      <c r="E2659" s="3">
        <f>6843/(60*60*24)</f>
        <v>7.9201388888888891E-2</v>
      </c>
      <c r="F2659" s="5">
        <f>22043/(60*60*24)</f>
        <v>0.25512731481481482</v>
      </c>
      <c r="G2659" s="7" t="s">
        <v>9</v>
      </c>
    </row>
    <row r="2660" spans="1:7" x14ac:dyDescent="0.45">
      <c r="A2660" t="s">
        <v>2755</v>
      </c>
      <c r="B2660" s="2" t="s">
        <v>46</v>
      </c>
      <c r="C2660" s="8" t="s">
        <v>12</v>
      </c>
      <c r="D2660" s="4">
        <f>2736/(60*60*24)</f>
        <v>3.1666666666666669E-2</v>
      </c>
      <c r="E2660" s="3">
        <f>6454/(60*60*24)</f>
        <v>7.4699074074074071E-2</v>
      </c>
      <c r="F2660" s="5">
        <f>21252/(60*60*24)</f>
        <v>0.24597222222222223</v>
      </c>
      <c r="G2660" s="7" t="s">
        <v>9</v>
      </c>
    </row>
    <row r="2661" spans="1:7" x14ac:dyDescent="0.45">
      <c r="A2661" t="s">
        <v>2756</v>
      </c>
      <c r="B2661" s="2" t="s">
        <v>48</v>
      </c>
      <c r="C2661" s="8" t="s">
        <v>12</v>
      </c>
      <c r="D2661" s="4">
        <f>2657/(60*60*24)</f>
        <v>3.0752314814814816E-2</v>
      </c>
      <c r="E2661" s="3">
        <f>6403/(60*60*24)</f>
        <v>7.4108796296296298E-2</v>
      </c>
      <c r="F2661" s="5">
        <f>20872/(60*60*24)</f>
        <v>0.24157407407407408</v>
      </c>
      <c r="G2661" s="7" t="s">
        <v>9</v>
      </c>
    </row>
    <row r="2662" spans="1:7" x14ac:dyDescent="0.45">
      <c r="A2662" t="s">
        <v>2757</v>
      </c>
      <c r="B2662" s="2" t="s">
        <v>50</v>
      </c>
      <c r="C2662" s="8" t="s">
        <v>12</v>
      </c>
      <c r="D2662" s="4">
        <f>3011/(60*60*24)</f>
        <v>3.484953703703704E-2</v>
      </c>
      <c r="E2662" s="3">
        <f>6255/(60*60*24)</f>
        <v>7.239583333333334E-2</v>
      </c>
      <c r="F2662" s="5">
        <f>20508/(60*60*24)</f>
        <v>0.23736111111111111</v>
      </c>
      <c r="G2662" s="7" t="s">
        <v>9</v>
      </c>
    </row>
    <row r="2663" spans="1:7" x14ac:dyDescent="0.45">
      <c r="A2663" t="s">
        <v>2758</v>
      </c>
      <c r="B2663" s="2" t="s">
        <v>52</v>
      </c>
      <c r="C2663" s="8" t="s">
        <v>12</v>
      </c>
      <c r="D2663" s="4">
        <f>2518/(60*60*24)</f>
        <v>2.914351851851852E-2</v>
      </c>
      <c r="E2663" s="3">
        <f>6396/(60*60*24)</f>
        <v>7.4027777777777776E-2</v>
      </c>
      <c r="F2663" s="5">
        <f>20340/(60*60*24)</f>
        <v>0.23541666666666666</v>
      </c>
      <c r="G2663" s="7" t="s">
        <v>9</v>
      </c>
    </row>
    <row r="2664" spans="1:7" x14ac:dyDescent="0.45">
      <c r="A2664" t="s">
        <v>2759</v>
      </c>
      <c r="B2664" s="2" t="s">
        <v>54</v>
      </c>
      <c r="C2664" s="8" t="s">
        <v>12</v>
      </c>
      <c r="D2664" s="4">
        <f>3036/(60*60*24)</f>
        <v>3.5138888888888886E-2</v>
      </c>
      <c r="E2664" s="3">
        <f>6011/(60*60*24)</f>
        <v>6.9571759259259264E-2</v>
      </c>
      <c r="F2664" s="5">
        <f>19308/(60*60*24)</f>
        <v>0.22347222222222221</v>
      </c>
      <c r="G2664" s="7" t="s">
        <v>9</v>
      </c>
    </row>
    <row r="2665" spans="1:7" x14ac:dyDescent="0.45">
      <c r="A2665" t="s">
        <v>2760</v>
      </c>
      <c r="B2665" s="2" t="s">
        <v>56</v>
      </c>
      <c r="C2665" s="8" t="s">
        <v>12</v>
      </c>
      <c r="D2665" s="4">
        <f>2304/(60*60*24)</f>
        <v>2.6666666666666668E-2</v>
      </c>
      <c r="E2665" s="3">
        <f>5884/(60*60*24)</f>
        <v>6.8101851851851858E-2</v>
      </c>
      <c r="F2665" s="5">
        <f>18954/(60*60*24)</f>
        <v>0.21937499999999999</v>
      </c>
      <c r="G2665" s="7" t="s">
        <v>9</v>
      </c>
    </row>
    <row r="2666" spans="1:7" x14ac:dyDescent="0.45">
      <c r="A2666" t="s">
        <v>2761</v>
      </c>
      <c r="B2666" s="2" t="s">
        <v>58</v>
      </c>
      <c r="C2666" s="3">
        <f>4570/(60*60*24)</f>
        <v>5.289351851851852E-2</v>
      </c>
      <c r="D2666" s="4">
        <f>2329/(60*60*24)</f>
        <v>2.6956018518518518E-2</v>
      </c>
      <c r="E2666" s="5">
        <f>5622/(60*60*24)</f>
        <v>6.5069444444444444E-2</v>
      </c>
      <c r="F2666" s="6">
        <f>18245/(60*60*24)</f>
        <v>0.21116898148148147</v>
      </c>
      <c r="G2666" s="7" t="s">
        <v>9</v>
      </c>
    </row>
    <row r="2667" spans="1:7" x14ac:dyDescent="0.45">
      <c r="A2667" t="s">
        <v>2762</v>
      </c>
      <c r="B2667" s="2" t="s">
        <v>60</v>
      </c>
      <c r="C2667" s="3">
        <f>4121/(60*60*24)</f>
        <v>4.7696759259259258E-2</v>
      </c>
      <c r="D2667" s="4">
        <f>2544/(60*60*24)</f>
        <v>2.9444444444444443E-2</v>
      </c>
      <c r="E2667" s="5">
        <f>5332/(60*60*24)</f>
        <v>6.1712962962962963E-2</v>
      </c>
      <c r="F2667" s="6">
        <f>17558/(60*60*24)</f>
        <v>0.20321759259259259</v>
      </c>
      <c r="G2667" s="7" t="s">
        <v>9</v>
      </c>
    </row>
    <row r="2668" spans="1:7" x14ac:dyDescent="0.45">
      <c r="A2668" t="s">
        <v>2763</v>
      </c>
      <c r="B2668" s="2" t="s">
        <v>62</v>
      </c>
      <c r="C2668" s="3">
        <f>4666/(60*60*24)</f>
        <v>5.4004629629629632E-2</v>
      </c>
      <c r="D2668" s="4">
        <f>2081/(60*60*24)</f>
        <v>2.4085648148148148E-2</v>
      </c>
      <c r="E2668" s="5">
        <f>5430/(60*60*24)</f>
        <v>6.2847222222222221E-2</v>
      </c>
      <c r="F2668" s="6">
        <f>17036/(60*60*24)</f>
        <v>0.19717592592592592</v>
      </c>
      <c r="G2668" s="7" t="s">
        <v>9</v>
      </c>
    </row>
    <row r="2669" spans="1:7" x14ac:dyDescent="0.45">
      <c r="A2669" t="s">
        <v>2764</v>
      </c>
      <c r="B2669" s="2" t="s">
        <v>64</v>
      </c>
      <c r="C2669" s="3">
        <f>4398/(60*60*24)</f>
        <v>5.0902777777777776E-2</v>
      </c>
      <c r="D2669" s="4">
        <f>2095/(60*60*24)</f>
        <v>2.4247685185185185E-2</v>
      </c>
      <c r="E2669" s="5">
        <f>5043/(60*60*24)</f>
        <v>5.8368055555555555E-2</v>
      </c>
      <c r="F2669" s="6">
        <f>16863/(60*60*24)</f>
        <v>0.19517361111111112</v>
      </c>
      <c r="G2669" s="7" t="s">
        <v>9</v>
      </c>
    </row>
    <row r="2670" spans="1:7" x14ac:dyDescent="0.45">
      <c r="A2670" t="s">
        <v>2765</v>
      </c>
      <c r="B2670" s="2" t="s">
        <v>66</v>
      </c>
      <c r="C2670" s="8" t="s">
        <v>12</v>
      </c>
      <c r="D2670" s="4">
        <f>2305/(60*60*24)</f>
        <v>2.6678240740740742E-2</v>
      </c>
      <c r="E2670" s="3">
        <f>4754/(60*60*24)</f>
        <v>5.5023148148148147E-2</v>
      </c>
      <c r="F2670" s="5">
        <f>16011/(60*60*24)</f>
        <v>0.18531249999999999</v>
      </c>
      <c r="G2670" s="7" t="s">
        <v>9</v>
      </c>
    </row>
    <row r="2671" spans="1:7" x14ac:dyDescent="0.45">
      <c r="A2671" t="s">
        <v>2766</v>
      </c>
      <c r="B2671" s="2" t="s">
        <v>68</v>
      </c>
      <c r="C2671" s="8" t="s">
        <v>12</v>
      </c>
      <c r="D2671" s="4">
        <f>2190/(60*60*24)</f>
        <v>2.5347222222222222E-2</v>
      </c>
      <c r="E2671" s="3">
        <f>4567/(60*60*24)</f>
        <v>5.28587962962963E-2</v>
      </c>
      <c r="F2671" s="5">
        <f>15645/(60*60*24)</f>
        <v>0.18107638888888888</v>
      </c>
      <c r="G2671" s="7" t="s">
        <v>9</v>
      </c>
    </row>
    <row r="2672" spans="1:7" x14ac:dyDescent="0.45">
      <c r="A2672" t="s">
        <v>2767</v>
      </c>
      <c r="B2672" s="2" t="s">
        <v>70</v>
      </c>
      <c r="C2672" s="8" t="s">
        <v>12</v>
      </c>
      <c r="D2672" s="4">
        <f>2255/(60*60*24)</f>
        <v>2.6099537037037036E-2</v>
      </c>
      <c r="E2672" s="3">
        <f>4655/(60*60*24)</f>
        <v>5.3877314814814815E-2</v>
      </c>
      <c r="F2672" s="5">
        <f>15242/(60*60*24)</f>
        <v>0.17641203703703703</v>
      </c>
      <c r="G2672" s="7" t="s">
        <v>9</v>
      </c>
    </row>
    <row r="2673" spans="1:7" x14ac:dyDescent="0.45">
      <c r="A2673" t="s">
        <v>2768</v>
      </c>
      <c r="B2673" s="2" t="s">
        <v>72</v>
      </c>
      <c r="C2673" s="8" t="s">
        <v>12</v>
      </c>
      <c r="D2673" s="4">
        <f>2315/(60*60*24)</f>
        <v>2.6793981481481481E-2</v>
      </c>
      <c r="E2673" s="3">
        <f>4567/(60*60*24)</f>
        <v>5.28587962962963E-2</v>
      </c>
      <c r="F2673" s="5">
        <f>15113/(60*60*24)</f>
        <v>0.17491898148148149</v>
      </c>
      <c r="G2673" s="7" t="s">
        <v>9</v>
      </c>
    </row>
    <row r="2674" spans="1:7" x14ac:dyDescent="0.45">
      <c r="A2674" t="s">
        <v>2769</v>
      </c>
      <c r="B2674" s="2" t="s">
        <v>74</v>
      </c>
      <c r="C2674" s="3">
        <f>4255/(60*60*24)</f>
        <v>4.9247685185185186E-2</v>
      </c>
      <c r="D2674" s="4">
        <f>1333/(60*60*24)</f>
        <v>1.5428240740740741E-2</v>
      </c>
      <c r="E2674" s="5">
        <f>4301/(60*60*24)</f>
        <v>4.9780092592592591E-2</v>
      </c>
      <c r="F2674" s="6">
        <f>14404/(60*60*24)</f>
        <v>0.16671296296296295</v>
      </c>
      <c r="G2674" s="7" t="s">
        <v>9</v>
      </c>
    </row>
    <row r="2675" spans="1:7" x14ac:dyDescent="0.45">
      <c r="A2675" t="s">
        <v>2770</v>
      </c>
      <c r="B2675" s="2" t="s">
        <v>76</v>
      </c>
      <c r="C2675" s="5">
        <f>4237/(60*60*24)</f>
        <v>4.9039351851851855E-2</v>
      </c>
      <c r="D2675" s="4">
        <f>1400/(60*60*24)</f>
        <v>1.6203703703703703E-2</v>
      </c>
      <c r="E2675" s="3">
        <f>4144/(60*60*24)</f>
        <v>4.7962962962962964E-2</v>
      </c>
      <c r="F2675" s="6">
        <f>13796/(60*60*24)</f>
        <v>0.15967592592592592</v>
      </c>
      <c r="G2675" s="7" t="s">
        <v>9</v>
      </c>
    </row>
    <row r="2676" spans="1:7" x14ac:dyDescent="0.45">
      <c r="A2676" t="s">
        <v>2771</v>
      </c>
      <c r="B2676" s="2" t="s">
        <v>78</v>
      </c>
      <c r="C2676" s="5">
        <f>4438/(60*60*24)</f>
        <v>5.136574074074074E-2</v>
      </c>
      <c r="D2676" s="4">
        <f>1345/(60*60*24)</f>
        <v>1.556712962962963E-2</v>
      </c>
      <c r="E2676" s="3">
        <f>4024/(60*60*24)</f>
        <v>4.6574074074074073E-2</v>
      </c>
      <c r="F2676" s="6">
        <f>13535/(60*60*24)</f>
        <v>0.15665509259259258</v>
      </c>
      <c r="G2676" s="7" t="s">
        <v>9</v>
      </c>
    </row>
    <row r="2677" spans="1:7" x14ac:dyDescent="0.45">
      <c r="A2677" t="s">
        <v>2772</v>
      </c>
      <c r="B2677" s="2" t="s">
        <v>80</v>
      </c>
      <c r="C2677" s="5">
        <f>4105/(60*60*24)</f>
        <v>4.7511574074074074E-2</v>
      </c>
      <c r="D2677" s="4">
        <f>1197/(60*60*24)</f>
        <v>1.3854166666666667E-2</v>
      </c>
      <c r="E2677" s="3">
        <f>3916/(60*60*24)</f>
        <v>4.5324074074074072E-2</v>
      </c>
      <c r="F2677" s="6">
        <f>13097/(60*60*24)</f>
        <v>0.15158564814814815</v>
      </c>
      <c r="G2677" s="7" t="s">
        <v>9</v>
      </c>
    </row>
    <row r="2678" spans="1:7" x14ac:dyDescent="0.45">
      <c r="A2678" t="s">
        <v>2773</v>
      </c>
      <c r="B2678" s="2" t="s">
        <v>84</v>
      </c>
      <c r="C2678" s="3">
        <f>3479/(60*60*24)</f>
        <v>4.0266203703703707E-2</v>
      </c>
      <c r="D2678" s="4">
        <f>1281/(60*60*24)</f>
        <v>1.4826388888888889E-2</v>
      </c>
      <c r="E2678" s="5">
        <f>3725/(60*60*24)</f>
        <v>4.3113425925925923E-2</v>
      </c>
      <c r="F2678" s="6">
        <f>12517/(60*60*24)</f>
        <v>0.14487268518518517</v>
      </c>
      <c r="G2678" s="7" t="s">
        <v>9</v>
      </c>
    </row>
    <row r="2679" spans="1:7" x14ac:dyDescent="0.45">
      <c r="A2679" t="s">
        <v>2774</v>
      </c>
      <c r="B2679" s="2" t="s">
        <v>82</v>
      </c>
      <c r="C2679" s="3">
        <f>3711/(60*60*24)</f>
        <v>4.2951388888888886E-2</v>
      </c>
      <c r="D2679" s="4">
        <f>1200/(60*60*24)</f>
        <v>1.3888888888888888E-2</v>
      </c>
      <c r="E2679" s="5">
        <f>3804/(60*60*24)</f>
        <v>4.4027777777777777E-2</v>
      </c>
      <c r="F2679" s="6">
        <f>12508/(60*60*24)</f>
        <v>0.14476851851851852</v>
      </c>
      <c r="G2679" s="7" t="s">
        <v>9</v>
      </c>
    </row>
    <row r="2680" spans="1:7" x14ac:dyDescent="0.45">
      <c r="A2680" t="s">
        <v>2775</v>
      </c>
      <c r="B2680" s="2" t="s">
        <v>88</v>
      </c>
      <c r="C2680" s="5">
        <f>3919/(60*60*24)</f>
        <v>4.5358796296296293E-2</v>
      </c>
      <c r="D2680" s="4">
        <f>1200/(60*60*24)</f>
        <v>1.3888888888888888E-2</v>
      </c>
      <c r="E2680" s="3">
        <f>3877/(60*60*24)</f>
        <v>4.4872685185185182E-2</v>
      </c>
      <c r="F2680" s="6">
        <f>12456/(60*60*24)</f>
        <v>0.14416666666666667</v>
      </c>
      <c r="G2680" s="7" t="s">
        <v>9</v>
      </c>
    </row>
    <row r="2681" spans="1:7" x14ac:dyDescent="0.45">
      <c r="A2681" t="s">
        <v>2776</v>
      </c>
      <c r="B2681" s="2" t="s">
        <v>86</v>
      </c>
      <c r="C2681" s="3">
        <f>3604/(60*60*24)</f>
        <v>4.1712962962962966E-2</v>
      </c>
      <c r="D2681" s="4">
        <f>1173/(60*60*24)</f>
        <v>1.357638888888889E-2</v>
      </c>
      <c r="E2681" s="5">
        <f>3737/(60*60*24)</f>
        <v>4.3252314814814813E-2</v>
      </c>
      <c r="F2681" s="6">
        <f>12314/(60*60*24)</f>
        <v>0.14252314814814815</v>
      </c>
      <c r="G2681" s="7" t="s">
        <v>9</v>
      </c>
    </row>
    <row r="2682" spans="1:7" x14ac:dyDescent="0.45">
      <c r="A2682" t="s">
        <v>2777</v>
      </c>
      <c r="B2682" s="2" t="s">
        <v>90</v>
      </c>
      <c r="C2682" s="5">
        <f>4193/(60*60*24)</f>
        <v>4.853009259259259E-2</v>
      </c>
      <c r="D2682" s="4">
        <f>1004/(60*60*24)</f>
        <v>1.1620370370370371E-2</v>
      </c>
      <c r="E2682" s="3">
        <f>3558/(60*60*24)</f>
        <v>4.1180555555555554E-2</v>
      </c>
      <c r="F2682" s="6">
        <f>11370/(60*60*24)</f>
        <v>0.13159722222222223</v>
      </c>
      <c r="G2682" s="7" t="s">
        <v>9</v>
      </c>
    </row>
    <row r="2683" spans="1:7" x14ac:dyDescent="0.45">
      <c r="A2683" t="s">
        <v>2778</v>
      </c>
      <c r="B2683" s="2" t="s">
        <v>92</v>
      </c>
      <c r="C2683" s="5">
        <f>5931/(60*60*24)</f>
        <v>6.8645833333333336E-2</v>
      </c>
      <c r="D2683" s="4">
        <f>1353/(60*60*24)</f>
        <v>1.5659722222222221E-2</v>
      </c>
      <c r="E2683" s="3">
        <f>3237/(60*60*24)</f>
        <v>3.7465277777777778E-2</v>
      </c>
      <c r="F2683" s="6">
        <f>11072/(60*60*24)</f>
        <v>0.12814814814814815</v>
      </c>
      <c r="G2683" s="7" t="s">
        <v>9</v>
      </c>
    </row>
    <row r="2684" spans="1:7" x14ac:dyDescent="0.45">
      <c r="A2684" t="s">
        <v>2779</v>
      </c>
      <c r="B2684" s="2" t="s">
        <v>94</v>
      </c>
      <c r="C2684" s="8" t="s">
        <v>12</v>
      </c>
      <c r="D2684" s="4">
        <f>1169/(60*60*24)</f>
        <v>1.3530092592592592E-2</v>
      </c>
      <c r="E2684" s="3">
        <f>3112/(60*60*24)</f>
        <v>3.6018518518518519E-2</v>
      </c>
      <c r="F2684" s="5">
        <f>10984/(60*60*24)</f>
        <v>0.12712962962962962</v>
      </c>
      <c r="G2684" s="7" t="s">
        <v>9</v>
      </c>
    </row>
    <row r="2685" spans="1:7" x14ac:dyDescent="0.45">
      <c r="A2685" t="s">
        <v>2780</v>
      </c>
      <c r="B2685" s="2" t="s">
        <v>96</v>
      </c>
      <c r="C2685" s="8" t="s">
        <v>12</v>
      </c>
      <c r="D2685" s="4">
        <f>1286/(60*60*24)</f>
        <v>1.4884259259259259E-2</v>
      </c>
      <c r="E2685" s="3">
        <f>3012/(60*60*24)</f>
        <v>3.4861111111111114E-2</v>
      </c>
      <c r="F2685" s="5">
        <f>10998/(60*60*24)</f>
        <v>0.12729166666666666</v>
      </c>
      <c r="G2685" s="7" t="s">
        <v>9</v>
      </c>
    </row>
    <row r="2686" spans="1:7" x14ac:dyDescent="0.45">
      <c r="A2686" t="s">
        <v>2781</v>
      </c>
      <c r="B2686" s="2" t="s">
        <v>98</v>
      </c>
      <c r="C2686" s="8" t="s">
        <v>12</v>
      </c>
      <c r="D2686" s="4">
        <f>1192/(60*60*24)</f>
        <v>1.3796296296296296E-2</v>
      </c>
      <c r="E2686" s="3">
        <f>3020/(60*60*24)</f>
        <v>3.4953703703703702E-2</v>
      </c>
      <c r="F2686" s="5">
        <f>11427/(60*60*24)</f>
        <v>0.13225694444444444</v>
      </c>
      <c r="G2686" s="7" t="s">
        <v>9</v>
      </c>
    </row>
    <row r="2687" spans="1:7" x14ac:dyDescent="0.45">
      <c r="A2687" t="s">
        <v>2782</v>
      </c>
      <c r="B2687" s="2" t="s">
        <v>100</v>
      </c>
      <c r="C2687" s="8" t="s">
        <v>12</v>
      </c>
      <c r="D2687" s="4">
        <f>1200/(60*60*24)</f>
        <v>1.3888888888888888E-2</v>
      </c>
      <c r="E2687" s="3">
        <f>2957/(60*60*24)</f>
        <v>3.4224537037037039E-2</v>
      </c>
      <c r="F2687" s="5">
        <f>11567/(60*60*24)</f>
        <v>0.13387731481481482</v>
      </c>
      <c r="G2687" s="7" t="s">
        <v>9</v>
      </c>
    </row>
    <row r="2688" spans="1:7" x14ac:dyDescent="0.45">
      <c r="A2688" t="s">
        <v>2783</v>
      </c>
      <c r="B2688" s="2" t="s">
        <v>104</v>
      </c>
      <c r="C2688" s="5">
        <f>4879/(60*60*24)</f>
        <v>5.6469907407407406E-2</v>
      </c>
      <c r="D2688" s="4">
        <f>1352/(60*60*24)</f>
        <v>1.5648148148148147E-2</v>
      </c>
      <c r="E2688" s="3">
        <f>2930/(60*60*24)</f>
        <v>3.3912037037037039E-2</v>
      </c>
      <c r="F2688" s="6">
        <f>11457/(60*60*24)</f>
        <v>0.13260416666666666</v>
      </c>
      <c r="G2688" s="7" t="s">
        <v>9</v>
      </c>
    </row>
    <row r="2689" spans="1:7" x14ac:dyDescent="0.45">
      <c r="A2689" t="s">
        <v>2784</v>
      </c>
      <c r="B2689" s="2" t="s">
        <v>102</v>
      </c>
      <c r="C2689" s="5">
        <f>4767/(60*60*24)</f>
        <v>5.5173611111111111E-2</v>
      </c>
      <c r="D2689" s="4">
        <f>1386/(60*60*24)</f>
        <v>1.6041666666666666E-2</v>
      </c>
      <c r="E2689" s="3">
        <f>2945/(60*60*24)</f>
        <v>3.408564814814815E-2</v>
      </c>
      <c r="F2689" s="6">
        <f>11675/(60*60*24)</f>
        <v>0.13512731481481483</v>
      </c>
      <c r="G2689" s="7" t="s">
        <v>9</v>
      </c>
    </row>
    <row r="2690" spans="1:7" x14ac:dyDescent="0.45">
      <c r="A2690" t="s">
        <v>2785</v>
      </c>
      <c r="B2690" s="2" t="s">
        <v>106</v>
      </c>
      <c r="C2690" s="8" t="s">
        <v>12</v>
      </c>
      <c r="D2690" s="4">
        <f>1421/(60*60*24)</f>
        <v>1.6446759259259258E-2</v>
      </c>
      <c r="E2690" s="3">
        <f>3122/(60*60*24)</f>
        <v>3.6134259259259262E-2</v>
      </c>
      <c r="F2690" s="5">
        <f>10567/(60*60*24)</f>
        <v>0.12230324074074074</v>
      </c>
      <c r="G2690" s="7" t="s">
        <v>9</v>
      </c>
    </row>
    <row r="2691" spans="1:7" x14ac:dyDescent="0.45">
      <c r="A2691" t="s">
        <v>2786</v>
      </c>
      <c r="B2691" s="2" t="s">
        <v>108</v>
      </c>
      <c r="C2691" s="8" t="s">
        <v>12</v>
      </c>
      <c r="D2691" s="4">
        <f>1469/(60*60*24)</f>
        <v>1.7002314814814814E-2</v>
      </c>
      <c r="E2691" s="3">
        <f>3240/(60*60*24)</f>
        <v>3.7499999999999999E-2</v>
      </c>
      <c r="F2691" s="5">
        <f>10854/(60*60*24)</f>
        <v>0.12562499999999999</v>
      </c>
      <c r="G2691" s="7" t="s">
        <v>9</v>
      </c>
    </row>
    <row r="2692" spans="1:7" x14ac:dyDescent="0.45">
      <c r="A2692" t="s">
        <v>2787</v>
      </c>
      <c r="B2692" s="2" t="s">
        <v>110</v>
      </c>
      <c r="C2692" s="8" t="s">
        <v>12</v>
      </c>
      <c r="D2692" s="4">
        <f>1455/(60*60*24)</f>
        <v>1.6840277777777777E-2</v>
      </c>
      <c r="E2692" s="3">
        <f>3378/(60*60*24)</f>
        <v>3.9097222222222221E-2</v>
      </c>
      <c r="F2692" s="5">
        <f>11449/(60*60*24)</f>
        <v>0.13251157407407407</v>
      </c>
      <c r="G2692" s="7" t="s">
        <v>9</v>
      </c>
    </row>
    <row r="2693" spans="1:7" x14ac:dyDescent="0.45">
      <c r="A2693" t="s">
        <v>2788</v>
      </c>
      <c r="B2693" s="2" t="s">
        <v>112</v>
      </c>
      <c r="C2693" s="8" t="s">
        <v>12</v>
      </c>
      <c r="D2693" s="4">
        <f>1494/(60*60*24)</f>
        <v>1.7291666666666667E-2</v>
      </c>
      <c r="E2693" s="3">
        <f>3921/(60*60*24)</f>
        <v>4.5381944444444447E-2</v>
      </c>
      <c r="F2693" s="5">
        <f>11482/(60*60*24)</f>
        <v>0.13289351851851852</v>
      </c>
      <c r="G2693" s="7" t="s">
        <v>9</v>
      </c>
    </row>
    <row r="2694" spans="1:7" x14ac:dyDescent="0.45">
      <c r="A2694" t="s">
        <v>2789</v>
      </c>
      <c r="B2694" s="2" t="s">
        <v>116</v>
      </c>
      <c r="C2694" s="5">
        <f>5443/(60*60*24)</f>
        <v>6.2997685185185184E-2</v>
      </c>
      <c r="D2694" s="4">
        <f>1425/(60*60*24)</f>
        <v>1.6493055555555556E-2</v>
      </c>
      <c r="E2694" s="3">
        <f>3616/(60*60*24)</f>
        <v>4.1851851851851848E-2</v>
      </c>
      <c r="F2694" s="6">
        <f>12567/(60*60*24)</f>
        <v>0.14545138888888889</v>
      </c>
      <c r="G2694" s="7" t="s">
        <v>9</v>
      </c>
    </row>
    <row r="2695" spans="1:7" x14ac:dyDescent="0.45">
      <c r="A2695" t="s">
        <v>2790</v>
      </c>
      <c r="B2695" s="2" t="s">
        <v>114</v>
      </c>
      <c r="C2695" s="8" t="s">
        <v>12</v>
      </c>
      <c r="D2695" s="4">
        <f>1476/(60*60*24)</f>
        <v>1.7083333333333332E-2</v>
      </c>
      <c r="E2695" s="3">
        <f>3808/(60*60*24)</f>
        <v>4.4074074074074071E-2</v>
      </c>
      <c r="F2695" s="5">
        <f>11970/(60*60*24)</f>
        <v>0.13854166666666667</v>
      </c>
      <c r="G2695" s="7" t="s">
        <v>9</v>
      </c>
    </row>
    <row r="2696" spans="1:7" x14ac:dyDescent="0.45">
      <c r="A2696" t="s">
        <v>2791</v>
      </c>
      <c r="B2696" s="2" t="s">
        <v>118</v>
      </c>
      <c r="C2696" s="5">
        <f>5571/(60*60*24)</f>
        <v>6.4479166666666671E-2</v>
      </c>
      <c r="D2696" s="4">
        <f>1349/(60*60*24)</f>
        <v>1.5613425925925926E-2</v>
      </c>
      <c r="E2696" s="3">
        <f>3658/(60*60*24)</f>
        <v>4.2337962962962966E-2</v>
      </c>
      <c r="F2696" s="6">
        <f>12952/(60*60*24)</f>
        <v>0.14990740740740741</v>
      </c>
      <c r="G2696" s="7" t="s">
        <v>9</v>
      </c>
    </row>
    <row r="2697" spans="1:7" x14ac:dyDescent="0.45">
      <c r="A2697" t="s">
        <v>2792</v>
      </c>
      <c r="B2697" s="2" t="s">
        <v>120</v>
      </c>
      <c r="C2697" s="8" t="s">
        <v>12</v>
      </c>
      <c r="D2697" s="4">
        <f>1631/(60*60*24)</f>
        <v>1.8877314814814816E-2</v>
      </c>
      <c r="E2697" s="3">
        <f>4057/(60*60*24)</f>
        <v>4.6956018518518522E-2</v>
      </c>
      <c r="F2697" s="5">
        <f>13235/(60*60*24)</f>
        <v>0.15318287037037037</v>
      </c>
      <c r="G2697" s="7" t="s">
        <v>9</v>
      </c>
    </row>
    <row r="2698" spans="1:7" x14ac:dyDescent="0.45">
      <c r="A2698" t="s">
        <v>2793</v>
      </c>
      <c r="B2698" s="2" t="s">
        <v>124</v>
      </c>
      <c r="C2698" s="8" t="s">
        <v>12</v>
      </c>
      <c r="D2698" s="4">
        <f>1722/(60*60*24)</f>
        <v>1.9930555555555556E-2</v>
      </c>
      <c r="E2698" s="3">
        <f>4150/(60*60*24)</f>
        <v>4.8032407407407406E-2</v>
      </c>
      <c r="F2698" s="5">
        <f>13583/(60*60*24)</f>
        <v>0.15721064814814814</v>
      </c>
      <c r="G2698" s="7" t="s">
        <v>9</v>
      </c>
    </row>
    <row r="2699" spans="1:7" x14ac:dyDescent="0.45">
      <c r="A2699" t="s">
        <v>2794</v>
      </c>
      <c r="B2699" s="2" t="s">
        <v>122</v>
      </c>
      <c r="C2699" s="8" t="s">
        <v>12</v>
      </c>
      <c r="D2699" s="4">
        <f>1827/(60*60*24)</f>
        <v>2.1145833333333332E-2</v>
      </c>
      <c r="E2699" s="3">
        <f>4380/(60*60*24)</f>
        <v>5.0694444444444445E-2</v>
      </c>
      <c r="F2699" s="5">
        <f>14254/(60*60*24)</f>
        <v>0.16497685185185185</v>
      </c>
      <c r="G2699" s="7" t="s">
        <v>9</v>
      </c>
    </row>
    <row r="2700" spans="1:7" x14ac:dyDescent="0.45">
      <c r="A2700" t="s">
        <v>2795</v>
      </c>
      <c r="B2700" s="2" t="s">
        <v>126</v>
      </c>
      <c r="C2700" s="8" t="s">
        <v>12</v>
      </c>
      <c r="D2700" s="4">
        <f>1872/(60*60*24)</f>
        <v>2.1666666666666667E-2</v>
      </c>
      <c r="E2700" s="3">
        <f>4345/(60*60*24)</f>
        <v>5.0289351851851849E-2</v>
      </c>
      <c r="F2700" s="5">
        <f>14430/(60*60*24)</f>
        <v>0.16701388888888888</v>
      </c>
      <c r="G2700" s="7" t="s">
        <v>9</v>
      </c>
    </row>
    <row r="2701" spans="1:7" x14ac:dyDescent="0.45">
      <c r="A2701" t="s">
        <v>2796</v>
      </c>
      <c r="B2701" s="2" t="s">
        <v>128</v>
      </c>
      <c r="C2701" s="8" t="s">
        <v>12</v>
      </c>
      <c r="D2701" s="4">
        <f>2065/(60*60*24)</f>
        <v>2.3900462962962964E-2</v>
      </c>
      <c r="E2701" s="3">
        <f>4520/(60*60*24)</f>
        <v>5.2314814814814814E-2</v>
      </c>
      <c r="F2701" s="5">
        <f>14589/(60*60*24)</f>
        <v>0.16885416666666667</v>
      </c>
      <c r="G2701" s="7" t="s">
        <v>9</v>
      </c>
    </row>
    <row r="2702" spans="1:7" x14ac:dyDescent="0.45">
      <c r="A2702" t="s">
        <v>2797</v>
      </c>
      <c r="B2702" s="2" t="s">
        <v>132</v>
      </c>
      <c r="C2702" s="5">
        <f>12328/(60*60*24)</f>
        <v>0.14268518518518519</v>
      </c>
      <c r="D2702" s="4">
        <f>2104/(60*60*24)</f>
        <v>2.435185185185185E-2</v>
      </c>
      <c r="E2702" s="3">
        <f>5117/(60*60*24)</f>
        <v>5.9224537037037034E-2</v>
      </c>
      <c r="F2702" s="6">
        <f>16775/(60*60*24)</f>
        <v>0.19415509259259259</v>
      </c>
      <c r="G2702" s="7" t="s">
        <v>9</v>
      </c>
    </row>
    <row r="2703" spans="1:7" x14ac:dyDescent="0.45">
      <c r="A2703" t="s">
        <v>2798</v>
      </c>
      <c r="B2703" s="2" t="s">
        <v>130</v>
      </c>
      <c r="C2703" s="8" t="s">
        <v>12</v>
      </c>
      <c r="D2703" s="4">
        <f>2176/(60*60*24)</f>
        <v>2.5185185185185185E-2</v>
      </c>
      <c r="E2703" s="3">
        <f>4666/(60*60*24)</f>
        <v>5.4004629629629632E-2</v>
      </c>
      <c r="F2703" s="5">
        <f>15321/(60*60*24)</f>
        <v>0.17732638888888888</v>
      </c>
      <c r="G2703" s="7" t="s">
        <v>9</v>
      </c>
    </row>
    <row r="2704" spans="1:7" x14ac:dyDescent="0.45">
      <c r="A2704" t="s">
        <v>2799</v>
      </c>
      <c r="B2704" s="2" t="s">
        <v>136</v>
      </c>
      <c r="C2704" s="5">
        <f>12450/(60*60*24)</f>
        <v>0.14409722222222221</v>
      </c>
      <c r="D2704" s="4">
        <f>2056/(60*60*24)</f>
        <v>2.3796296296296298E-2</v>
      </c>
      <c r="E2704" s="3">
        <f>5163/(60*60*24)</f>
        <v>5.9756944444444446E-2</v>
      </c>
      <c r="F2704" s="6">
        <f>17090/(60*60*24)</f>
        <v>0.19780092592592594</v>
      </c>
      <c r="G2704" s="7" t="s">
        <v>9</v>
      </c>
    </row>
    <row r="2705" spans="1:7" x14ac:dyDescent="0.45">
      <c r="A2705" t="s">
        <v>2800</v>
      </c>
      <c r="B2705" s="2" t="s">
        <v>134</v>
      </c>
      <c r="C2705" s="5">
        <f>6096/(60*60*24)</f>
        <v>7.0555555555555552E-2</v>
      </c>
      <c r="D2705" s="4">
        <f>2216/(60*60*24)</f>
        <v>2.5648148148148149E-2</v>
      </c>
      <c r="E2705" s="3">
        <f>5311/(60*60*24)</f>
        <v>6.1469907407407411E-2</v>
      </c>
      <c r="F2705" s="6">
        <f>17469/(60*60*24)</f>
        <v>0.20218749999999999</v>
      </c>
      <c r="G2705" s="7" t="s">
        <v>9</v>
      </c>
    </row>
    <row r="2706" spans="1:7" x14ac:dyDescent="0.45">
      <c r="A2706" t="s">
        <v>2801</v>
      </c>
      <c r="B2706" s="2" t="s">
        <v>138</v>
      </c>
      <c r="C2706" s="8" t="s">
        <v>12</v>
      </c>
      <c r="D2706" s="4">
        <f>2199/(60*60*24)</f>
        <v>2.5451388888888888E-2</v>
      </c>
      <c r="E2706" s="3">
        <f>5581/(60*60*24)</f>
        <v>6.4594907407407406E-2</v>
      </c>
      <c r="F2706" s="5">
        <f>18536/(60*60*24)</f>
        <v>0.21453703703703703</v>
      </c>
      <c r="G2706" s="7" t="s">
        <v>9</v>
      </c>
    </row>
    <row r="2707" spans="1:7" x14ac:dyDescent="0.45">
      <c r="A2707" t="s">
        <v>2802</v>
      </c>
      <c r="B2707" s="2" t="s">
        <v>140</v>
      </c>
      <c r="C2707" s="8" t="s">
        <v>12</v>
      </c>
      <c r="D2707" s="4">
        <f>2176/(60*60*24)</f>
        <v>2.5185185185185185E-2</v>
      </c>
      <c r="E2707" s="3">
        <f>5461/(60*60*24)</f>
        <v>6.3206018518518522E-2</v>
      </c>
      <c r="F2707" s="5">
        <f>19428/(60*60*24)</f>
        <v>0.22486111111111112</v>
      </c>
      <c r="G2707" s="7" t="s">
        <v>9</v>
      </c>
    </row>
    <row r="2708" spans="1:7" x14ac:dyDescent="0.45">
      <c r="A2708" t="s">
        <v>2803</v>
      </c>
      <c r="B2708" s="2" t="s">
        <v>144</v>
      </c>
      <c r="C2708" s="5">
        <f>8602/(60*60*24)</f>
        <v>9.9560185185185182E-2</v>
      </c>
      <c r="D2708" s="4">
        <f>2237/(60*60*24)</f>
        <v>2.5891203703703704E-2</v>
      </c>
      <c r="E2708" s="3">
        <f>5853/(60*60*24)</f>
        <v>6.7743055555555556E-2</v>
      </c>
      <c r="F2708" s="6">
        <f>20789/(60*60*24)</f>
        <v>0.24061342592592594</v>
      </c>
      <c r="G2708" s="7" t="s">
        <v>9</v>
      </c>
    </row>
    <row r="2709" spans="1:7" x14ac:dyDescent="0.45">
      <c r="A2709" t="s">
        <v>2804</v>
      </c>
      <c r="B2709" s="2" t="s">
        <v>142</v>
      </c>
      <c r="C2709" s="8" t="s">
        <v>12</v>
      </c>
      <c r="D2709" s="4">
        <f>2237/(60*60*24)</f>
        <v>2.5891203703703704E-2</v>
      </c>
      <c r="E2709" s="3">
        <f>5729/(60*60*24)</f>
        <v>6.6307870370370364E-2</v>
      </c>
      <c r="F2709" s="5">
        <f>18886/(60*60*24)</f>
        <v>0.21858796296296296</v>
      </c>
      <c r="G2709" s="7" t="s">
        <v>9</v>
      </c>
    </row>
    <row r="2710" spans="1:7" x14ac:dyDescent="0.45">
      <c r="A2710" t="s">
        <v>2805</v>
      </c>
      <c r="B2710" s="2" t="s">
        <v>146</v>
      </c>
      <c r="C2710" s="5">
        <f>8164/(60*60*24)</f>
        <v>9.4490740740740736E-2</v>
      </c>
      <c r="D2710" s="4">
        <f>2328/(60*60*24)</f>
        <v>2.6944444444444444E-2</v>
      </c>
      <c r="E2710" s="3">
        <f>6007/(60*60*24)</f>
        <v>6.9525462962962969E-2</v>
      </c>
      <c r="F2710" s="6">
        <f>19639/(60*60*24)</f>
        <v>0.22730324074074074</v>
      </c>
      <c r="G2710" s="7" t="s">
        <v>9</v>
      </c>
    </row>
    <row r="2711" spans="1:7" x14ac:dyDescent="0.45">
      <c r="A2711" t="s">
        <v>2806</v>
      </c>
      <c r="B2711" s="2" t="s">
        <v>148</v>
      </c>
      <c r="C2711" s="8" t="s">
        <v>12</v>
      </c>
      <c r="D2711" s="4">
        <f>2651/(60*60*24)</f>
        <v>3.0682870370370371E-2</v>
      </c>
      <c r="E2711" s="3">
        <f>6616/(60*60*24)</f>
        <v>7.6574074074074072E-2</v>
      </c>
      <c r="F2711" s="5">
        <f>21295/(60*60*24)</f>
        <v>0.2464699074074074</v>
      </c>
      <c r="G2711" s="7" t="s">
        <v>9</v>
      </c>
    </row>
    <row r="2712" spans="1:7" x14ac:dyDescent="0.45">
      <c r="A2712" t="s">
        <v>2807</v>
      </c>
      <c r="B2712" s="2" t="s">
        <v>150</v>
      </c>
      <c r="C2712" s="3">
        <f>6620/(60*60*24)</f>
        <v>7.6620370370370366E-2</v>
      </c>
      <c r="D2712" s="4">
        <f>2609/(60*60*24)</f>
        <v>3.019675925925926E-2</v>
      </c>
      <c r="E2712" s="5">
        <f>6629/(60*60*24)</f>
        <v>7.6724537037037036E-2</v>
      </c>
      <c r="F2712" s="6">
        <f>21105/(60*60*24)</f>
        <v>0.24427083333333333</v>
      </c>
      <c r="G2712" s="7" t="s">
        <v>9</v>
      </c>
    </row>
    <row r="2713" spans="1:7" x14ac:dyDescent="0.45">
      <c r="A2713" t="s">
        <v>2808</v>
      </c>
      <c r="B2713" s="2" t="s">
        <v>152</v>
      </c>
      <c r="C2713" s="3">
        <f>6451/(60*60*24)</f>
        <v>7.4664351851851857E-2</v>
      </c>
      <c r="D2713" s="4">
        <f>2587/(60*60*24)</f>
        <v>2.9942129629629631E-2</v>
      </c>
      <c r="E2713" s="5">
        <f>6580/(60*60*24)</f>
        <v>7.615740740740741E-2</v>
      </c>
      <c r="F2713" s="6">
        <f>21904/(60*60*24)</f>
        <v>0.25351851851851853</v>
      </c>
      <c r="G2713" s="7" t="s">
        <v>9</v>
      </c>
    </row>
    <row r="2714" spans="1:7" x14ac:dyDescent="0.45">
      <c r="A2714" t="s">
        <v>2809</v>
      </c>
      <c r="B2714" s="2" t="s">
        <v>154</v>
      </c>
      <c r="C2714" s="8" t="s">
        <v>12</v>
      </c>
      <c r="D2714" s="4">
        <f>3164/(60*60*24)</f>
        <v>3.6620370370370373E-2</v>
      </c>
      <c r="E2714" s="3">
        <f>6812/(60*60*24)</f>
        <v>7.8842592592592589E-2</v>
      </c>
      <c r="F2714" s="5">
        <f>22493/(60*60*24)</f>
        <v>0.26033564814814814</v>
      </c>
      <c r="G2714" s="7" t="s">
        <v>9</v>
      </c>
    </row>
    <row r="2715" spans="1:7" x14ac:dyDescent="0.45">
      <c r="A2715" t="s">
        <v>2810</v>
      </c>
      <c r="B2715" s="2" t="s">
        <v>156</v>
      </c>
      <c r="C2715" s="8" t="s">
        <v>12</v>
      </c>
      <c r="D2715" s="4">
        <f>2991/(60*60*24)</f>
        <v>3.4618055555555555E-2</v>
      </c>
      <c r="E2715" s="3">
        <f>7166/(60*60*24)</f>
        <v>8.2939814814814813E-2</v>
      </c>
      <c r="F2715" s="5">
        <f>24557/(60*60*24)</f>
        <v>0.28422453703703704</v>
      </c>
      <c r="G2715" s="7" t="s">
        <v>9</v>
      </c>
    </row>
    <row r="2716" spans="1:7" x14ac:dyDescent="0.45">
      <c r="A2716" t="s">
        <v>2811</v>
      </c>
      <c r="B2716" s="2" t="s">
        <v>158</v>
      </c>
      <c r="C2716" s="3">
        <f>7051/(60*60*24)</f>
        <v>8.160879629629629E-2</v>
      </c>
      <c r="D2716" s="4">
        <f>2814/(60*60*24)</f>
        <v>3.2569444444444443E-2</v>
      </c>
      <c r="E2716" s="5">
        <f>7525/(60*60*24)</f>
        <v>8.7094907407407413E-2</v>
      </c>
      <c r="F2716" s="6">
        <f>25894/(60*60*24)</f>
        <v>0.29969907407407409</v>
      </c>
      <c r="G2716" s="7" t="s">
        <v>9</v>
      </c>
    </row>
    <row r="2717" spans="1:7" x14ac:dyDescent="0.45">
      <c r="A2717" t="s">
        <v>2812</v>
      </c>
      <c r="B2717" s="2" t="s">
        <v>160</v>
      </c>
      <c r="C2717" s="8" t="s">
        <v>12</v>
      </c>
      <c r="D2717" s="4">
        <f>2888/(60*60*24)</f>
        <v>3.3425925925925928E-2</v>
      </c>
      <c r="E2717" s="3">
        <f>7424/(60*60*24)</f>
        <v>8.5925925925925919E-2</v>
      </c>
      <c r="F2717" s="5">
        <f>25176/(60*60*24)</f>
        <v>0.29138888888888886</v>
      </c>
      <c r="G2717" s="7" t="s">
        <v>9</v>
      </c>
    </row>
    <row r="2718" spans="1:7" x14ac:dyDescent="0.45">
      <c r="A2718" t="s">
        <v>2813</v>
      </c>
      <c r="B2718" s="2" t="s">
        <v>162</v>
      </c>
      <c r="C2718" s="3">
        <f>6705/(60*60*24)</f>
        <v>7.7604166666666669E-2</v>
      </c>
      <c r="D2718" s="4">
        <f>2699/(60*60*24)</f>
        <v>3.1238425925925926E-2</v>
      </c>
      <c r="E2718" s="5">
        <f>7568/(60*60*24)</f>
        <v>8.7592592592592597E-2</v>
      </c>
      <c r="F2718" s="6">
        <f>25567/(60*60*24)</f>
        <v>0.29591435185185183</v>
      </c>
      <c r="G2718" s="7" t="s">
        <v>9</v>
      </c>
    </row>
    <row r="2719" spans="1:7" x14ac:dyDescent="0.45">
      <c r="A2719" t="s">
        <v>2814</v>
      </c>
      <c r="B2719" s="2" t="s">
        <v>164</v>
      </c>
      <c r="C2719" s="8" t="s">
        <v>12</v>
      </c>
      <c r="D2719" s="4">
        <f>2668/(60*60*24)</f>
        <v>3.0879629629629628E-2</v>
      </c>
      <c r="E2719" s="3">
        <f>7729/(60*60*24)</f>
        <v>8.9456018518518518E-2</v>
      </c>
      <c r="F2719" s="5">
        <f>26513/(60*60*24)</f>
        <v>0.30686342592592591</v>
      </c>
      <c r="G2719" s="7" t="s">
        <v>9</v>
      </c>
    </row>
    <row r="2720" spans="1:7" x14ac:dyDescent="0.45">
      <c r="A2720" t="s">
        <v>2815</v>
      </c>
      <c r="B2720" s="2" t="s">
        <v>168</v>
      </c>
      <c r="C2720" s="8" t="s">
        <v>12</v>
      </c>
      <c r="D2720" s="4">
        <f>2835/(60*60*24)</f>
        <v>3.2812500000000001E-2</v>
      </c>
      <c r="E2720" s="3">
        <f>7888/(60*60*24)</f>
        <v>9.1296296296296292E-2</v>
      </c>
      <c r="F2720" s="5">
        <f>26808/(60*60*24)</f>
        <v>0.31027777777777776</v>
      </c>
      <c r="G2720" s="7" t="s">
        <v>9</v>
      </c>
    </row>
    <row r="2721" spans="1:7" x14ac:dyDescent="0.45">
      <c r="A2721" t="s">
        <v>2816</v>
      </c>
      <c r="B2721" s="2" t="s">
        <v>166</v>
      </c>
      <c r="C2721" s="8" t="s">
        <v>12</v>
      </c>
      <c r="D2721" s="4">
        <f>2826/(60*60*24)</f>
        <v>3.2708333333333332E-2</v>
      </c>
      <c r="E2721" s="3">
        <f>8067/(60*60*24)</f>
        <v>9.3368055555555551E-2</v>
      </c>
      <c r="F2721" s="5">
        <f>27447/(60*60*24)</f>
        <v>0.31767361111111109</v>
      </c>
      <c r="G2721" s="7" t="s">
        <v>9</v>
      </c>
    </row>
    <row r="2722" spans="1:7" x14ac:dyDescent="0.45">
      <c r="A2722" t="s">
        <v>2817</v>
      </c>
      <c r="B2722" s="2" t="s">
        <v>170</v>
      </c>
      <c r="C2722" s="3">
        <f>6526/(60*60*24)</f>
        <v>7.5532407407407409E-2</v>
      </c>
      <c r="D2722" s="4">
        <f>2886/(60*60*24)</f>
        <v>3.3402777777777781E-2</v>
      </c>
      <c r="E2722" s="5">
        <f>8234/(60*60*24)</f>
        <v>9.5300925925925928E-2</v>
      </c>
      <c r="F2722" s="6">
        <f>28090/(60*60*24)</f>
        <v>0.32511574074074073</v>
      </c>
      <c r="G2722" s="7" t="s">
        <v>9</v>
      </c>
    </row>
    <row r="2723" spans="1:7" x14ac:dyDescent="0.45">
      <c r="A2723" t="s">
        <v>2818</v>
      </c>
      <c r="B2723" s="2" t="s">
        <v>172</v>
      </c>
      <c r="C2723" s="3">
        <f>6441/(60*60*24)</f>
        <v>7.4548611111111107E-2</v>
      </c>
      <c r="D2723" s="4">
        <f>2847/(60*60*24)</f>
        <v>3.2951388888888891E-2</v>
      </c>
      <c r="E2723" s="5">
        <f>8356/(60*60*24)</f>
        <v>9.6712962962962959E-2</v>
      </c>
      <c r="F2723" s="6">
        <f>28711/(60*60*24)</f>
        <v>0.33230324074074075</v>
      </c>
      <c r="G2723" s="7" t="s">
        <v>9</v>
      </c>
    </row>
    <row r="2724" spans="1:7" x14ac:dyDescent="0.45">
      <c r="A2724" t="s">
        <v>2819</v>
      </c>
      <c r="B2724" s="2" t="s">
        <v>176</v>
      </c>
      <c r="C2724" s="5">
        <f>8686/(60*60*24)</f>
        <v>0.1005324074074074</v>
      </c>
      <c r="D2724" s="4">
        <f>2938/(60*60*24)</f>
        <v>3.4004629629629628E-2</v>
      </c>
      <c r="E2724" s="3">
        <f>8555/(60*60*24)</f>
        <v>9.9016203703703703E-2</v>
      </c>
      <c r="F2724" s="6">
        <f>29426/(60*60*24)</f>
        <v>0.34057870370370369</v>
      </c>
      <c r="G2724" s="7" t="s">
        <v>9</v>
      </c>
    </row>
    <row r="2725" spans="1:7" x14ac:dyDescent="0.45">
      <c r="A2725" t="s">
        <v>2820</v>
      </c>
      <c r="B2725" s="2" t="s">
        <v>174</v>
      </c>
      <c r="C2725" s="5">
        <f>8967/(60*60*24)</f>
        <v>0.10378472222222222</v>
      </c>
      <c r="D2725" s="4">
        <f>2961/(60*60*24)</f>
        <v>3.4270833333333334E-2</v>
      </c>
      <c r="E2725" s="3">
        <f>8770/(60*60*24)</f>
        <v>0.10150462962962963</v>
      </c>
      <c r="F2725" s="6">
        <f>30056/(60*60*24)</f>
        <v>0.34787037037037039</v>
      </c>
      <c r="G2725" s="7" t="s">
        <v>9</v>
      </c>
    </row>
    <row r="2726" spans="1:7" x14ac:dyDescent="0.45">
      <c r="A2726" t="s">
        <v>2821</v>
      </c>
      <c r="B2726" s="2" t="s">
        <v>180</v>
      </c>
      <c r="C2726" s="3">
        <f>7215/(60*60*24)</f>
        <v>8.3506944444444439E-2</v>
      </c>
      <c r="D2726" s="4">
        <f>3087/(60*60*24)</f>
        <v>3.5729166666666666E-2</v>
      </c>
      <c r="E2726" s="5">
        <f>9493/(60*60*24)</f>
        <v>0.10987268518518518</v>
      </c>
      <c r="F2726" s="6">
        <f>31864/(60*60*24)</f>
        <v>0.36879629629629629</v>
      </c>
      <c r="G2726" s="7" t="s">
        <v>9</v>
      </c>
    </row>
    <row r="2727" spans="1:7" x14ac:dyDescent="0.45">
      <c r="A2727" t="s">
        <v>2822</v>
      </c>
      <c r="B2727" s="2" t="s">
        <v>178</v>
      </c>
      <c r="C2727" s="3">
        <f>7306/(60*60*24)</f>
        <v>8.4560185185185183E-2</v>
      </c>
      <c r="D2727" s="4">
        <f>3430/(60*60*24)</f>
        <v>3.9699074074074074E-2</v>
      </c>
      <c r="E2727" s="5">
        <f>9926/(60*60*24)</f>
        <v>0.11488425925925926</v>
      </c>
      <c r="F2727" s="6">
        <f>34006/(60*60*24)</f>
        <v>0.39358796296296295</v>
      </c>
      <c r="G2727" s="7" t="s">
        <v>9</v>
      </c>
    </row>
    <row r="2728" spans="1:7" x14ac:dyDescent="0.45">
      <c r="A2728" t="s">
        <v>2823</v>
      </c>
      <c r="B2728" s="2" t="s">
        <v>182</v>
      </c>
      <c r="C2728" s="3">
        <f>7473/(60*60*24)</f>
        <v>8.6493055555555559E-2</v>
      </c>
      <c r="D2728" s="4">
        <f>3404/(60*60*24)</f>
        <v>3.9398148148148147E-2</v>
      </c>
      <c r="E2728" s="5">
        <f>9780/(60*60*24)</f>
        <v>0.11319444444444444</v>
      </c>
      <c r="F2728" s="6">
        <f>33436/(60*60*24)</f>
        <v>0.38699074074074075</v>
      </c>
      <c r="G2728" s="7" t="s">
        <v>9</v>
      </c>
    </row>
    <row r="2729" spans="1:7" x14ac:dyDescent="0.45">
      <c r="A2729" t="s">
        <v>2824</v>
      </c>
      <c r="B2729" s="2" t="s">
        <v>184</v>
      </c>
      <c r="C2729" s="3">
        <f>7991/(60*60*24)</f>
        <v>9.2488425925925932E-2</v>
      </c>
      <c r="D2729" s="4">
        <f>3234/(60*60*24)</f>
        <v>3.7430555555555557E-2</v>
      </c>
      <c r="E2729" s="5">
        <f>9965/(60*60*24)</f>
        <v>0.11533564814814815</v>
      </c>
      <c r="F2729" s="6">
        <f>33789/(60*60*24)</f>
        <v>0.3910763888888889</v>
      </c>
      <c r="G2729" s="7" t="s">
        <v>9</v>
      </c>
    </row>
    <row r="2730" spans="1:7" x14ac:dyDescent="0.45">
      <c r="A2730" t="s">
        <v>2825</v>
      </c>
      <c r="B2730" s="2" t="s">
        <v>8</v>
      </c>
      <c r="C2730" s="8" t="s">
        <v>12</v>
      </c>
      <c r="D2730" s="4">
        <f>2408/(60*60*24)</f>
        <v>2.7870370370370372E-2</v>
      </c>
      <c r="E2730" s="3">
        <f>9717/(60*60*24)</f>
        <v>0.11246527777777778</v>
      </c>
      <c r="F2730" s="5">
        <f>33488/(60*60*24)</f>
        <v>0.3875925925925926</v>
      </c>
      <c r="G2730" s="7" t="s">
        <v>9</v>
      </c>
    </row>
    <row r="2731" spans="1:7" x14ac:dyDescent="0.45">
      <c r="A2731" t="s">
        <v>2826</v>
      </c>
      <c r="B2731" s="2" t="s">
        <v>11</v>
      </c>
      <c r="C2731" s="8" t="s">
        <v>12</v>
      </c>
      <c r="D2731" s="4">
        <f>2315/(60*60*24)</f>
        <v>2.6793981481481481E-2</v>
      </c>
      <c r="E2731" s="3">
        <f>10103/(60*60*24)</f>
        <v>0.11693287037037037</v>
      </c>
      <c r="F2731" s="5">
        <f>33439/(60*60*24)</f>
        <v>0.38702546296296297</v>
      </c>
      <c r="G2731" s="7" t="s">
        <v>9</v>
      </c>
    </row>
    <row r="2732" spans="1:7" x14ac:dyDescent="0.45">
      <c r="A2732" t="s">
        <v>2827</v>
      </c>
      <c r="B2732" s="2" t="s">
        <v>14</v>
      </c>
      <c r="C2732" s="3">
        <f>7322/(60*60*24)</f>
        <v>8.4745370370370374E-2</v>
      </c>
      <c r="D2732" s="4">
        <f>2430/(60*60*24)</f>
        <v>2.8125000000000001E-2</v>
      </c>
      <c r="E2732" s="5">
        <f>9593/(60*60*24)</f>
        <v>0.1110300925925926</v>
      </c>
      <c r="F2732" s="6">
        <f>32128/(60*60*24)</f>
        <v>0.37185185185185188</v>
      </c>
      <c r="G2732" s="7" t="s">
        <v>9</v>
      </c>
    </row>
    <row r="2733" spans="1:7" x14ac:dyDescent="0.45">
      <c r="A2733" t="s">
        <v>2828</v>
      </c>
      <c r="B2733" s="2" t="s">
        <v>16</v>
      </c>
      <c r="C2733" s="3">
        <f>7297/(60*60*24)</f>
        <v>8.4456018518518514E-2</v>
      </c>
      <c r="D2733" s="4">
        <f>2458/(60*60*24)</f>
        <v>2.8449074074074075E-2</v>
      </c>
      <c r="E2733" s="5">
        <f>9498/(60*60*24)</f>
        <v>0.10993055555555556</v>
      </c>
      <c r="F2733" s="6">
        <f>31693/(60*60*24)</f>
        <v>0.36681712962962965</v>
      </c>
      <c r="G2733" s="7" t="s">
        <v>9</v>
      </c>
    </row>
    <row r="2734" spans="1:7" x14ac:dyDescent="0.45">
      <c r="A2734" t="s">
        <v>2829</v>
      </c>
      <c r="B2734" s="2" t="s">
        <v>18</v>
      </c>
      <c r="C2734" s="8" t="s">
        <v>12</v>
      </c>
      <c r="D2734" s="4">
        <f>2192/(60*60*24)</f>
        <v>2.537037037037037E-2</v>
      </c>
      <c r="E2734" s="3">
        <f>9322/(60*60*24)</f>
        <v>0.10789351851851851</v>
      </c>
      <c r="F2734" s="5">
        <f>30875/(60*60*24)</f>
        <v>0.35734953703703703</v>
      </c>
      <c r="G2734" s="7" t="s">
        <v>9</v>
      </c>
    </row>
    <row r="2735" spans="1:7" x14ac:dyDescent="0.45">
      <c r="A2735" t="s">
        <v>2830</v>
      </c>
      <c r="B2735" s="2" t="s">
        <v>20</v>
      </c>
      <c r="C2735" s="8" t="s">
        <v>12</v>
      </c>
      <c r="D2735" s="4">
        <f>2123/(60*60*24)</f>
        <v>2.4571759259259258E-2</v>
      </c>
      <c r="E2735" s="3">
        <f>9122/(60*60*24)</f>
        <v>0.1055787037037037</v>
      </c>
      <c r="F2735" s="5">
        <f>30380/(60*60*24)</f>
        <v>0.35162037037037036</v>
      </c>
      <c r="G2735" s="7" t="s">
        <v>9</v>
      </c>
    </row>
    <row r="2736" spans="1:7" x14ac:dyDescent="0.45">
      <c r="A2736" t="s">
        <v>2831</v>
      </c>
      <c r="B2736" s="2" t="s">
        <v>22</v>
      </c>
      <c r="C2736" s="3">
        <f>6740/(60*60*24)</f>
        <v>7.8009259259259264E-2</v>
      </c>
      <c r="D2736" s="4">
        <f>2027/(60*60*24)</f>
        <v>2.3460648148148147E-2</v>
      </c>
      <c r="E2736" s="5">
        <f>8779/(60*60*24)</f>
        <v>0.10160879629629629</v>
      </c>
      <c r="F2736" s="6">
        <f>29473/(60*60*24)</f>
        <v>0.34112268518518518</v>
      </c>
      <c r="G2736" s="7" t="s">
        <v>9</v>
      </c>
    </row>
    <row r="2737" spans="1:7" x14ac:dyDescent="0.45">
      <c r="A2737" t="s">
        <v>2832</v>
      </c>
      <c r="B2737" s="2" t="s">
        <v>24</v>
      </c>
      <c r="C2737" s="3">
        <f>6189/(60*60*24)</f>
        <v>7.1631944444444443E-2</v>
      </c>
      <c r="D2737" s="4">
        <f>2037/(60*60*24)</f>
        <v>2.357638888888889E-2</v>
      </c>
      <c r="E2737" s="5">
        <f>8593/(60*60*24)</f>
        <v>9.9456018518518513E-2</v>
      </c>
      <c r="F2737" s="6">
        <f>28805/(60*60*24)</f>
        <v>0.33339120370370373</v>
      </c>
      <c r="G2737" s="7" t="s">
        <v>9</v>
      </c>
    </row>
    <row r="2738" spans="1:7" x14ac:dyDescent="0.45">
      <c r="A2738" t="s">
        <v>2833</v>
      </c>
      <c r="B2738" s="2" t="s">
        <v>26</v>
      </c>
      <c r="C2738" s="8" t="s">
        <v>12</v>
      </c>
      <c r="D2738" s="4">
        <f>2247/(60*60*24)</f>
        <v>2.6006944444444444E-2</v>
      </c>
      <c r="E2738" s="3">
        <f>8405/(60*60*24)</f>
        <v>9.7280092592592599E-2</v>
      </c>
      <c r="F2738" s="5">
        <f>28520/(60*60*24)</f>
        <v>0.3300925925925926</v>
      </c>
      <c r="G2738" s="7" t="s">
        <v>9</v>
      </c>
    </row>
    <row r="2739" spans="1:7" x14ac:dyDescent="0.45">
      <c r="A2739" t="s">
        <v>2834</v>
      </c>
      <c r="B2739" s="2" t="s">
        <v>28</v>
      </c>
      <c r="C2739" s="8" t="s">
        <v>12</v>
      </c>
      <c r="D2739" s="4">
        <f>2266/(60*60*24)</f>
        <v>2.6226851851851852E-2</v>
      </c>
      <c r="E2739" s="3">
        <f>8096/(60*60*24)</f>
        <v>9.3703703703703706E-2</v>
      </c>
      <c r="F2739" s="5">
        <f>27767/(60*60*24)</f>
        <v>0.3213773148148148</v>
      </c>
      <c r="G2739" s="7" t="s">
        <v>9</v>
      </c>
    </row>
    <row r="2740" spans="1:7" x14ac:dyDescent="0.45">
      <c r="A2740" t="s">
        <v>2835</v>
      </c>
      <c r="B2740" s="2" t="s">
        <v>30</v>
      </c>
      <c r="C2740" s="8" t="s">
        <v>12</v>
      </c>
      <c r="D2740" s="4">
        <f>2689/(60*60*24)</f>
        <v>3.1122685185185184E-2</v>
      </c>
      <c r="E2740" s="3">
        <f>7994/(60*60*24)</f>
        <v>9.2523148148148146E-2</v>
      </c>
      <c r="F2740" s="5">
        <f>26934/(60*60*24)</f>
        <v>0.3117361111111111</v>
      </c>
      <c r="G2740" s="7" t="s">
        <v>9</v>
      </c>
    </row>
    <row r="2741" spans="1:7" x14ac:dyDescent="0.45">
      <c r="A2741" t="s">
        <v>2836</v>
      </c>
      <c r="B2741" s="2" t="s">
        <v>32</v>
      </c>
      <c r="C2741" s="8" t="s">
        <v>12</v>
      </c>
      <c r="D2741" s="4">
        <f>2519/(60*60*24)</f>
        <v>2.9155092592592594E-2</v>
      </c>
      <c r="E2741" s="3">
        <f>7883/(60*60*24)</f>
        <v>9.1238425925925931E-2</v>
      </c>
      <c r="F2741" s="5">
        <f>26298/(60*60*24)</f>
        <v>0.30437500000000001</v>
      </c>
      <c r="G2741" s="7" t="s">
        <v>9</v>
      </c>
    </row>
    <row r="2742" spans="1:7" x14ac:dyDescent="0.45">
      <c r="A2742" t="s">
        <v>2837</v>
      </c>
      <c r="B2742" s="2" t="s">
        <v>36</v>
      </c>
      <c r="C2742" s="8" t="s">
        <v>12</v>
      </c>
      <c r="D2742" s="4">
        <f>2693/(60*60*24)</f>
        <v>3.1168981481481482E-2</v>
      </c>
      <c r="E2742" s="3">
        <f>7767/(60*60*24)</f>
        <v>8.9895833333333328E-2</v>
      </c>
      <c r="F2742" s="5">
        <f>25636/(60*60*24)</f>
        <v>0.29671296296296296</v>
      </c>
      <c r="G2742" s="7" t="s">
        <v>9</v>
      </c>
    </row>
    <row r="2743" spans="1:7" x14ac:dyDescent="0.45">
      <c r="A2743" t="s">
        <v>2838</v>
      </c>
      <c r="B2743" s="2" t="s">
        <v>34</v>
      </c>
      <c r="C2743" s="8" t="s">
        <v>12</v>
      </c>
      <c r="D2743" s="4">
        <f>2573/(60*60*24)</f>
        <v>2.9780092592592594E-2</v>
      </c>
      <c r="E2743" s="3">
        <f>7715/(60*60*24)</f>
        <v>8.9293981481481488E-2</v>
      </c>
      <c r="F2743" s="5">
        <f>25012/(60*60*24)</f>
        <v>0.28949074074074072</v>
      </c>
      <c r="G2743" s="7" t="s">
        <v>9</v>
      </c>
    </row>
    <row r="2744" spans="1:7" x14ac:dyDescent="0.45">
      <c r="A2744" t="s">
        <v>2839</v>
      </c>
      <c r="B2744" s="2" t="s">
        <v>38</v>
      </c>
      <c r="C2744" s="3">
        <f>6555/(60*60*24)</f>
        <v>7.586805555555555E-2</v>
      </c>
      <c r="D2744" s="4">
        <f>2574/(60*60*24)</f>
        <v>2.9791666666666668E-2</v>
      </c>
      <c r="E2744" s="5">
        <f>7463/(60*60*24)</f>
        <v>8.637731481481481E-2</v>
      </c>
      <c r="F2744" s="6">
        <f>24386/(60*60*24)</f>
        <v>0.2822453703703704</v>
      </c>
      <c r="G2744" s="7" t="s">
        <v>9</v>
      </c>
    </row>
    <row r="2745" spans="1:7" x14ac:dyDescent="0.45">
      <c r="A2745" t="s">
        <v>2840</v>
      </c>
      <c r="B2745" s="2" t="s">
        <v>40</v>
      </c>
      <c r="C2745" s="3">
        <f>6485/(60*60*24)</f>
        <v>7.5057870370370372E-2</v>
      </c>
      <c r="D2745" s="4">
        <f>2626/(60*60*24)</f>
        <v>3.0393518518518518E-2</v>
      </c>
      <c r="E2745" s="5">
        <f>7240/(60*60*24)</f>
        <v>8.3796296296296299E-2</v>
      </c>
      <c r="F2745" s="6">
        <f>23595/(60*60*24)</f>
        <v>0.27309027777777778</v>
      </c>
      <c r="G2745" s="7" t="s">
        <v>9</v>
      </c>
    </row>
    <row r="2746" spans="1:7" x14ac:dyDescent="0.45">
      <c r="A2746" t="s">
        <v>2841</v>
      </c>
      <c r="B2746" s="2" t="s">
        <v>44</v>
      </c>
      <c r="C2746" s="8" t="s">
        <v>12</v>
      </c>
      <c r="D2746" s="4">
        <f>3045/(60*60*24)</f>
        <v>3.5243055555555555E-2</v>
      </c>
      <c r="E2746" s="3">
        <f>6968/(60*60*24)</f>
        <v>8.0648148148148149E-2</v>
      </c>
      <c r="F2746" s="5">
        <f>22886/(60*60*24)</f>
        <v>0.26488425925925924</v>
      </c>
      <c r="G2746" s="7" t="s">
        <v>9</v>
      </c>
    </row>
    <row r="2747" spans="1:7" x14ac:dyDescent="0.45">
      <c r="A2747" t="s">
        <v>2842</v>
      </c>
      <c r="B2747" s="2" t="s">
        <v>42</v>
      </c>
      <c r="C2747" s="8" t="s">
        <v>12</v>
      </c>
      <c r="D2747" s="4">
        <f>2825/(60*60*24)</f>
        <v>3.2696759259259259E-2</v>
      </c>
      <c r="E2747" s="3">
        <f>6693/(60*60*24)</f>
        <v>7.7465277777777772E-2</v>
      </c>
      <c r="F2747" s="5">
        <f>22113/(60*60*24)</f>
        <v>0.25593749999999998</v>
      </c>
      <c r="G2747" s="7" t="s">
        <v>9</v>
      </c>
    </row>
    <row r="2748" spans="1:7" x14ac:dyDescent="0.45">
      <c r="A2748" t="s">
        <v>2843</v>
      </c>
      <c r="B2748" s="2" t="s">
        <v>46</v>
      </c>
      <c r="C2748" s="8" t="s">
        <v>12</v>
      </c>
      <c r="D2748" s="4">
        <f>2680/(60*60*24)</f>
        <v>3.1018518518518518E-2</v>
      </c>
      <c r="E2748" s="3">
        <f>6679/(60*60*24)</f>
        <v>7.7303240740740742E-2</v>
      </c>
      <c r="F2748" s="5">
        <f>21692/(60*60*24)</f>
        <v>0.2510648148148148</v>
      </c>
      <c r="G2748" s="7" t="s">
        <v>9</v>
      </c>
    </row>
    <row r="2749" spans="1:7" x14ac:dyDescent="0.45">
      <c r="A2749" t="s">
        <v>2844</v>
      </c>
      <c r="B2749" s="2" t="s">
        <v>48</v>
      </c>
      <c r="C2749" s="8" t="s">
        <v>12</v>
      </c>
      <c r="D2749" s="4">
        <f>2979/(60*60*24)</f>
        <v>3.4479166666666665E-2</v>
      </c>
      <c r="E2749" s="3">
        <f>6502/(60*60*24)</f>
        <v>7.525462962962963E-2</v>
      </c>
      <c r="F2749" s="5">
        <f>21322/(60*60*24)</f>
        <v>0.24678240740740739</v>
      </c>
      <c r="G2749" s="7" t="s">
        <v>9</v>
      </c>
    </row>
    <row r="2750" spans="1:7" x14ac:dyDescent="0.45">
      <c r="A2750" t="s">
        <v>2845</v>
      </c>
      <c r="B2750" s="2" t="s">
        <v>50</v>
      </c>
      <c r="C2750" s="8" t="s">
        <v>12</v>
      </c>
      <c r="D2750" s="4">
        <f>2643/(60*60*24)</f>
        <v>3.0590277777777779E-2</v>
      </c>
      <c r="E2750" s="3">
        <f>6540/(60*60*24)</f>
        <v>7.5694444444444439E-2</v>
      </c>
      <c r="F2750" s="5">
        <f>20839/(60*60*24)</f>
        <v>0.24119212962962963</v>
      </c>
      <c r="G2750" s="7" t="s">
        <v>9</v>
      </c>
    </row>
    <row r="2751" spans="1:7" x14ac:dyDescent="0.45">
      <c r="A2751" t="s">
        <v>2846</v>
      </c>
      <c r="B2751" s="2" t="s">
        <v>52</v>
      </c>
      <c r="C2751" s="8" t="s">
        <v>12</v>
      </c>
      <c r="D2751" s="4">
        <f>3018/(60*60*24)</f>
        <v>3.4930555555555555E-2</v>
      </c>
      <c r="E2751" s="3">
        <f>6318/(60*60*24)</f>
        <v>7.3124999999999996E-2</v>
      </c>
      <c r="F2751" s="5">
        <f>20105/(60*60*24)</f>
        <v>0.23269675925925926</v>
      </c>
      <c r="G2751" s="7" t="s">
        <v>9</v>
      </c>
    </row>
    <row r="2752" spans="1:7" x14ac:dyDescent="0.45">
      <c r="A2752" t="s">
        <v>2847</v>
      </c>
      <c r="B2752" s="2" t="s">
        <v>54</v>
      </c>
      <c r="C2752" s="8" t="s">
        <v>12</v>
      </c>
      <c r="D2752" s="4">
        <f>2218/(60*60*24)</f>
        <v>2.5671296296296296E-2</v>
      </c>
      <c r="E2752" s="3">
        <f>6146/(60*60*24)</f>
        <v>7.1134259259259258E-2</v>
      </c>
      <c r="F2752" s="5">
        <f>19795/(60*60*24)</f>
        <v>0.2291087962962963</v>
      </c>
      <c r="G2752" s="7" t="s">
        <v>9</v>
      </c>
    </row>
    <row r="2753" spans="1:7" x14ac:dyDescent="0.45">
      <c r="A2753" t="s">
        <v>2848</v>
      </c>
      <c r="B2753" s="2" t="s">
        <v>56</v>
      </c>
      <c r="C2753" s="8" t="s">
        <v>12</v>
      </c>
      <c r="D2753" s="4">
        <f>2229/(60*60*24)</f>
        <v>2.5798611111111112E-2</v>
      </c>
      <c r="E2753" s="3">
        <f>5913/(60*60*24)</f>
        <v>6.8437499999999998E-2</v>
      </c>
      <c r="F2753" s="5">
        <f>19231/(60*60*24)</f>
        <v>0.22258101851851853</v>
      </c>
      <c r="G2753" s="7" t="s">
        <v>9</v>
      </c>
    </row>
    <row r="2754" spans="1:7" x14ac:dyDescent="0.45">
      <c r="A2754" t="s">
        <v>2849</v>
      </c>
      <c r="B2754" s="2" t="s">
        <v>58</v>
      </c>
      <c r="C2754" s="3">
        <f>4655/(60*60*24)</f>
        <v>5.3877314814814815E-2</v>
      </c>
      <c r="D2754" s="4">
        <f>2300/(60*60*24)</f>
        <v>2.6620370370370371E-2</v>
      </c>
      <c r="E2754" s="5">
        <f>5822/(60*60*24)</f>
        <v>6.7384259259259255E-2</v>
      </c>
      <c r="F2754" s="6">
        <f>18744/(60*60*24)</f>
        <v>0.21694444444444444</v>
      </c>
      <c r="G2754" s="7" t="s">
        <v>9</v>
      </c>
    </row>
    <row r="2755" spans="1:7" x14ac:dyDescent="0.45">
      <c r="A2755" t="s">
        <v>2850</v>
      </c>
      <c r="B2755" s="2" t="s">
        <v>60</v>
      </c>
      <c r="C2755" s="3">
        <f>4863/(60*60*24)</f>
        <v>5.6284722222222222E-2</v>
      </c>
      <c r="D2755" s="4">
        <f>2064/(60*60*24)</f>
        <v>2.388888888888889E-2</v>
      </c>
      <c r="E2755" s="5">
        <f>5399/(60*60*24)</f>
        <v>6.2488425925925926E-2</v>
      </c>
      <c r="F2755" s="6">
        <f>18170/(60*60*24)</f>
        <v>0.21030092592592592</v>
      </c>
      <c r="G2755" s="7" t="s">
        <v>9</v>
      </c>
    </row>
    <row r="2756" spans="1:7" x14ac:dyDescent="0.45">
      <c r="A2756" t="s">
        <v>2851</v>
      </c>
      <c r="B2756" s="2" t="s">
        <v>62</v>
      </c>
      <c r="C2756" s="3">
        <f>4039/(60*60*24)</f>
        <v>4.6747685185185184E-2</v>
      </c>
      <c r="D2756" s="4">
        <f>2039/(60*60*24)</f>
        <v>2.3599537037037037E-2</v>
      </c>
      <c r="E2756" s="5">
        <f>5327/(60*60*24)</f>
        <v>6.1655092592592595E-2</v>
      </c>
      <c r="F2756" s="6">
        <f>17300/(60*60*24)</f>
        <v>0.20023148148148148</v>
      </c>
      <c r="G2756" s="7" t="s">
        <v>9</v>
      </c>
    </row>
    <row r="2757" spans="1:7" x14ac:dyDescent="0.45">
      <c r="A2757" t="s">
        <v>2852</v>
      </c>
      <c r="B2757" s="2" t="s">
        <v>64</v>
      </c>
      <c r="C2757" s="3">
        <f>4740/(60*60*24)</f>
        <v>5.486111111111111E-2</v>
      </c>
      <c r="D2757" s="4">
        <f>2004/(60*60*24)</f>
        <v>2.3194444444444445E-2</v>
      </c>
      <c r="E2757" s="5">
        <f>4850/(60*60*24)</f>
        <v>5.6134259259259259E-2</v>
      </c>
      <c r="F2757" s="6">
        <f>16827/(60*60*24)</f>
        <v>0.19475694444444444</v>
      </c>
      <c r="G2757" s="7" t="s">
        <v>9</v>
      </c>
    </row>
    <row r="2758" spans="1:7" x14ac:dyDescent="0.45">
      <c r="A2758" t="s">
        <v>2853</v>
      </c>
      <c r="B2758" s="2" t="s">
        <v>66</v>
      </c>
      <c r="C2758" s="8" t="s">
        <v>12</v>
      </c>
      <c r="D2758" s="4">
        <f>2032/(60*60*24)</f>
        <v>2.3518518518518518E-2</v>
      </c>
      <c r="E2758" s="3">
        <f>4892/(60*60*24)</f>
        <v>5.662037037037037E-2</v>
      </c>
      <c r="F2758" s="5">
        <f>16639/(60*60*24)</f>
        <v>0.19258101851851853</v>
      </c>
      <c r="G2758" s="7" t="s">
        <v>9</v>
      </c>
    </row>
    <row r="2759" spans="1:7" x14ac:dyDescent="0.45">
      <c r="A2759" t="s">
        <v>2854</v>
      </c>
      <c r="B2759" s="2" t="s">
        <v>68</v>
      </c>
      <c r="C2759" s="8" t="s">
        <v>12</v>
      </c>
      <c r="D2759" s="4">
        <f>2399/(60*60*24)</f>
        <v>2.7766203703703703E-2</v>
      </c>
      <c r="E2759" s="3">
        <f>5013/(60*60*24)</f>
        <v>5.8020833333333334E-2</v>
      </c>
      <c r="F2759" s="5">
        <f>16122/(60*60*24)</f>
        <v>0.18659722222222222</v>
      </c>
      <c r="G2759" s="7" t="s">
        <v>9</v>
      </c>
    </row>
    <row r="2760" spans="1:7" x14ac:dyDescent="0.45">
      <c r="A2760" t="s">
        <v>2855</v>
      </c>
      <c r="B2760" s="2" t="s">
        <v>72</v>
      </c>
      <c r="C2760" s="3">
        <f>4713/(60*60*24)</f>
        <v>5.454861111111111E-2</v>
      </c>
      <c r="D2760" s="4">
        <f>2378/(60*60*24)</f>
        <v>2.7523148148148147E-2</v>
      </c>
      <c r="E2760" s="5">
        <f>4726/(60*60*24)</f>
        <v>5.4699074074074074E-2</v>
      </c>
      <c r="F2760" s="6">
        <f>15751/(60*60*24)</f>
        <v>0.18230324074074075</v>
      </c>
      <c r="G2760" s="7" t="s">
        <v>9</v>
      </c>
    </row>
    <row r="2761" spans="1:7" x14ac:dyDescent="0.45">
      <c r="A2761" t="s">
        <v>2856</v>
      </c>
      <c r="B2761" s="2" t="s">
        <v>70</v>
      </c>
      <c r="C2761" s="8" t="s">
        <v>12</v>
      </c>
      <c r="D2761" s="4">
        <f>2335/(60*60*24)</f>
        <v>2.7025462962962963E-2</v>
      </c>
      <c r="E2761" s="3">
        <f>4779/(60*60*24)</f>
        <v>5.5312500000000001E-2</v>
      </c>
      <c r="F2761" s="5">
        <f>15825/(60*60*24)</f>
        <v>0.18315972222222221</v>
      </c>
      <c r="G2761" s="7" t="s">
        <v>9</v>
      </c>
    </row>
    <row r="2762" spans="1:7" x14ac:dyDescent="0.45">
      <c r="A2762" t="s">
        <v>2857</v>
      </c>
      <c r="B2762" s="2" t="s">
        <v>74</v>
      </c>
      <c r="C2762" s="3">
        <f>3946/(60*60*24)</f>
        <v>4.5671296296296293E-2</v>
      </c>
      <c r="D2762" s="4">
        <f>1536/(60*60*24)</f>
        <v>1.7777777777777778E-2</v>
      </c>
      <c r="E2762" s="5">
        <f>4457/(60*60*24)</f>
        <v>5.1585648148148151E-2</v>
      </c>
      <c r="F2762" s="6">
        <f>14911/(60*60*24)</f>
        <v>0.17258101851851851</v>
      </c>
      <c r="G2762" s="7" t="s">
        <v>9</v>
      </c>
    </row>
    <row r="2763" spans="1:7" x14ac:dyDescent="0.45">
      <c r="A2763" t="s">
        <v>2858</v>
      </c>
      <c r="B2763" s="2" t="s">
        <v>76</v>
      </c>
      <c r="C2763" s="3">
        <f>4125/(60*60*24)</f>
        <v>4.7743055555555552E-2</v>
      </c>
      <c r="D2763" s="4">
        <f>1420/(60*60*24)</f>
        <v>1.6435185185185185E-2</v>
      </c>
      <c r="E2763" s="5">
        <f>4312/(60*60*24)</f>
        <v>4.9907407407407407E-2</v>
      </c>
      <c r="F2763" s="6">
        <f>14431/(60*60*24)</f>
        <v>0.16702546296296297</v>
      </c>
      <c r="G2763" s="7" t="s">
        <v>9</v>
      </c>
    </row>
    <row r="2764" spans="1:7" x14ac:dyDescent="0.45">
      <c r="A2764" t="s">
        <v>2859</v>
      </c>
      <c r="B2764" s="2" t="s">
        <v>78</v>
      </c>
      <c r="C2764" s="5">
        <f>4340/(60*60*24)</f>
        <v>5.0231481481481481E-2</v>
      </c>
      <c r="D2764" s="4">
        <f>1254/(60*60*24)</f>
        <v>1.4513888888888889E-2</v>
      </c>
      <c r="E2764" s="3">
        <f>4199/(60*60*24)</f>
        <v>4.8599537037037038E-2</v>
      </c>
      <c r="F2764" s="6">
        <f>14175/(60*60*24)</f>
        <v>0.1640625</v>
      </c>
      <c r="G2764" s="7" t="s">
        <v>9</v>
      </c>
    </row>
    <row r="2765" spans="1:7" x14ac:dyDescent="0.45">
      <c r="A2765" t="s">
        <v>2860</v>
      </c>
      <c r="B2765" s="2" t="s">
        <v>80</v>
      </c>
      <c r="C2765" s="5">
        <f>4890/(60*60*24)</f>
        <v>5.6597222222222222E-2</v>
      </c>
      <c r="D2765" s="4">
        <f>1324/(60*60*24)</f>
        <v>1.5324074074074073E-2</v>
      </c>
      <c r="E2765" s="3">
        <f>4067/(60*60*24)</f>
        <v>4.7071759259259258E-2</v>
      </c>
      <c r="F2765" s="6">
        <f>13771/(60*60*24)</f>
        <v>0.15938657407407408</v>
      </c>
      <c r="G2765" s="7" t="s">
        <v>9</v>
      </c>
    </row>
    <row r="2766" spans="1:7" x14ac:dyDescent="0.45">
      <c r="A2766" t="s">
        <v>2861</v>
      </c>
      <c r="B2766" s="2" t="s">
        <v>84</v>
      </c>
      <c r="C2766" s="3">
        <f>3465/(60*60*24)</f>
        <v>4.010416666666667E-2</v>
      </c>
      <c r="D2766" s="4">
        <f>1171/(60*60*24)</f>
        <v>1.3553240740740741E-2</v>
      </c>
      <c r="E2766" s="5">
        <f>3895/(60*60*24)</f>
        <v>4.508101851851852E-2</v>
      </c>
      <c r="F2766" s="6">
        <f>13154/(60*60*24)</f>
        <v>0.15224537037037036</v>
      </c>
      <c r="G2766" s="7" t="s">
        <v>9</v>
      </c>
    </row>
    <row r="2767" spans="1:7" x14ac:dyDescent="0.45">
      <c r="A2767" t="s">
        <v>2862</v>
      </c>
      <c r="B2767" s="2" t="s">
        <v>82</v>
      </c>
      <c r="C2767" s="3">
        <f>3678/(60*60*24)</f>
        <v>4.2569444444444444E-2</v>
      </c>
      <c r="D2767" s="4">
        <f>1041/(60*60*24)</f>
        <v>1.2048611111111111E-2</v>
      </c>
      <c r="E2767" s="5">
        <f>3984/(60*60*24)</f>
        <v>4.611111111111111E-2</v>
      </c>
      <c r="F2767" s="6">
        <f>13132/(60*60*24)</f>
        <v>0.15199074074074073</v>
      </c>
      <c r="G2767" s="7" t="s">
        <v>9</v>
      </c>
    </row>
    <row r="2768" spans="1:7" x14ac:dyDescent="0.45">
      <c r="A2768" t="s">
        <v>2863</v>
      </c>
      <c r="B2768" s="2" t="s">
        <v>88</v>
      </c>
      <c r="C2768" s="5">
        <f>4390/(60*60*24)</f>
        <v>5.0810185185185187E-2</v>
      </c>
      <c r="D2768" s="4">
        <f>984/(60*60*24)</f>
        <v>1.1388888888888889E-2</v>
      </c>
      <c r="E2768" s="3">
        <f>4262/(60*60*24)</f>
        <v>4.9328703703703701E-2</v>
      </c>
      <c r="F2768" s="6">
        <f>13315/(60*60*24)</f>
        <v>0.15410879629629629</v>
      </c>
      <c r="G2768" s="7" t="s">
        <v>9</v>
      </c>
    </row>
    <row r="2769" spans="1:7" x14ac:dyDescent="0.45">
      <c r="A2769" t="s">
        <v>2864</v>
      </c>
      <c r="B2769" s="2" t="s">
        <v>86</v>
      </c>
      <c r="C2769" s="8" t="s">
        <v>12</v>
      </c>
      <c r="D2769" s="4">
        <f>1043/(60*60*24)</f>
        <v>1.207175925925926E-2</v>
      </c>
      <c r="E2769" s="3">
        <f>3706/(60*60*24)</f>
        <v>4.2893518518518518E-2</v>
      </c>
      <c r="F2769" s="5">
        <f>12828/(60*60*24)</f>
        <v>0.14847222222222223</v>
      </c>
      <c r="G2769" s="7" t="s">
        <v>9</v>
      </c>
    </row>
    <row r="2770" spans="1:7" x14ac:dyDescent="0.45">
      <c r="A2770" t="s">
        <v>2865</v>
      </c>
      <c r="B2770" s="2" t="s">
        <v>90</v>
      </c>
      <c r="C2770" s="3">
        <f>3230/(60*60*24)</f>
        <v>3.7384259259259256E-2</v>
      </c>
      <c r="D2770" s="4">
        <f>1113/(60*60*24)</f>
        <v>1.2881944444444444E-2</v>
      </c>
      <c r="E2770" s="5">
        <f>3490/(60*60*24)</f>
        <v>4.0393518518518516E-2</v>
      </c>
      <c r="F2770" s="6">
        <f>11907/(60*60*24)</f>
        <v>0.1378125</v>
      </c>
      <c r="G2770" s="7" t="s">
        <v>9</v>
      </c>
    </row>
    <row r="2771" spans="1:7" x14ac:dyDescent="0.45">
      <c r="A2771" t="s">
        <v>2866</v>
      </c>
      <c r="B2771" s="2" t="s">
        <v>92</v>
      </c>
      <c r="C2771" s="5">
        <f>3611/(60*60*24)</f>
        <v>4.1793981481481481E-2</v>
      </c>
      <c r="D2771" s="4">
        <f>1069/(60*60*24)</f>
        <v>1.2372685185185184E-2</v>
      </c>
      <c r="E2771" s="3">
        <f>3352/(60*60*24)</f>
        <v>3.8796296296296294E-2</v>
      </c>
      <c r="F2771" s="6">
        <f>11784/(60*60*24)</f>
        <v>0.13638888888888889</v>
      </c>
      <c r="G2771" s="7" t="s">
        <v>9</v>
      </c>
    </row>
    <row r="2772" spans="1:7" x14ac:dyDescent="0.45">
      <c r="A2772" t="s">
        <v>2867</v>
      </c>
      <c r="B2772" s="2" t="s">
        <v>94</v>
      </c>
      <c r="C2772" s="8" t="s">
        <v>12</v>
      </c>
      <c r="D2772" s="4">
        <f>1181/(60*60*24)</f>
        <v>1.3668981481481482E-2</v>
      </c>
      <c r="E2772" s="3">
        <f>3335/(60*60*24)</f>
        <v>3.8599537037037036E-2</v>
      </c>
      <c r="F2772" s="5">
        <f>11630/(60*60*24)</f>
        <v>0.13460648148148149</v>
      </c>
      <c r="G2772" s="7" t="s">
        <v>9</v>
      </c>
    </row>
    <row r="2773" spans="1:7" x14ac:dyDescent="0.45">
      <c r="A2773" t="s">
        <v>2868</v>
      </c>
      <c r="B2773" s="2" t="s">
        <v>96</v>
      </c>
      <c r="C2773" s="8" t="s">
        <v>12</v>
      </c>
      <c r="D2773" s="4">
        <f>1332/(60*60*24)</f>
        <v>1.5416666666666667E-2</v>
      </c>
      <c r="E2773" s="3">
        <f>3220/(60*60*24)</f>
        <v>3.726851851851852E-2</v>
      </c>
      <c r="F2773" s="5">
        <f>11857/(60*60*24)</f>
        <v>0.13723379629629628</v>
      </c>
      <c r="G2773" s="7" t="s">
        <v>9</v>
      </c>
    </row>
    <row r="2774" spans="1:7" x14ac:dyDescent="0.45">
      <c r="A2774" t="s">
        <v>2869</v>
      </c>
      <c r="B2774" s="2" t="s">
        <v>98</v>
      </c>
      <c r="C2774" s="8" t="s">
        <v>12</v>
      </c>
      <c r="D2774" s="4">
        <f>1352/(60*60*24)</f>
        <v>1.5648148148148147E-2</v>
      </c>
      <c r="E2774" s="3">
        <f>3265/(60*60*24)</f>
        <v>3.7789351851851852E-2</v>
      </c>
      <c r="F2774" s="5">
        <f>12022/(60*60*24)</f>
        <v>0.13914351851851853</v>
      </c>
      <c r="G2774" s="7" t="s">
        <v>9</v>
      </c>
    </row>
    <row r="2775" spans="1:7" x14ac:dyDescent="0.45">
      <c r="A2775" t="s">
        <v>2870</v>
      </c>
      <c r="B2775" s="2" t="s">
        <v>100</v>
      </c>
      <c r="C2775" s="8" t="s">
        <v>12</v>
      </c>
      <c r="D2775" s="4">
        <f>1306/(60*60*24)</f>
        <v>1.511574074074074E-2</v>
      </c>
      <c r="E2775" s="3">
        <f>3280/(60*60*24)</f>
        <v>3.7962962962962962E-2</v>
      </c>
      <c r="F2775" s="5">
        <f>12310/(60*60*24)</f>
        <v>0.14247685185185185</v>
      </c>
      <c r="G2775" s="7" t="s">
        <v>9</v>
      </c>
    </row>
    <row r="2776" spans="1:7" x14ac:dyDescent="0.45">
      <c r="A2776" t="s">
        <v>2871</v>
      </c>
      <c r="B2776" s="2" t="s">
        <v>104</v>
      </c>
      <c r="C2776" s="8" t="s">
        <v>12</v>
      </c>
      <c r="D2776" s="4">
        <f>1293/(60*60*24)</f>
        <v>1.4965277777777777E-2</v>
      </c>
      <c r="E2776" s="3">
        <f>3127/(60*60*24)</f>
        <v>3.619212962962963E-2</v>
      </c>
      <c r="F2776" s="5">
        <f>12216/(60*60*24)</f>
        <v>0.1413888888888889</v>
      </c>
      <c r="G2776" s="7" t="s">
        <v>9</v>
      </c>
    </row>
    <row r="2777" spans="1:7" x14ac:dyDescent="0.45">
      <c r="A2777" t="s">
        <v>2872</v>
      </c>
      <c r="B2777" s="2" t="s">
        <v>102</v>
      </c>
      <c r="C2777" s="8" t="s">
        <v>12</v>
      </c>
      <c r="D2777" s="4">
        <f>1465/(60*60*24)</f>
        <v>1.695601851851852E-2</v>
      </c>
      <c r="E2777" s="3">
        <f>3219/(60*60*24)</f>
        <v>3.7256944444444447E-2</v>
      </c>
      <c r="F2777" s="5">
        <f>12288/(60*60*24)</f>
        <v>0.14222222222222222</v>
      </c>
      <c r="G2777" s="7" t="s">
        <v>9</v>
      </c>
    </row>
    <row r="2778" spans="1:7" x14ac:dyDescent="0.45">
      <c r="A2778" t="s">
        <v>2873</v>
      </c>
      <c r="B2778" s="2" t="s">
        <v>106</v>
      </c>
      <c r="C2778" s="8" t="s">
        <v>12</v>
      </c>
      <c r="D2778" s="4">
        <f>1596/(60*60*24)</f>
        <v>1.8472222222222223E-2</v>
      </c>
      <c r="E2778" s="3">
        <f>3319/(60*60*24)</f>
        <v>3.8414351851851852E-2</v>
      </c>
      <c r="F2778" s="5">
        <f>11393/(60*60*24)</f>
        <v>0.13186342592592593</v>
      </c>
      <c r="G2778" s="7" t="s">
        <v>9</v>
      </c>
    </row>
    <row r="2779" spans="1:7" x14ac:dyDescent="0.45">
      <c r="A2779" t="s">
        <v>2874</v>
      </c>
      <c r="B2779" s="2" t="s">
        <v>108</v>
      </c>
      <c r="C2779" s="8" t="s">
        <v>12</v>
      </c>
      <c r="D2779" s="4">
        <f>1535/(60*60*24)</f>
        <v>1.7766203703703704E-2</v>
      </c>
      <c r="E2779" s="3">
        <f>3517/(60*60*24)</f>
        <v>4.0706018518518516E-2</v>
      </c>
      <c r="F2779" s="5">
        <f>11655/(60*60*24)</f>
        <v>0.13489583333333333</v>
      </c>
      <c r="G2779" s="7" t="s">
        <v>9</v>
      </c>
    </row>
    <row r="2780" spans="1:7" x14ac:dyDescent="0.45">
      <c r="A2780" t="s">
        <v>2875</v>
      </c>
      <c r="B2780" s="2" t="s">
        <v>112</v>
      </c>
      <c r="C2780" s="5">
        <f>5102/(60*60*24)</f>
        <v>5.9050925925925923E-2</v>
      </c>
      <c r="D2780" s="4">
        <f>1402/(60*60*24)</f>
        <v>1.6226851851851853E-2</v>
      </c>
      <c r="E2780" s="3">
        <f>3782/(60*60*24)</f>
        <v>4.3773148148148151E-2</v>
      </c>
      <c r="F2780" s="6">
        <f>12388/(60*60*24)</f>
        <v>0.14337962962962963</v>
      </c>
      <c r="G2780" s="7" t="s">
        <v>9</v>
      </c>
    </row>
    <row r="2781" spans="1:7" x14ac:dyDescent="0.45">
      <c r="A2781" t="s">
        <v>2876</v>
      </c>
      <c r="B2781" s="2" t="s">
        <v>110</v>
      </c>
      <c r="C2781" s="8" t="s">
        <v>12</v>
      </c>
      <c r="D2781" s="4">
        <f>1395/(60*60*24)</f>
        <v>1.6145833333333335E-2</v>
      </c>
      <c r="E2781" s="3">
        <f>3554/(60*60*24)</f>
        <v>4.1134259259259259E-2</v>
      </c>
      <c r="F2781" s="5">
        <f>11776/(60*60*24)</f>
        <v>0.1362962962962963</v>
      </c>
      <c r="G2781" s="7" t="s">
        <v>9</v>
      </c>
    </row>
    <row r="2782" spans="1:7" x14ac:dyDescent="0.45">
      <c r="A2782" t="s">
        <v>2877</v>
      </c>
      <c r="B2782" s="2" t="s">
        <v>114</v>
      </c>
      <c r="C2782" s="8" t="s">
        <v>12</v>
      </c>
      <c r="D2782" s="4">
        <f>1551/(60*60*24)</f>
        <v>1.7951388888888888E-2</v>
      </c>
      <c r="E2782" s="3">
        <f>4156/(60*60*24)</f>
        <v>4.8101851851851854E-2</v>
      </c>
      <c r="F2782" s="5">
        <f>12704/(60*60*24)</f>
        <v>0.14703703703703705</v>
      </c>
      <c r="G2782" s="7" t="s">
        <v>9</v>
      </c>
    </row>
    <row r="2783" spans="1:7" x14ac:dyDescent="0.45">
      <c r="A2783" t="s">
        <v>2878</v>
      </c>
      <c r="B2783" s="2" t="s">
        <v>116</v>
      </c>
      <c r="C2783" s="8" t="s">
        <v>12</v>
      </c>
      <c r="D2783" s="4">
        <f>1532/(60*60*24)</f>
        <v>1.773148148148148E-2</v>
      </c>
      <c r="E2783" s="3">
        <f>3896/(60*60*24)</f>
        <v>4.5092592592592594E-2</v>
      </c>
      <c r="F2783" s="5">
        <f>13018/(60*60*24)</f>
        <v>0.1506712962962963</v>
      </c>
      <c r="G2783" s="7" t="s">
        <v>9</v>
      </c>
    </row>
    <row r="2784" spans="1:7" x14ac:dyDescent="0.45">
      <c r="A2784" t="s">
        <v>2879</v>
      </c>
      <c r="B2784" s="2" t="s">
        <v>118</v>
      </c>
      <c r="C2784" s="8" t="s">
        <v>12</v>
      </c>
      <c r="D2784" s="4">
        <f>1377/(60*60*24)</f>
        <v>1.59375E-2</v>
      </c>
      <c r="E2784" s="3">
        <f>3727/(60*60*24)</f>
        <v>4.3136574074074077E-2</v>
      </c>
      <c r="F2784" s="5">
        <f>13270/(60*60*24)</f>
        <v>0.15358796296296295</v>
      </c>
      <c r="G2784" s="7" t="s">
        <v>9</v>
      </c>
    </row>
    <row r="2785" spans="1:7" x14ac:dyDescent="0.45">
      <c r="A2785" t="s">
        <v>2880</v>
      </c>
      <c r="B2785" s="2" t="s">
        <v>120</v>
      </c>
      <c r="C2785" s="8" t="s">
        <v>12</v>
      </c>
      <c r="D2785" s="4">
        <f>1499/(60*60*24)</f>
        <v>1.7349537037037038E-2</v>
      </c>
      <c r="E2785" s="3">
        <f>4018/(60*60*24)</f>
        <v>4.6504629629629632E-2</v>
      </c>
      <c r="F2785" s="5">
        <f>14085/(60*60*24)</f>
        <v>0.16302083333333334</v>
      </c>
      <c r="G2785" s="7" t="s">
        <v>9</v>
      </c>
    </row>
    <row r="2786" spans="1:7" x14ac:dyDescent="0.45">
      <c r="A2786" t="s">
        <v>2881</v>
      </c>
      <c r="B2786" s="2" t="s">
        <v>124</v>
      </c>
      <c r="C2786" s="8" t="s">
        <v>12</v>
      </c>
      <c r="D2786" s="4">
        <f>1660/(60*60*24)</f>
        <v>1.9212962962962963E-2</v>
      </c>
      <c r="E2786" s="3">
        <f>4259/(60*60*24)</f>
        <v>4.929398148148148E-2</v>
      </c>
      <c r="F2786" s="5">
        <f>14182/(60*60*24)</f>
        <v>0.16414351851851852</v>
      </c>
      <c r="G2786" s="7" t="s">
        <v>9</v>
      </c>
    </row>
    <row r="2787" spans="1:7" x14ac:dyDescent="0.45">
      <c r="A2787" t="s">
        <v>2882</v>
      </c>
      <c r="B2787" s="2" t="s">
        <v>122</v>
      </c>
      <c r="C2787" s="8" t="s">
        <v>12</v>
      </c>
      <c r="D2787" s="4">
        <f>1805/(60*60*24)</f>
        <v>2.0891203703703703E-2</v>
      </c>
      <c r="E2787" s="3">
        <f>4394/(60*60*24)</f>
        <v>5.0856481481481482E-2</v>
      </c>
      <c r="F2787" s="5">
        <f>15006/(60*60*24)</f>
        <v>0.17368055555555556</v>
      </c>
      <c r="G2787" s="7" t="s">
        <v>9</v>
      </c>
    </row>
    <row r="2788" spans="1:7" x14ac:dyDescent="0.45">
      <c r="A2788" t="s">
        <v>2883</v>
      </c>
      <c r="B2788" s="2" t="s">
        <v>126</v>
      </c>
      <c r="C2788" s="8" t="s">
        <v>12</v>
      </c>
      <c r="D2788" s="4">
        <f>1843/(60*60*24)</f>
        <v>2.133101851851852E-2</v>
      </c>
      <c r="E2788" s="3">
        <f>4354/(60*60*24)</f>
        <v>5.0393518518518518E-2</v>
      </c>
      <c r="F2788" s="5">
        <f>15590/(60*60*24)</f>
        <v>0.1804398148148148</v>
      </c>
      <c r="G2788" s="7" t="s">
        <v>9</v>
      </c>
    </row>
    <row r="2789" spans="1:7" x14ac:dyDescent="0.45">
      <c r="A2789" t="s">
        <v>2884</v>
      </c>
      <c r="B2789" s="2" t="s">
        <v>128</v>
      </c>
      <c r="C2789" s="8" t="s">
        <v>12</v>
      </c>
      <c r="D2789" s="4">
        <f>1906/(60*60*24)</f>
        <v>2.2060185185185186E-2</v>
      </c>
      <c r="E2789" s="3">
        <f>4585/(60*60*24)</f>
        <v>5.3067129629629631E-2</v>
      </c>
      <c r="F2789" s="5">
        <f>16110/(60*60*24)</f>
        <v>0.18645833333333334</v>
      </c>
      <c r="G2789" s="7" t="s">
        <v>9</v>
      </c>
    </row>
    <row r="2790" spans="1:7" x14ac:dyDescent="0.45">
      <c r="A2790" t="s">
        <v>2885</v>
      </c>
      <c r="B2790" s="2" t="s">
        <v>130</v>
      </c>
      <c r="C2790" s="3">
        <f>4687/(60*60*24)</f>
        <v>5.4247685185185184E-2</v>
      </c>
      <c r="D2790" s="4">
        <f>2331/(60*60*24)</f>
        <v>2.6979166666666665E-2</v>
      </c>
      <c r="E2790" s="5">
        <f>4842/(60*60*24)</f>
        <v>5.6041666666666663E-2</v>
      </c>
      <c r="F2790" s="6">
        <f>15789/(60*60*24)</f>
        <v>0.18274305555555556</v>
      </c>
      <c r="G2790" s="7" t="s">
        <v>9</v>
      </c>
    </row>
    <row r="2791" spans="1:7" x14ac:dyDescent="0.45">
      <c r="A2791" t="s">
        <v>2886</v>
      </c>
      <c r="B2791" s="2" t="s">
        <v>132</v>
      </c>
      <c r="C2791" s="3">
        <f>3760/(60*60*24)</f>
        <v>4.3518518518518519E-2</v>
      </c>
      <c r="D2791" s="4">
        <f>2048/(60*60*24)</f>
        <v>2.3703703703703703E-2</v>
      </c>
      <c r="E2791" s="5">
        <f>4998/(60*60*24)</f>
        <v>5.7847222222222223E-2</v>
      </c>
      <c r="F2791" s="6">
        <f>16748/(60*60*24)</f>
        <v>0.19384259259259259</v>
      </c>
      <c r="G2791" s="7" t="s">
        <v>9</v>
      </c>
    </row>
    <row r="2792" spans="1:7" x14ac:dyDescent="0.45">
      <c r="A2792" t="s">
        <v>2887</v>
      </c>
      <c r="B2792" s="2" t="s">
        <v>136</v>
      </c>
      <c r="C2792" s="3">
        <f>4182/(60*60*24)</f>
        <v>4.8402777777777781E-2</v>
      </c>
      <c r="D2792" s="4">
        <f>2211/(60*60*24)</f>
        <v>2.5590277777777778E-2</v>
      </c>
      <c r="E2792" s="5">
        <f>5313/(60*60*24)</f>
        <v>6.1493055555555558E-2</v>
      </c>
      <c r="F2792" s="6">
        <f>17324/(60*60*24)</f>
        <v>0.20050925925925925</v>
      </c>
      <c r="G2792" s="7" t="s">
        <v>9</v>
      </c>
    </row>
    <row r="2793" spans="1:7" x14ac:dyDescent="0.45">
      <c r="A2793" t="s">
        <v>2888</v>
      </c>
      <c r="B2793" s="2" t="s">
        <v>134</v>
      </c>
      <c r="C2793" s="3">
        <f>4160/(60*60*24)</f>
        <v>4.8148148148148148E-2</v>
      </c>
      <c r="D2793" s="4">
        <f>2143/(60*60*24)</f>
        <v>2.480324074074074E-2</v>
      </c>
      <c r="E2793" s="5">
        <f>5797/(60*60*24)</f>
        <v>6.7094907407407409E-2</v>
      </c>
      <c r="F2793" s="6">
        <f>17973/(60*60*24)</f>
        <v>0.20802083333333332</v>
      </c>
      <c r="G2793" s="7" t="s">
        <v>9</v>
      </c>
    </row>
    <row r="2794" spans="1:7" x14ac:dyDescent="0.45">
      <c r="A2794" t="s">
        <v>2889</v>
      </c>
      <c r="B2794" s="2" t="s">
        <v>138</v>
      </c>
      <c r="C2794" s="3">
        <f>4706/(60*60*24)</f>
        <v>5.4467592592592595E-2</v>
      </c>
      <c r="D2794" s="4">
        <f>2247/(60*60*24)</f>
        <v>2.6006944444444444E-2</v>
      </c>
      <c r="E2794" s="5">
        <f>5596/(60*60*24)</f>
        <v>6.4768518518518517E-2</v>
      </c>
      <c r="F2794" s="6">
        <f>18618/(60*60*24)</f>
        <v>0.2154861111111111</v>
      </c>
      <c r="G2794" s="7" t="s">
        <v>9</v>
      </c>
    </row>
    <row r="2795" spans="1:7" x14ac:dyDescent="0.45">
      <c r="A2795" t="s">
        <v>2890</v>
      </c>
      <c r="B2795" s="2" t="s">
        <v>140</v>
      </c>
      <c r="C2795" s="8" t="s">
        <v>12</v>
      </c>
      <c r="D2795" s="4">
        <f>2398/(60*60*24)</f>
        <v>2.7754629629629629E-2</v>
      </c>
      <c r="E2795" s="3">
        <f>5783/(60*60*24)</f>
        <v>6.6932870370370365E-2</v>
      </c>
      <c r="F2795" s="5">
        <f>19181/(60*60*24)</f>
        <v>0.22200231481481481</v>
      </c>
      <c r="G2795" s="7" t="s">
        <v>9</v>
      </c>
    </row>
    <row r="2796" spans="1:7" x14ac:dyDescent="0.45">
      <c r="A2796" t="s">
        <v>2891</v>
      </c>
      <c r="B2796" s="2" t="s">
        <v>144</v>
      </c>
      <c r="C2796" s="5">
        <f>8511/(60*60*24)</f>
        <v>9.8506944444444439E-2</v>
      </c>
      <c r="D2796" s="4">
        <f>2539/(60*60*24)</f>
        <v>2.9386574074074075E-2</v>
      </c>
      <c r="E2796" s="3">
        <f>6561/(60*60*24)</f>
        <v>7.5937500000000005E-2</v>
      </c>
      <c r="F2796" s="6">
        <f>21004/(60*60*24)</f>
        <v>0.24310185185185185</v>
      </c>
      <c r="G2796" s="7" t="s">
        <v>9</v>
      </c>
    </row>
    <row r="2797" spans="1:7" x14ac:dyDescent="0.45">
      <c r="A2797" t="s">
        <v>2892</v>
      </c>
      <c r="B2797" s="2" t="s">
        <v>142</v>
      </c>
      <c r="C2797" s="8" t="s">
        <v>12</v>
      </c>
      <c r="D2797" s="4">
        <f>2420/(60*60*24)</f>
        <v>2.8009259259259258E-2</v>
      </c>
      <c r="E2797" s="3">
        <f>5971/(60*60*24)</f>
        <v>6.9108796296296293E-2</v>
      </c>
      <c r="F2797" s="5">
        <f>20044/(60*60*24)</f>
        <v>0.23199074074074075</v>
      </c>
      <c r="G2797" s="7" t="s">
        <v>9</v>
      </c>
    </row>
    <row r="2798" spans="1:7" x14ac:dyDescent="0.45">
      <c r="A2798" t="s">
        <v>2893</v>
      </c>
      <c r="B2798" s="2" t="s">
        <v>146</v>
      </c>
      <c r="C2798" s="5">
        <f>7838/(60*60*24)</f>
        <v>9.0717592592592586E-2</v>
      </c>
      <c r="D2798" s="4">
        <f>2371/(60*60*24)</f>
        <v>2.7442129629629629E-2</v>
      </c>
      <c r="E2798" s="3">
        <f>6246/(60*60*24)</f>
        <v>7.2291666666666671E-2</v>
      </c>
      <c r="F2798" s="6">
        <f>20224/(60*60*24)</f>
        <v>0.23407407407407407</v>
      </c>
      <c r="G2798" s="7" t="s">
        <v>9</v>
      </c>
    </row>
    <row r="2799" spans="1:7" x14ac:dyDescent="0.45">
      <c r="A2799" t="s">
        <v>2894</v>
      </c>
      <c r="B2799" s="2" t="s">
        <v>148</v>
      </c>
      <c r="C2799" s="8" t="s">
        <v>12</v>
      </c>
      <c r="D2799" s="4">
        <f>2731/(60*60*24)</f>
        <v>3.1608796296296295E-2</v>
      </c>
      <c r="E2799" s="3">
        <f>6875/(60*60*24)</f>
        <v>7.9571759259259259E-2</v>
      </c>
      <c r="F2799" s="5">
        <f>21591/(60*60*24)</f>
        <v>0.24989583333333334</v>
      </c>
      <c r="G2799" s="7" t="s">
        <v>9</v>
      </c>
    </row>
    <row r="2800" spans="1:7" x14ac:dyDescent="0.45">
      <c r="A2800" t="s">
        <v>2895</v>
      </c>
      <c r="B2800" s="2" t="s">
        <v>150</v>
      </c>
      <c r="C2800" s="3">
        <f>5681/(60*60*24)</f>
        <v>6.5752314814814819E-2</v>
      </c>
      <c r="D2800" s="4">
        <f>2595/(60*60*24)</f>
        <v>3.0034722222222223E-2</v>
      </c>
      <c r="E2800" s="5">
        <f>6689/(60*60*24)</f>
        <v>7.7418981481481478E-2</v>
      </c>
      <c r="F2800" s="6">
        <f>21751/(60*60*24)</f>
        <v>0.2517476851851852</v>
      </c>
      <c r="G2800" s="7" t="s">
        <v>9</v>
      </c>
    </row>
    <row r="2801" spans="1:7" x14ac:dyDescent="0.45">
      <c r="A2801" t="s">
        <v>2896</v>
      </c>
      <c r="B2801" s="2" t="s">
        <v>152</v>
      </c>
      <c r="C2801" s="3">
        <f>6446/(60*60*24)</f>
        <v>7.4606481481481482E-2</v>
      </c>
      <c r="D2801" s="4">
        <f>2614/(60*60*24)</f>
        <v>3.0254629629629631E-2</v>
      </c>
      <c r="E2801" s="5">
        <f>6631/(60*60*24)</f>
        <v>7.6747685185185183E-2</v>
      </c>
      <c r="F2801" s="6">
        <f>22097/(60*60*24)</f>
        <v>0.25575231481481481</v>
      </c>
      <c r="G2801" s="7" t="s">
        <v>9</v>
      </c>
    </row>
    <row r="2802" spans="1:7" x14ac:dyDescent="0.45">
      <c r="A2802" t="s">
        <v>2897</v>
      </c>
      <c r="B2802" s="2" t="s">
        <v>154</v>
      </c>
      <c r="C2802" s="8" t="s">
        <v>12</v>
      </c>
      <c r="D2802" s="4">
        <f>3021/(60*60*24)</f>
        <v>3.4965277777777776E-2</v>
      </c>
      <c r="E2802" s="3">
        <f>6831/(60*60*24)</f>
        <v>7.9062499999999994E-2</v>
      </c>
      <c r="F2802" s="5">
        <f>22637/(60*60*24)</f>
        <v>0.26200231481481484</v>
      </c>
      <c r="G2802" s="7" t="s">
        <v>9</v>
      </c>
    </row>
    <row r="2803" spans="1:7" x14ac:dyDescent="0.45">
      <c r="A2803" t="s">
        <v>2898</v>
      </c>
      <c r="B2803" s="2" t="s">
        <v>156</v>
      </c>
      <c r="C2803" s="8" t="s">
        <v>12</v>
      </c>
      <c r="D2803" s="4">
        <f>3681/(60*60*24)</f>
        <v>4.2604166666666665E-2</v>
      </c>
      <c r="E2803" s="3">
        <f>7074/(60*60*24)</f>
        <v>8.1875000000000003E-2</v>
      </c>
      <c r="F2803" s="5">
        <f>23172/(60*60*24)</f>
        <v>0.26819444444444446</v>
      </c>
      <c r="G2803" s="7" t="s">
        <v>9</v>
      </c>
    </row>
    <row r="2804" spans="1:7" x14ac:dyDescent="0.45">
      <c r="A2804" t="s">
        <v>2899</v>
      </c>
      <c r="B2804" s="2" t="s">
        <v>158</v>
      </c>
      <c r="C2804" s="5">
        <f>9961/(60*60*24)</f>
        <v>0.11528935185185185</v>
      </c>
      <c r="D2804" s="4">
        <f>2837/(60*60*24)</f>
        <v>3.2835648148148149E-2</v>
      </c>
      <c r="E2804" s="3">
        <f>7934/(60*60*24)</f>
        <v>9.1828703703703704E-2</v>
      </c>
      <c r="F2804" s="6">
        <f>26719/(60*60*24)</f>
        <v>0.30924768518518519</v>
      </c>
      <c r="G2804" s="7" t="s">
        <v>9</v>
      </c>
    </row>
    <row r="2805" spans="1:7" x14ac:dyDescent="0.45">
      <c r="A2805" t="s">
        <v>2900</v>
      </c>
      <c r="B2805" s="2" t="s">
        <v>160</v>
      </c>
      <c r="C2805" s="8" t="s">
        <v>12</v>
      </c>
      <c r="D2805" s="4">
        <f>3005/(60*60*24)</f>
        <v>3.4780092592592592E-2</v>
      </c>
      <c r="E2805" s="3">
        <f>7796/(60*60*24)</f>
        <v>9.0231481481481482E-2</v>
      </c>
      <c r="F2805" s="5">
        <f>25974/(60*60*24)</f>
        <v>0.30062499999999998</v>
      </c>
      <c r="G2805" s="7" t="s">
        <v>9</v>
      </c>
    </row>
    <row r="2806" spans="1:7" x14ac:dyDescent="0.45">
      <c r="A2806" t="s">
        <v>2901</v>
      </c>
      <c r="B2806" s="2" t="s">
        <v>162</v>
      </c>
      <c r="C2806" s="3">
        <f>6877/(60*60*24)</f>
        <v>7.9594907407407406E-2</v>
      </c>
      <c r="D2806" s="4">
        <f>2758/(60*60*24)</f>
        <v>3.1921296296296295E-2</v>
      </c>
      <c r="E2806" s="5">
        <f>7734/(60*60*24)</f>
        <v>8.9513888888888893E-2</v>
      </c>
      <c r="F2806" s="6">
        <f>26141/(60*60*24)</f>
        <v>0.30255787037037035</v>
      </c>
      <c r="G2806" s="7" t="s">
        <v>9</v>
      </c>
    </row>
    <row r="2807" spans="1:7" x14ac:dyDescent="0.45">
      <c r="A2807" t="s">
        <v>2902</v>
      </c>
      <c r="B2807" s="2" t="s">
        <v>164</v>
      </c>
      <c r="C2807" s="8" t="s">
        <v>12</v>
      </c>
      <c r="D2807" s="4">
        <f>2864/(60*60*24)</f>
        <v>3.3148148148148149E-2</v>
      </c>
      <c r="E2807" s="3">
        <f>7998/(60*60*24)</f>
        <v>9.256944444444444E-2</v>
      </c>
      <c r="F2807" s="5">
        <f>27131/(60*60*24)</f>
        <v>0.3140162037037037</v>
      </c>
      <c r="G2807" s="7" t="s">
        <v>9</v>
      </c>
    </row>
    <row r="2808" spans="1:7" x14ac:dyDescent="0.45">
      <c r="A2808" t="s">
        <v>2903</v>
      </c>
      <c r="B2808" s="2" t="s">
        <v>168</v>
      </c>
      <c r="C2808" s="8" t="s">
        <v>12</v>
      </c>
      <c r="D2808" s="4">
        <f>2752/(60*60*24)</f>
        <v>3.1851851851851853E-2</v>
      </c>
      <c r="E2808" s="3">
        <f>8085/(60*60*24)</f>
        <v>9.357638888888889E-2</v>
      </c>
      <c r="F2808" s="5">
        <f>27706/(60*60*24)</f>
        <v>0.32067129629629632</v>
      </c>
      <c r="G2808" s="7" t="s">
        <v>9</v>
      </c>
    </row>
    <row r="2809" spans="1:7" x14ac:dyDescent="0.45">
      <c r="A2809" t="s">
        <v>2904</v>
      </c>
      <c r="B2809" s="2" t="s">
        <v>166</v>
      </c>
      <c r="C2809" s="8" t="s">
        <v>12</v>
      </c>
      <c r="D2809" s="4">
        <f>2819/(60*60*24)</f>
        <v>3.2627314814814817E-2</v>
      </c>
      <c r="E2809" s="3">
        <f>8269/(60*60*24)</f>
        <v>9.5706018518518524E-2</v>
      </c>
      <c r="F2809" s="5">
        <f>28356/(60*60*24)</f>
        <v>0.32819444444444446</v>
      </c>
      <c r="G2809" s="7" t="s">
        <v>9</v>
      </c>
    </row>
    <row r="2810" spans="1:7" x14ac:dyDescent="0.45">
      <c r="A2810" t="s">
        <v>2905</v>
      </c>
      <c r="B2810" s="2" t="s">
        <v>170</v>
      </c>
      <c r="C2810" s="8" t="s">
        <v>12</v>
      </c>
      <c r="D2810" s="4">
        <f>2908/(60*60*24)</f>
        <v>3.3657407407407407E-2</v>
      </c>
      <c r="E2810" s="3">
        <f>8522/(60*60*24)</f>
        <v>9.8634259259259255E-2</v>
      </c>
      <c r="F2810" s="5">
        <f>28552/(60*60*24)</f>
        <v>0.33046296296296296</v>
      </c>
      <c r="G2810" s="7" t="s">
        <v>9</v>
      </c>
    </row>
    <row r="2811" spans="1:7" x14ac:dyDescent="0.45">
      <c r="A2811" t="s">
        <v>2906</v>
      </c>
      <c r="B2811" s="2" t="s">
        <v>172</v>
      </c>
      <c r="C2811" s="8" t="s">
        <v>12</v>
      </c>
      <c r="D2811" s="4">
        <f>3005/(60*60*24)</f>
        <v>3.4780092592592592E-2</v>
      </c>
      <c r="E2811" s="3">
        <f>8612/(60*60*24)</f>
        <v>9.9675925925925932E-2</v>
      </c>
      <c r="F2811" s="5">
        <f>29323/(60*60*24)</f>
        <v>0.33938657407407408</v>
      </c>
      <c r="G2811" s="7" t="s">
        <v>9</v>
      </c>
    </row>
    <row r="2812" spans="1:7" x14ac:dyDescent="0.45">
      <c r="A2812" t="s">
        <v>2907</v>
      </c>
      <c r="B2812" s="2" t="s">
        <v>176</v>
      </c>
      <c r="C2812" s="5">
        <f>9261/(60*60*24)</f>
        <v>0.1071875</v>
      </c>
      <c r="D2812" s="4">
        <f>2993/(60*60*24)</f>
        <v>3.4641203703703702E-2</v>
      </c>
      <c r="E2812" s="3">
        <f>8751/(60*60*24)</f>
        <v>0.10128472222222222</v>
      </c>
      <c r="F2812" s="6">
        <f>30076/(60*60*24)</f>
        <v>0.34810185185185183</v>
      </c>
      <c r="G2812" s="7" t="s">
        <v>9</v>
      </c>
    </row>
    <row r="2813" spans="1:7" x14ac:dyDescent="0.45">
      <c r="A2813" t="s">
        <v>2908</v>
      </c>
      <c r="B2813" s="2" t="s">
        <v>174</v>
      </c>
      <c r="C2813" s="8" t="s">
        <v>12</v>
      </c>
      <c r="D2813" s="4">
        <f>3063/(60*60*24)</f>
        <v>3.5451388888888886E-2</v>
      </c>
      <c r="E2813" s="3">
        <f>8931/(60*60*24)</f>
        <v>0.10336805555555556</v>
      </c>
      <c r="F2813" s="5">
        <f>30788/(60*60*24)</f>
        <v>0.3563425925925926</v>
      </c>
      <c r="G2813" s="7" t="s">
        <v>9</v>
      </c>
    </row>
    <row r="2814" spans="1:7" x14ac:dyDescent="0.45">
      <c r="A2814" t="s">
        <v>2909</v>
      </c>
      <c r="B2814" s="2" t="s">
        <v>178</v>
      </c>
      <c r="C2814" s="3">
        <f>7682/(60*60*24)</f>
        <v>8.8912037037037039E-2</v>
      </c>
      <c r="D2814" s="4">
        <f>3448/(60*60*24)</f>
        <v>3.9907407407407405E-2</v>
      </c>
      <c r="E2814" s="5">
        <f>10033/(60*60*24)</f>
        <v>0.11612268518518519</v>
      </c>
      <c r="F2814" s="6">
        <f>34316/(60*60*24)</f>
        <v>0.39717592592592593</v>
      </c>
      <c r="G2814" s="7" t="s">
        <v>9</v>
      </c>
    </row>
    <row r="2815" spans="1:7" x14ac:dyDescent="0.45">
      <c r="A2815" t="s">
        <v>2910</v>
      </c>
      <c r="B2815" s="2" t="s">
        <v>180</v>
      </c>
      <c r="C2815" s="8" t="s">
        <v>12</v>
      </c>
      <c r="D2815" s="4">
        <f>3497/(60*60*24)</f>
        <v>4.0474537037037038E-2</v>
      </c>
      <c r="E2815" s="3">
        <f>9952/(60*60*24)</f>
        <v>0.11518518518518518</v>
      </c>
      <c r="F2815" s="5">
        <f>32415/(60*60*24)</f>
        <v>0.37517361111111114</v>
      </c>
      <c r="G2815" s="7" t="s">
        <v>9</v>
      </c>
    </row>
    <row r="2816" spans="1:7" x14ac:dyDescent="0.45">
      <c r="A2816" t="s">
        <v>2911</v>
      </c>
      <c r="B2816" s="2" t="s">
        <v>182</v>
      </c>
      <c r="C2816" s="3">
        <f>7813/(60*60*24)</f>
        <v>9.042824074074074E-2</v>
      </c>
      <c r="D2816" s="4">
        <f>3387/(60*60*24)</f>
        <v>3.920138888888889E-2</v>
      </c>
      <c r="E2816" s="5">
        <f>10127/(60*60*24)</f>
        <v>0.11721064814814815</v>
      </c>
      <c r="F2816" s="6">
        <f>34235/(60*60*24)</f>
        <v>0.39623842592592595</v>
      </c>
      <c r="G2816" s="7" t="s">
        <v>9</v>
      </c>
    </row>
    <row r="2817" spans="1:7" x14ac:dyDescent="0.45">
      <c r="A2817" t="s">
        <v>2912</v>
      </c>
      <c r="B2817" s="2" t="s">
        <v>184</v>
      </c>
      <c r="C2817" s="3">
        <f>7368/(60*60*24)</f>
        <v>8.5277777777777772E-2</v>
      </c>
      <c r="D2817" s="4">
        <f>3312/(60*60*24)</f>
        <v>3.833333333333333E-2</v>
      </c>
      <c r="E2817" s="5">
        <f>10021/(60*60*24)</f>
        <v>0.11598379629629629</v>
      </c>
      <c r="F2817" s="6">
        <f>34279/(60*60*24)</f>
        <v>0.39674768518518516</v>
      </c>
      <c r="G2817" s="7" t="s">
        <v>9</v>
      </c>
    </row>
    <row r="2818" spans="1:7" x14ac:dyDescent="0.45">
      <c r="A2818" t="s">
        <v>2913</v>
      </c>
      <c r="B2818" s="2" t="s">
        <v>8</v>
      </c>
      <c r="C2818" s="3">
        <f>7386/(60*60*24)</f>
        <v>8.548611111111111E-2</v>
      </c>
      <c r="D2818" s="4">
        <f>2586/(60*60*24)</f>
        <v>2.9930555555555554E-2</v>
      </c>
      <c r="E2818" s="5">
        <f>10159/(60*60*24)</f>
        <v>0.11758101851851852</v>
      </c>
      <c r="F2818" s="6">
        <f>33693/(60*60*24)</f>
        <v>0.38996527777777779</v>
      </c>
      <c r="G2818" s="7" t="s">
        <v>9</v>
      </c>
    </row>
    <row r="2819" spans="1:7" x14ac:dyDescent="0.45">
      <c r="A2819" t="s">
        <v>2914</v>
      </c>
      <c r="B2819" s="2" t="s">
        <v>11</v>
      </c>
      <c r="C2819" s="8" t="s">
        <v>12</v>
      </c>
      <c r="D2819" s="4">
        <f>2590/(60*60*24)</f>
        <v>2.9976851851851852E-2</v>
      </c>
      <c r="E2819" s="3">
        <f>10058/(60*60*24)</f>
        <v>0.11641203703703704</v>
      </c>
      <c r="F2819" s="5">
        <f>33106/(60*60*24)</f>
        <v>0.38317129629629632</v>
      </c>
      <c r="G2819" s="7" t="s">
        <v>9</v>
      </c>
    </row>
    <row r="2820" spans="1:7" x14ac:dyDescent="0.45">
      <c r="A2820" t="s">
        <v>2915</v>
      </c>
      <c r="B2820" s="2" t="s">
        <v>14</v>
      </c>
      <c r="C2820" s="8" t="s">
        <v>12</v>
      </c>
      <c r="D2820" s="4">
        <f>2441/(60*60*24)</f>
        <v>2.8252314814814813E-2</v>
      </c>
      <c r="E2820" s="3">
        <f>9699/(60*60*24)</f>
        <v>0.11225694444444445</v>
      </c>
      <c r="F2820" s="5">
        <f>32886/(60*60*24)</f>
        <v>0.38062499999999999</v>
      </c>
      <c r="G2820" s="7" t="s">
        <v>9</v>
      </c>
    </row>
    <row r="2821" spans="1:7" x14ac:dyDescent="0.45">
      <c r="A2821" t="s">
        <v>2916</v>
      </c>
      <c r="B2821" s="2" t="s">
        <v>16</v>
      </c>
      <c r="C2821" s="8" t="s">
        <v>12</v>
      </c>
      <c r="D2821" s="4">
        <f>2331/(60*60*24)</f>
        <v>2.6979166666666665E-2</v>
      </c>
      <c r="E2821" s="3">
        <f>9641/(60*60*24)</f>
        <v>0.11158564814814814</v>
      </c>
      <c r="F2821" s="5">
        <f>31626/(60*60*24)</f>
        <v>0.36604166666666665</v>
      </c>
      <c r="G2821" s="7" t="s">
        <v>9</v>
      </c>
    </row>
    <row r="2822" spans="1:7" x14ac:dyDescent="0.45">
      <c r="A2822" t="s">
        <v>2917</v>
      </c>
      <c r="B2822" s="2" t="s">
        <v>18</v>
      </c>
      <c r="C2822" s="8" t="s">
        <v>12</v>
      </c>
      <c r="D2822" s="4">
        <f>2389/(60*60*24)</f>
        <v>2.7650462962962963E-2</v>
      </c>
      <c r="E2822" s="3">
        <f>9576/(60*60*24)</f>
        <v>0.11083333333333334</v>
      </c>
      <c r="F2822" s="5">
        <f>31392/(60*60*24)</f>
        <v>0.36333333333333334</v>
      </c>
      <c r="G2822" s="7" t="s">
        <v>9</v>
      </c>
    </row>
    <row r="2823" spans="1:7" x14ac:dyDescent="0.45">
      <c r="A2823" t="s">
        <v>2918</v>
      </c>
      <c r="B2823" s="2" t="s">
        <v>20</v>
      </c>
      <c r="C2823" s="8" t="s">
        <v>12</v>
      </c>
      <c r="D2823" s="4">
        <f>2289/(60*60*24)</f>
        <v>2.6493055555555554E-2</v>
      </c>
      <c r="E2823" s="3">
        <f>9189/(60*60*24)</f>
        <v>0.10635416666666667</v>
      </c>
      <c r="F2823" s="5">
        <f>30459/(60*60*24)</f>
        <v>0.35253472222222221</v>
      </c>
      <c r="G2823" s="7" t="s">
        <v>9</v>
      </c>
    </row>
    <row r="2824" spans="1:7" x14ac:dyDescent="0.45">
      <c r="A2824" t="s">
        <v>2919</v>
      </c>
      <c r="B2824" s="2" t="s">
        <v>24</v>
      </c>
      <c r="C2824" s="3">
        <f>6780/(60*60*24)</f>
        <v>7.8472222222222221E-2</v>
      </c>
      <c r="D2824" s="4">
        <f>2097/(60*60*24)</f>
        <v>2.4270833333333332E-2</v>
      </c>
      <c r="E2824" s="5">
        <f>8675/(60*60*24)</f>
        <v>0.10040509259259259</v>
      </c>
      <c r="F2824" s="6">
        <f>29469/(60*60*24)</f>
        <v>0.34107638888888892</v>
      </c>
      <c r="G2824" s="7" t="s">
        <v>9</v>
      </c>
    </row>
    <row r="2825" spans="1:7" x14ac:dyDescent="0.45">
      <c r="A2825" t="s">
        <v>2920</v>
      </c>
      <c r="B2825" s="2" t="s">
        <v>22</v>
      </c>
      <c r="C2825" s="8" t="s">
        <v>12</v>
      </c>
      <c r="D2825" s="4">
        <f>2156/(60*60*24)</f>
        <v>2.4953703703703704E-2</v>
      </c>
      <c r="E2825" s="3">
        <f>8962/(60*60*24)</f>
        <v>0.10372685185185185</v>
      </c>
      <c r="F2825" s="5">
        <f>29905/(60*60*24)</f>
        <v>0.34612268518518519</v>
      </c>
      <c r="G2825" s="7" t="s">
        <v>9</v>
      </c>
    </row>
    <row r="2826" spans="1:7" x14ac:dyDescent="0.45">
      <c r="A2826" t="s">
        <v>2921</v>
      </c>
      <c r="B2826" s="2" t="s">
        <v>26</v>
      </c>
      <c r="C2826" s="3">
        <f>7470/(60*60*24)</f>
        <v>8.6458333333333331E-2</v>
      </c>
      <c r="D2826" s="4">
        <f>2170/(60*60*24)</f>
        <v>2.5115740740740741E-2</v>
      </c>
      <c r="E2826" s="5">
        <f>8340/(60*60*24)</f>
        <v>9.6527777777777782E-2</v>
      </c>
      <c r="F2826" s="6">
        <f>29157/(60*60*24)</f>
        <v>0.33746527777777779</v>
      </c>
      <c r="G2826" s="7" t="s">
        <v>9</v>
      </c>
    </row>
    <row r="2827" spans="1:7" x14ac:dyDescent="0.45">
      <c r="A2827" t="s">
        <v>2922</v>
      </c>
      <c r="B2827" s="2" t="s">
        <v>28</v>
      </c>
      <c r="C2827" s="3">
        <f>7786/(60*60*24)</f>
        <v>9.0115740740740746E-2</v>
      </c>
      <c r="D2827" s="4">
        <f>2562/(60*60*24)</f>
        <v>2.9652777777777778E-2</v>
      </c>
      <c r="E2827" s="5">
        <f>8328/(60*60*24)</f>
        <v>9.6388888888888885E-2</v>
      </c>
      <c r="F2827" s="6">
        <f>28383/(60*60*24)</f>
        <v>0.32850694444444445</v>
      </c>
      <c r="G2827" s="7" t="s">
        <v>9</v>
      </c>
    </row>
    <row r="2828" spans="1:7" x14ac:dyDescent="0.45">
      <c r="A2828" t="s">
        <v>2923</v>
      </c>
      <c r="B2828" s="2" t="s">
        <v>30</v>
      </c>
      <c r="C2828" s="8" t="s">
        <v>12</v>
      </c>
      <c r="D2828" s="4">
        <f>2528/(60*60*24)</f>
        <v>2.9259259259259259E-2</v>
      </c>
      <c r="E2828" s="3">
        <f>8156/(60*60*24)</f>
        <v>9.4398148148148148E-2</v>
      </c>
      <c r="F2828" s="5">
        <f>27421/(60*60*24)</f>
        <v>0.31737268518518519</v>
      </c>
      <c r="G2828" s="7" t="s">
        <v>9</v>
      </c>
    </row>
    <row r="2829" spans="1:7" x14ac:dyDescent="0.45">
      <c r="A2829" t="s">
        <v>2924</v>
      </c>
      <c r="B2829" s="2" t="s">
        <v>32</v>
      </c>
      <c r="C2829" s="8" t="s">
        <v>12</v>
      </c>
      <c r="D2829" s="4">
        <f>2464/(60*60*24)</f>
        <v>2.8518518518518519E-2</v>
      </c>
      <c r="E2829" s="3">
        <f>8099/(60*60*24)</f>
        <v>9.3738425925925919E-2</v>
      </c>
      <c r="F2829" s="5">
        <f>26624/(60*60*24)</f>
        <v>0.30814814814814817</v>
      </c>
      <c r="G2829" s="7" t="s">
        <v>9</v>
      </c>
    </row>
    <row r="2830" spans="1:7" x14ac:dyDescent="0.45">
      <c r="A2830" t="s">
        <v>2925</v>
      </c>
      <c r="B2830" s="2" t="s">
        <v>36</v>
      </c>
      <c r="C2830" s="8" t="s">
        <v>12</v>
      </c>
      <c r="D2830" s="4">
        <f>2495/(60*60*24)</f>
        <v>2.8877314814814814E-2</v>
      </c>
      <c r="E2830" s="3">
        <f>7913/(60*60*24)</f>
        <v>9.1585648148148152E-2</v>
      </c>
      <c r="F2830" s="5">
        <f>26114/(60*60*24)</f>
        <v>0.30224537037037036</v>
      </c>
      <c r="G2830" s="7" t="s">
        <v>9</v>
      </c>
    </row>
    <row r="2831" spans="1:7" x14ac:dyDescent="0.45">
      <c r="A2831" t="s">
        <v>2926</v>
      </c>
      <c r="B2831" s="2" t="s">
        <v>34</v>
      </c>
      <c r="C2831" s="8" t="s">
        <v>12</v>
      </c>
      <c r="D2831" s="4">
        <f>2960/(60*60*24)</f>
        <v>3.425925925925926E-2</v>
      </c>
      <c r="E2831" s="3">
        <f>7885/(60*60*24)</f>
        <v>9.1261574074074078E-2</v>
      </c>
      <c r="F2831" s="5">
        <f>25263/(60*60*24)</f>
        <v>0.29239583333333335</v>
      </c>
      <c r="G2831" s="7" t="s">
        <v>9</v>
      </c>
    </row>
    <row r="2832" spans="1:7" x14ac:dyDescent="0.45">
      <c r="A2832" t="s">
        <v>2927</v>
      </c>
      <c r="B2832" s="2" t="s">
        <v>38</v>
      </c>
      <c r="C2832" s="8" t="s">
        <v>12</v>
      </c>
      <c r="D2832" s="4">
        <f>2960/(60*60*24)</f>
        <v>3.425925925925926E-2</v>
      </c>
      <c r="E2832" s="3">
        <f>7568/(60*60*24)</f>
        <v>8.7592592592592597E-2</v>
      </c>
      <c r="F2832" s="5">
        <f>24485/(60*60*24)</f>
        <v>0.28339120370370369</v>
      </c>
      <c r="G2832" s="7" t="s">
        <v>9</v>
      </c>
    </row>
    <row r="2833" spans="1:7" x14ac:dyDescent="0.45">
      <c r="A2833" t="s">
        <v>2928</v>
      </c>
      <c r="B2833" s="2" t="s">
        <v>40</v>
      </c>
      <c r="C2833" s="8" t="s">
        <v>12</v>
      </c>
      <c r="D2833" s="4">
        <f>3026/(60*60*24)</f>
        <v>3.502314814814815E-2</v>
      </c>
      <c r="E2833" s="3">
        <f>7448/(60*60*24)</f>
        <v>8.6203703703703699E-2</v>
      </c>
      <c r="F2833" s="5">
        <f>23868/(60*60*24)</f>
        <v>0.27625</v>
      </c>
      <c r="G2833" s="7" t="s">
        <v>9</v>
      </c>
    </row>
    <row r="2834" spans="1:7" x14ac:dyDescent="0.45">
      <c r="A2834" t="s">
        <v>2929</v>
      </c>
      <c r="B2834" s="2" t="s">
        <v>44</v>
      </c>
      <c r="C2834" s="8" t="s">
        <v>12</v>
      </c>
      <c r="D2834" s="4">
        <f>2932/(60*60*24)</f>
        <v>3.3935185185185186E-2</v>
      </c>
      <c r="E2834" s="3">
        <f>7459/(60*60*24)</f>
        <v>8.6331018518518515E-2</v>
      </c>
      <c r="F2834" s="5">
        <f>23167/(60*60*24)</f>
        <v>0.2681365740740741</v>
      </c>
      <c r="G2834" s="7" t="s">
        <v>9</v>
      </c>
    </row>
    <row r="2835" spans="1:7" x14ac:dyDescent="0.45">
      <c r="A2835" t="s">
        <v>2930</v>
      </c>
      <c r="B2835" s="2" t="s">
        <v>42</v>
      </c>
      <c r="C2835" s="8" t="s">
        <v>12</v>
      </c>
      <c r="D2835" s="4">
        <f>2848/(60*60*24)</f>
        <v>3.2962962962962965E-2</v>
      </c>
      <c r="E2835" s="3">
        <f>6999/(60*60*24)</f>
        <v>8.1006944444444451E-2</v>
      </c>
      <c r="F2835" s="5">
        <f>22745/(60*60*24)</f>
        <v>0.26325231481481481</v>
      </c>
      <c r="G2835" s="7" t="s">
        <v>9</v>
      </c>
    </row>
    <row r="2836" spans="1:7" x14ac:dyDescent="0.45">
      <c r="A2836" t="s">
        <v>2931</v>
      </c>
      <c r="B2836" s="2" t="s">
        <v>46</v>
      </c>
      <c r="C2836" s="8" t="s">
        <v>12</v>
      </c>
      <c r="D2836" s="4">
        <f>2947/(60*60*24)</f>
        <v>3.4108796296296297E-2</v>
      </c>
      <c r="E2836" s="3">
        <f>7416/(60*60*24)</f>
        <v>8.5833333333333331E-2</v>
      </c>
      <c r="F2836" s="5">
        <f>22683/(60*60*24)</f>
        <v>0.26253472222222224</v>
      </c>
      <c r="G2836" s="7" t="s">
        <v>9</v>
      </c>
    </row>
    <row r="2837" spans="1:7" x14ac:dyDescent="0.45">
      <c r="A2837" t="s">
        <v>2932</v>
      </c>
      <c r="B2837" s="2" t="s">
        <v>48</v>
      </c>
      <c r="C2837" s="8" t="s">
        <v>12</v>
      </c>
      <c r="D2837" s="4">
        <f>2962/(60*60*24)</f>
        <v>3.4282407407407407E-2</v>
      </c>
      <c r="E2837" s="3">
        <f>7293/(60*60*24)</f>
        <v>8.4409722222222219E-2</v>
      </c>
      <c r="F2837" s="5">
        <f>22056/(60*60*24)</f>
        <v>0.25527777777777777</v>
      </c>
      <c r="G2837" s="7" t="s">
        <v>9</v>
      </c>
    </row>
    <row r="2838" spans="1:7" x14ac:dyDescent="0.45">
      <c r="A2838" t="s">
        <v>2933</v>
      </c>
      <c r="B2838" s="2" t="s">
        <v>50</v>
      </c>
      <c r="C2838" s="8" t="s">
        <v>12</v>
      </c>
      <c r="D2838" s="4">
        <f>2643/(60*60*24)</f>
        <v>3.0590277777777779E-2</v>
      </c>
      <c r="E2838" s="3">
        <f>6879/(60*60*24)</f>
        <v>7.9618055555555553E-2</v>
      </c>
      <c r="F2838" s="5">
        <f>20966/(60*60*24)</f>
        <v>0.24266203703703704</v>
      </c>
      <c r="G2838" s="7" t="s">
        <v>9</v>
      </c>
    </row>
    <row r="2839" spans="1:7" x14ac:dyDescent="0.45">
      <c r="A2839" t="s">
        <v>2934</v>
      </c>
      <c r="B2839" s="2" t="s">
        <v>52</v>
      </c>
      <c r="C2839" s="8" t="s">
        <v>12</v>
      </c>
      <c r="D2839" s="4">
        <f>2903/(60*60*24)</f>
        <v>3.3599537037037039E-2</v>
      </c>
      <c r="E2839" s="3">
        <f>6674/(60*60*24)</f>
        <v>7.7245370370370367E-2</v>
      </c>
      <c r="F2839" s="5">
        <f>20589/(60*60*24)</f>
        <v>0.23829861111111111</v>
      </c>
      <c r="G2839" s="7" t="s">
        <v>9</v>
      </c>
    </row>
    <row r="2840" spans="1:7" x14ac:dyDescent="0.45">
      <c r="A2840" t="s">
        <v>2935</v>
      </c>
      <c r="B2840" s="2" t="s">
        <v>56</v>
      </c>
      <c r="C2840" s="3">
        <f>4779/(60*60*24)</f>
        <v>5.5312500000000001E-2</v>
      </c>
      <c r="D2840" s="4">
        <f>2223/(60*60*24)</f>
        <v>2.5729166666666668E-2</v>
      </c>
      <c r="E2840" s="5">
        <f>6131/(60*60*24)</f>
        <v>7.0960648148148148E-2</v>
      </c>
      <c r="F2840" s="6">
        <f>19782/(60*60*24)</f>
        <v>0.22895833333333335</v>
      </c>
      <c r="G2840" s="7" t="s">
        <v>9</v>
      </c>
    </row>
    <row r="2841" spans="1:7" x14ac:dyDescent="0.45">
      <c r="A2841" t="s">
        <v>2936</v>
      </c>
      <c r="B2841" s="2" t="s">
        <v>54</v>
      </c>
      <c r="C2841" s="8" t="s">
        <v>12</v>
      </c>
      <c r="D2841" s="4">
        <f>2237/(60*60*24)</f>
        <v>2.5891203703703704E-2</v>
      </c>
      <c r="E2841" s="3">
        <f>6440/(60*60*24)</f>
        <v>7.4537037037037041E-2</v>
      </c>
      <c r="F2841" s="5">
        <f>20556/(60*60*24)</f>
        <v>0.23791666666666667</v>
      </c>
      <c r="G2841" s="7" t="s">
        <v>9</v>
      </c>
    </row>
    <row r="2842" spans="1:7" x14ac:dyDescent="0.45">
      <c r="A2842" t="s">
        <v>2937</v>
      </c>
      <c r="B2842" s="2" t="s">
        <v>58</v>
      </c>
      <c r="C2842" s="3">
        <f>4295/(60*60*24)</f>
        <v>4.971064814814815E-2</v>
      </c>
      <c r="D2842" s="4">
        <f>2070/(60*60*24)</f>
        <v>2.3958333333333335E-2</v>
      </c>
      <c r="E2842" s="5">
        <f>5784/(60*60*24)</f>
        <v>6.6944444444444445E-2</v>
      </c>
      <c r="F2842" s="6">
        <f>19013/(60*60*24)</f>
        <v>0.22005787037037036</v>
      </c>
      <c r="G2842" s="7" t="s">
        <v>9</v>
      </c>
    </row>
    <row r="2843" spans="1:7" x14ac:dyDescent="0.45">
      <c r="A2843" t="s">
        <v>2938</v>
      </c>
      <c r="B2843" s="2" t="s">
        <v>60</v>
      </c>
      <c r="C2843" s="3">
        <f>4164/(60*60*24)</f>
        <v>4.8194444444444443E-2</v>
      </c>
      <c r="D2843" s="4">
        <f>1918/(60*60*24)</f>
        <v>2.2199074074074072E-2</v>
      </c>
      <c r="E2843" s="5">
        <f>5656/(60*60*24)</f>
        <v>6.5462962962962959E-2</v>
      </c>
      <c r="F2843" s="6">
        <f>18176/(60*60*24)</f>
        <v>0.21037037037037037</v>
      </c>
      <c r="G2843" s="7" t="s">
        <v>9</v>
      </c>
    </row>
    <row r="2844" spans="1:7" x14ac:dyDescent="0.45">
      <c r="A2844" t="s">
        <v>2939</v>
      </c>
      <c r="B2844" s="2" t="s">
        <v>62</v>
      </c>
      <c r="C2844" s="3">
        <f>4844/(60*60*24)</f>
        <v>5.6064814814814817E-2</v>
      </c>
      <c r="D2844" s="4">
        <f>1801/(60*60*24)</f>
        <v>2.0844907407407406E-2</v>
      </c>
      <c r="E2844" s="5">
        <f>5446/(60*60*24)</f>
        <v>6.3032407407407412E-2</v>
      </c>
      <c r="F2844" s="6">
        <f>17673/(60*60*24)</f>
        <v>0.20454861111111111</v>
      </c>
      <c r="G2844" s="7" t="s">
        <v>9</v>
      </c>
    </row>
    <row r="2845" spans="1:7" x14ac:dyDescent="0.45">
      <c r="A2845" t="s">
        <v>2940</v>
      </c>
      <c r="B2845" s="2" t="s">
        <v>64</v>
      </c>
      <c r="C2845" s="5">
        <f>6345/(60*60*24)</f>
        <v>7.3437500000000003E-2</v>
      </c>
      <c r="D2845" s="4">
        <f>1762/(60*60*24)</f>
        <v>2.0393518518518519E-2</v>
      </c>
      <c r="E2845" s="3">
        <f>4992/(60*60*24)</f>
        <v>5.7777777777777775E-2</v>
      </c>
      <c r="F2845" s="6">
        <f>17375/(60*60*24)</f>
        <v>0.20109953703703703</v>
      </c>
      <c r="G2845" s="7" t="s">
        <v>9</v>
      </c>
    </row>
    <row r="2846" spans="1:7" x14ac:dyDescent="0.45">
      <c r="A2846" t="s">
        <v>2941</v>
      </c>
      <c r="B2846" s="2" t="s">
        <v>68</v>
      </c>
      <c r="C2846" s="5">
        <f>5659/(60*60*24)</f>
        <v>6.5497685185185187E-2</v>
      </c>
      <c r="D2846" s="4">
        <f>2359/(60*60*24)</f>
        <v>2.7303240740740739E-2</v>
      </c>
      <c r="E2846" s="3">
        <f>4957/(60*60*24)</f>
        <v>5.7372685185185186E-2</v>
      </c>
      <c r="F2846" s="6">
        <f>16665/(60*60*24)</f>
        <v>0.19288194444444445</v>
      </c>
      <c r="G2846" s="7" t="s">
        <v>9</v>
      </c>
    </row>
    <row r="2847" spans="1:7" x14ac:dyDescent="0.45">
      <c r="A2847" t="s">
        <v>2942</v>
      </c>
      <c r="B2847" s="2" t="s">
        <v>66</v>
      </c>
      <c r="C2847" s="8" t="s">
        <v>12</v>
      </c>
      <c r="D2847" s="4">
        <f>1710/(60*60*24)</f>
        <v>1.9791666666666666E-2</v>
      </c>
      <c r="E2847" s="3">
        <f>5208/(60*60*24)</f>
        <v>6.0277777777777777E-2</v>
      </c>
      <c r="F2847" s="5">
        <f>17255/(60*60*24)</f>
        <v>0.19971064814814815</v>
      </c>
      <c r="G2847" s="7" t="s">
        <v>9</v>
      </c>
    </row>
    <row r="2848" spans="1:7" x14ac:dyDescent="0.45">
      <c r="A2848" t="s">
        <v>2943</v>
      </c>
      <c r="B2848" s="2" t="s">
        <v>72</v>
      </c>
      <c r="C2848" s="3">
        <f>4434/(60*60*24)</f>
        <v>5.1319444444444445E-2</v>
      </c>
      <c r="D2848" s="4">
        <f>1406/(60*60*24)</f>
        <v>1.6273148148148148E-2</v>
      </c>
      <c r="E2848" s="5">
        <f>4805/(60*60*24)</f>
        <v>5.5613425925925927E-2</v>
      </c>
      <c r="F2848" s="6">
        <f>15879/(60*60*24)</f>
        <v>0.18378472222222222</v>
      </c>
      <c r="G2848" s="7" t="s">
        <v>9</v>
      </c>
    </row>
    <row r="2849" spans="1:7" x14ac:dyDescent="0.45">
      <c r="A2849" t="s">
        <v>2944</v>
      </c>
      <c r="B2849" s="2" t="s">
        <v>70</v>
      </c>
      <c r="C2849" s="8" t="s">
        <v>12</v>
      </c>
      <c r="D2849" s="4">
        <f>1439/(60*60*24)</f>
        <v>1.6655092592592593E-2</v>
      </c>
      <c r="E2849" s="3">
        <f>4956/(60*60*24)</f>
        <v>5.7361111111111113E-2</v>
      </c>
      <c r="F2849" s="5">
        <f>16406/(60*60*24)</f>
        <v>0.18988425925925925</v>
      </c>
      <c r="G2849" s="7" t="s">
        <v>9</v>
      </c>
    </row>
    <row r="2850" spans="1:7" x14ac:dyDescent="0.45">
      <c r="A2850" t="s">
        <v>2945</v>
      </c>
      <c r="B2850" s="2" t="s">
        <v>74</v>
      </c>
      <c r="C2850" s="5">
        <f>4776/(60*60*24)</f>
        <v>5.527777777777778E-2</v>
      </c>
      <c r="D2850" s="4">
        <f>1098/(60*60*24)</f>
        <v>1.2708333333333334E-2</v>
      </c>
      <c r="E2850" s="3">
        <f>4554/(60*60*24)</f>
        <v>5.2708333333333336E-2</v>
      </c>
      <c r="F2850" s="6">
        <f>15314/(60*60*24)</f>
        <v>0.17724537037037036</v>
      </c>
      <c r="G2850" s="7" t="s">
        <v>9</v>
      </c>
    </row>
    <row r="2851" spans="1:7" x14ac:dyDescent="0.45">
      <c r="A2851" t="s">
        <v>2946</v>
      </c>
      <c r="B2851" s="2" t="s">
        <v>76</v>
      </c>
      <c r="C2851" s="5">
        <f>4638/(60*60*24)</f>
        <v>5.3680555555555558E-2</v>
      </c>
      <c r="D2851" s="4">
        <f>1324/(60*60*24)</f>
        <v>1.5324074074074073E-2</v>
      </c>
      <c r="E2851" s="3">
        <f>4432/(60*60*24)</f>
        <v>5.1296296296296298E-2</v>
      </c>
      <c r="F2851" s="6">
        <f>14932/(60*60*24)</f>
        <v>0.17282407407407407</v>
      </c>
      <c r="G2851" s="7" t="s">
        <v>9</v>
      </c>
    </row>
    <row r="2852" spans="1:7" x14ac:dyDescent="0.45">
      <c r="A2852" t="s">
        <v>2947</v>
      </c>
      <c r="B2852" s="2" t="s">
        <v>78</v>
      </c>
      <c r="C2852" s="3">
        <f>4338/(60*60*24)</f>
        <v>5.0208333333333334E-2</v>
      </c>
      <c r="D2852" s="4">
        <f>1206/(60*60*24)</f>
        <v>1.3958333333333333E-2</v>
      </c>
      <c r="E2852" s="5">
        <f>4454/(60*60*24)</f>
        <v>5.1550925925925924E-2</v>
      </c>
      <c r="F2852" s="6">
        <f>14877/(60*60*24)</f>
        <v>0.17218749999999999</v>
      </c>
      <c r="G2852" s="7" t="s">
        <v>9</v>
      </c>
    </row>
    <row r="2853" spans="1:7" x14ac:dyDescent="0.45">
      <c r="A2853" t="s">
        <v>2948</v>
      </c>
      <c r="B2853" s="2" t="s">
        <v>80</v>
      </c>
      <c r="C2853" s="5">
        <f>4781/(60*60*24)</f>
        <v>5.5335648148148148E-2</v>
      </c>
      <c r="D2853" s="4">
        <f>1111/(60*60*24)</f>
        <v>1.2858796296296297E-2</v>
      </c>
      <c r="E2853" s="3">
        <f>4276/(60*60*24)</f>
        <v>4.9490740740740738E-2</v>
      </c>
      <c r="F2853" s="6">
        <f>14418/(60*60*24)</f>
        <v>0.166875</v>
      </c>
      <c r="G2853" s="7" t="s">
        <v>9</v>
      </c>
    </row>
    <row r="2854" spans="1:7" x14ac:dyDescent="0.45">
      <c r="A2854" t="s">
        <v>2949</v>
      </c>
      <c r="B2854" s="2" t="s">
        <v>84</v>
      </c>
      <c r="C2854" s="3">
        <f>3853/(60*60*24)</f>
        <v>4.4594907407407409E-2</v>
      </c>
      <c r="D2854" s="4">
        <f>1095/(60*60*24)</f>
        <v>1.2673611111111111E-2</v>
      </c>
      <c r="E2854" s="5">
        <f>4273/(60*60*24)</f>
        <v>4.9456018518518517E-2</v>
      </c>
      <c r="F2854" s="6">
        <f>13918/(60*60*24)</f>
        <v>0.16108796296296296</v>
      </c>
      <c r="G2854" s="7" t="s">
        <v>9</v>
      </c>
    </row>
    <row r="2855" spans="1:7" x14ac:dyDescent="0.45">
      <c r="A2855" t="s">
        <v>2950</v>
      </c>
      <c r="B2855" s="2" t="s">
        <v>82</v>
      </c>
      <c r="C2855" s="3">
        <f>3609/(60*60*24)</f>
        <v>4.1770833333333333E-2</v>
      </c>
      <c r="D2855" s="4">
        <f>1071/(60*60*24)</f>
        <v>1.2395833333333333E-2</v>
      </c>
      <c r="E2855" s="5">
        <f>4247/(60*60*24)</f>
        <v>4.9155092592592591E-2</v>
      </c>
      <c r="F2855" s="6">
        <f>14055/(60*60*24)</f>
        <v>0.16267361111111112</v>
      </c>
      <c r="G2855" s="7" t="s">
        <v>9</v>
      </c>
    </row>
    <row r="2856" spans="1:7" x14ac:dyDescent="0.45">
      <c r="A2856" t="s">
        <v>2951</v>
      </c>
      <c r="B2856" s="2" t="s">
        <v>88</v>
      </c>
      <c r="C2856" s="5">
        <f>4456/(60*60*24)</f>
        <v>5.1574074074074071E-2</v>
      </c>
      <c r="D2856" s="4">
        <f>1063/(60*60*24)</f>
        <v>1.2303240740740741E-2</v>
      </c>
      <c r="E2856" s="3">
        <f>4166/(60*60*24)</f>
        <v>4.821759259259259E-2</v>
      </c>
      <c r="F2856" s="6">
        <f>13762/(60*60*24)</f>
        <v>0.1592824074074074</v>
      </c>
      <c r="G2856" s="7" t="s">
        <v>9</v>
      </c>
    </row>
    <row r="2857" spans="1:7" x14ac:dyDescent="0.45">
      <c r="A2857" t="s">
        <v>2952</v>
      </c>
      <c r="B2857" s="2" t="s">
        <v>86</v>
      </c>
      <c r="C2857" s="5">
        <f>5159/(60*60*24)</f>
        <v>5.9710648148148152E-2</v>
      </c>
      <c r="D2857" s="4">
        <f>1149/(60*60*24)</f>
        <v>1.3298611111111112E-2</v>
      </c>
      <c r="E2857" s="3">
        <f>3850/(60*60*24)</f>
        <v>4.4560185185185182E-2</v>
      </c>
      <c r="F2857" s="6">
        <f>12928/(60*60*24)</f>
        <v>0.14962962962962964</v>
      </c>
      <c r="G2857" s="7" t="s">
        <v>9</v>
      </c>
    </row>
    <row r="2858" spans="1:7" x14ac:dyDescent="0.45">
      <c r="A2858" t="s">
        <v>2953</v>
      </c>
      <c r="B2858" s="2" t="s">
        <v>92</v>
      </c>
      <c r="C2858" s="5">
        <f>3792/(60*60*24)</f>
        <v>4.3888888888888887E-2</v>
      </c>
      <c r="D2858" s="4">
        <f>1119/(60*60*24)</f>
        <v>1.2951388888888889E-2</v>
      </c>
      <c r="E2858" s="3">
        <f>3532/(60*60*24)</f>
        <v>4.0879629629629627E-2</v>
      </c>
      <c r="F2858" s="6">
        <f>12421/(60*60*24)</f>
        <v>0.14376157407407408</v>
      </c>
      <c r="G2858" s="7" t="s">
        <v>9</v>
      </c>
    </row>
    <row r="2859" spans="1:7" x14ac:dyDescent="0.45">
      <c r="A2859" t="s">
        <v>2954</v>
      </c>
      <c r="B2859" s="2" t="s">
        <v>90</v>
      </c>
      <c r="C2859" s="8" t="s">
        <v>12</v>
      </c>
      <c r="D2859" s="4">
        <f>1129/(60*60*24)</f>
        <v>1.306712962962963E-2</v>
      </c>
      <c r="E2859" s="3">
        <f>3569/(60*60*24)</f>
        <v>4.130787037037037E-2</v>
      </c>
      <c r="F2859" s="5">
        <f>12418/(60*60*24)</f>
        <v>0.14372685185185186</v>
      </c>
      <c r="G2859" s="7" t="s">
        <v>9</v>
      </c>
    </row>
    <row r="2860" spans="1:7" x14ac:dyDescent="0.45">
      <c r="A2860" t="s">
        <v>2955</v>
      </c>
      <c r="B2860" s="2" t="s">
        <v>94</v>
      </c>
      <c r="C2860" s="8" t="s">
        <v>12</v>
      </c>
      <c r="D2860" s="4">
        <f>1257/(60*60*24)</f>
        <v>1.4548611111111111E-2</v>
      </c>
      <c r="E2860" s="3">
        <f>3563/(60*60*24)</f>
        <v>4.1238425925925928E-2</v>
      </c>
      <c r="F2860" s="5">
        <f>12452/(60*60*24)</f>
        <v>0.14412037037037037</v>
      </c>
      <c r="G2860" s="7" t="s">
        <v>9</v>
      </c>
    </row>
    <row r="2861" spans="1:7" x14ac:dyDescent="0.45">
      <c r="A2861" t="s">
        <v>2956</v>
      </c>
      <c r="B2861" s="2" t="s">
        <v>96</v>
      </c>
      <c r="C2861" s="8" t="s">
        <v>12</v>
      </c>
      <c r="D2861" s="4">
        <f>1293/(60*60*24)</f>
        <v>1.4965277777777777E-2</v>
      </c>
      <c r="E2861" s="3">
        <f>3314/(60*60*24)</f>
        <v>3.8356481481481484E-2</v>
      </c>
      <c r="F2861" s="5">
        <f>12292/(60*60*24)</f>
        <v>0.14226851851851852</v>
      </c>
      <c r="G2861" s="7" t="s">
        <v>9</v>
      </c>
    </row>
    <row r="2862" spans="1:7" x14ac:dyDescent="0.45">
      <c r="A2862" t="s">
        <v>2957</v>
      </c>
      <c r="B2862" s="2" t="s">
        <v>98</v>
      </c>
      <c r="C2862" s="8" t="s">
        <v>12</v>
      </c>
      <c r="D2862" s="4">
        <f>1368/(60*60*24)</f>
        <v>1.5833333333333335E-2</v>
      </c>
      <c r="E2862" s="3">
        <f>3522/(60*60*24)</f>
        <v>4.0763888888888891E-2</v>
      </c>
      <c r="F2862" s="5">
        <f>12588/(60*60*24)</f>
        <v>0.14569444444444443</v>
      </c>
      <c r="G2862" s="7" t="s">
        <v>9</v>
      </c>
    </row>
    <row r="2863" spans="1:7" x14ac:dyDescent="0.45">
      <c r="A2863" t="s">
        <v>2958</v>
      </c>
      <c r="B2863" s="2" t="s">
        <v>100</v>
      </c>
      <c r="C2863" s="8" t="s">
        <v>12</v>
      </c>
      <c r="D2863" s="4">
        <f>1352/(60*60*24)</f>
        <v>1.5648148148148147E-2</v>
      </c>
      <c r="E2863" s="3">
        <f>3373/(60*60*24)</f>
        <v>3.9039351851851853E-2</v>
      </c>
      <c r="F2863" s="5">
        <f>12772/(60*60*24)</f>
        <v>0.14782407407407408</v>
      </c>
      <c r="G2863" s="7" t="s">
        <v>9</v>
      </c>
    </row>
    <row r="2864" spans="1:7" x14ac:dyDescent="0.45">
      <c r="A2864" t="s">
        <v>2959</v>
      </c>
      <c r="B2864" s="2" t="s">
        <v>102</v>
      </c>
      <c r="C2864" s="5">
        <f>7300/(60*60*24)</f>
        <v>8.4490740740740741E-2</v>
      </c>
      <c r="D2864" s="4">
        <f>1341/(60*60*24)</f>
        <v>1.5520833333333333E-2</v>
      </c>
      <c r="E2864" s="3">
        <f>3544/(60*60*24)</f>
        <v>4.1018518518518517E-2</v>
      </c>
      <c r="F2864" s="6">
        <f>12519/(60*60*24)</f>
        <v>0.14489583333333333</v>
      </c>
      <c r="G2864" s="7" t="s">
        <v>9</v>
      </c>
    </row>
    <row r="2865" spans="1:7" x14ac:dyDescent="0.45">
      <c r="A2865" t="s">
        <v>2960</v>
      </c>
      <c r="B2865" s="2" t="s">
        <v>104</v>
      </c>
      <c r="C2865" s="8" t="s">
        <v>12</v>
      </c>
      <c r="D2865" s="4">
        <f>1442/(60*60*24)</f>
        <v>1.6689814814814814E-2</v>
      </c>
      <c r="E2865" s="3">
        <f>3303/(60*60*24)</f>
        <v>3.8229166666666668E-2</v>
      </c>
      <c r="F2865" s="5">
        <f>12830/(60*60*24)</f>
        <v>0.14849537037037036</v>
      </c>
      <c r="G2865" s="7" t="s">
        <v>9</v>
      </c>
    </row>
    <row r="2866" spans="1:7" x14ac:dyDescent="0.45">
      <c r="A2866" t="s">
        <v>2961</v>
      </c>
      <c r="B2866" s="2" t="s">
        <v>106</v>
      </c>
      <c r="C2866" s="5">
        <f>7557/(60*60*24)</f>
        <v>8.7465277777777781E-2</v>
      </c>
      <c r="D2866" s="4">
        <f>1410/(60*60*24)</f>
        <v>1.6319444444444445E-2</v>
      </c>
      <c r="E2866" s="3">
        <f>3371/(60*60*24)</f>
        <v>3.9016203703703706E-2</v>
      </c>
      <c r="F2866" s="6">
        <f>12201/(60*60*24)</f>
        <v>0.14121527777777779</v>
      </c>
      <c r="G2866" s="7" t="s">
        <v>9</v>
      </c>
    </row>
    <row r="2867" spans="1:7" x14ac:dyDescent="0.45">
      <c r="A2867" t="s">
        <v>2962</v>
      </c>
      <c r="B2867" s="2" t="s">
        <v>108</v>
      </c>
      <c r="C2867" s="8" t="s">
        <v>12</v>
      </c>
      <c r="D2867" s="4">
        <f>1607/(60*60*24)</f>
        <v>1.8599537037037036E-2</v>
      </c>
      <c r="E2867" s="3">
        <f>3924/(60*60*24)</f>
        <v>4.5416666666666668E-2</v>
      </c>
      <c r="F2867" s="5">
        <f>13480/(60*60*24)</f>
        <v>0.15601851851851853</v>
      </c>
      <c r="G2867" s="7" t="s">
        <v>9</v>
      </c>
    </row>
    <row r="2868" spans="1:7" x14ac:dyDescent="0.45">
      <c r="A2868" t="s">
        <v>2963</v>
      </c>
      <c r="B2868" s="2" t="s">
        <v>110</v>
      </c>
      <c r="C2868" s="5">
        <f>4990/(60*60*24)</f>
        <v>5.7754629629629628E-2</v>
      </c>
      <c r="D2868" s="4">
        <f>1447/(60*60*24)</f>
        <v>1.6747685185185185E-2</v>
      </c>
      <c r="E2868" s="3">
        <f>3817/(60*60*24)</f>
        <v>4.417824074074074E-2</v>
      </c>
      <c r="F2868" s="6">
        <f>12682/(60*60*24)</f>
        <v>0.14678240740740742</v>
      </c>
      <c r="G2868" s="7" t="s">
        <v>9</v>
      </c>
    </row>
    <row r="2869" spans="1:7" x14ac:dyDescent="0.45">
      <c r="A2869" t="s">
        <v>2964</v>
      </c>
      <c r="B2869" s="2" t="s">
        <v>112</v>
      </c>
      <c r="C2869" s="5">
        <f>7230/(60*60*24)</f>
        <v>8.368055555555555E-2</v>
      </c>
      <c r="D2869" s="4">
        <f>1559/(60*60*24)</f>
        <v>1.804398148148148E-2</v>
      </c>
      <c r="E2869" s="3">
        <f>4153/(60*60*24)</f>
        <v>4.8067129629629626E-2</v>
      </c>
      <c r="F2869" s="6">
        <f>13842/(60*60*24)</f>
        <v>0.16020833333333334</v>
      </c>
      <c r="G2869" s="7" t="s">
        <v>9</v>
      </c>
    </row>
    <row r="2870" spans="1:7" x14ac:dyDescent="0.45">
      <c r="A2870" t="s">
        <v>2965</v>
      </c>
      <c r="B2870" s="2" t="s">
        <v>114</v>
      </c>
      <c r="C2870" s="8" t="s">
        <v>12</v>
      </c>
      <c r="D2870" s="4">
        <f>1560/(60*60*24)</f>
        <v>1.8055555555555554E-2</v>
      </c>
      <c r="E2870" s="3">
        <f>4177/(60*60*24)</f>
        <v>4.8344907407407406E-2</v>
      </c>
      <c r="F2870" s="5">
        <f>12907/(60*60*24)</f>
        <v>0.14938657407407407</v>
      </c>
      <c r="G2870" s="7" t="s">
        <v>9</v>
      </c>
    </row>
    <row r="2871" spans="1:7" x14ac:dyDescent="0.45">
      <c r="A2871" t="s">
        <v>2966</v>
      </c>
      <c r="B2871" s="2" t="s">
        <v>116</v>
      </c>
      <c r="C2871" s="8" t="s">
        <v>12</v>
      </c>
      <c r="D2871" s="4">
        <f>1533/(60*60*24)</f>
        <v>1.7743055555555557E-2</v>
      </c>
      <c r="E2871" s="3">
        <f>4411/(60*60*24)</f>
        <v>5.1053240740740739E-2</v>
      </c>
      <c r="F2871" s="5">
        <f>13470/(60*60*24)</f>
        <v>0.15590277777777778</v>
      </c>
      <c r="G2871" s="7" t="s">
        <v>9</v>
      </c>
    </row>
    <row r="2872" spans="1:7" x14ac:dyDescent="0.45">
      <c r="A2872" t="s">
        <v>2967</v>
      </c>
      <c r="B2872" s="2" t="s">
        <v>118</v>
      </c>
      <c r="C2872" s="8" t="s">
        <v>12</v>
      </c>
      <c r="D2872" s="4">
        <f>1412/(60*60*24)</f>
        <v>1.6342592592592593E-2</v>
      </c>
      <c r="E2872" s="3">
        <f>3903/(60*60*24)</f>
        <v>4.5173611111111109E-2</v>
      </c>
      <c r="F2872" s="5">
        <f>14005/(60*60*24)</f>
        <v>0.1620949074074074</v>
      </c>
      <c r="G2872" s="7" t="s">
        <v>9</v>
      </c>
    </row>
    <row r="2873" spans="1:7" x14ac:dyDescent="0.45">
      <c r="A2873" t="s">
        <v>2968</v>
      </c>
      <c r="B2873" s="2" t="s">
        <v>120</v>
      </c>
      <c r="C2873" s="8" t="s">
        <v>12</v>
      </c>
      <c r="D2873" s="4">
        <f>1711/(60*60*24)</f>
        <v>1.9803240740740739E-2</v>
      </c>
      <c r="E2873" s="3">
        <f>4313/(60*60*24)</f>
        <v>4.9918981481481481E-2</v>
      </c>
      <c r="F2873" s="5">
        <f>14672/(60*60*24)</f>
        <v>0.16981481481481481</v>
      </c>
      <c r="G2873" s="7" t="s">
        <v>9</v>
      </c>
    </row>
    <row r="2874" spans="1:7" x14ac:dyDescent="0.45">
      <c r="A2874" t="s">
        <v>2969</v>
      </c>
      <c r="B2874" s="2" t="s">
        <v>124</v>
      </c>
      <c r="C2874" s="5">
        <f>5741/(60*60*24)</f>
        <v>6.6446759259259261E-2</v>
      </c>
      <c r="D2874" s="4">
        <f>1742/(60*60*24)</f>
        <v>2.0162037037037037E-2</v>
      </c>
      <c r="E2874" s="3">
        <f>4364/(60*60*24)</f>
        <v>5.0509259259259261E-2</v>
      </c>
      <c r="F2874" s="6">
        <f>15335/(60*60*24)</f>
        <v>0.17748842592592592</v>
      </c>
      <c r="G2874" s="7" t="s">
        <v>9</v>
      </c>
    </row>
    <row r="2875" spans="1:7" x14ac:dyDescent="0.45">
      <c r="A2875" t="s">
        <v>2970</v>
      </c>
      <c r="B2875" s="2" t="s">
        <v>122</v>
      </c>
      <c r="C2875" s="5">
        <f>5673/(60*60*24)</f>
        <v>6.5659722222222217E-2</v>
      </c>
      <c r="D2875" s="4">
        <f>1718/(60*60*24)</f>
        <v>1.9884259259259258E-2</v>
      </c>
      <c r="E2875" s="3">
        <f>4500/(60*60*24)</f>
        <v>5.2083333333333336E-2</v>
      </c>
      <c r="F2875" s="6">
        <f>15397/(60*60*24)</f>
        <v>0.17820601851851853</v>
      </c>
      <c r="G2875" s="7" t="s">
        <v>9</v>
      </c>
    </row>
    <row r="2876" spans="1:7" x14ac:dyDescent="0.45">
      <c r="A2876" t="s">
        <v>2971</v>
      </c>
      <c r="B2876" s="2" t="s">
        <v>126</v>
      </c>
      <c r="C2876" s="5">
        <f>9003/(60*60*24)</f>
        <v>0.10420138888888889</v>
      </c>
      <c r="D2876" s="4">
        <f>1783/(60*60*24)</f>
        <v>2.0636574074074075E-2</v>
      </c>
      <c r="E2876" s="3">
        <f>4930/(60*60*24)</f>
        <v>5.7060185185185186E-2</v>
      </c>
      <c r="F2876" s="6">
        <f>16618/(60*60*24)</f>
        <v>0.19233796296296296</v>
      </c>
      <c r="G2876" s="7" t="s">
        <v>9</v>
      </c>
    </row>
    <row r="2877" spans="1:7" x14ac:dyDescent="0.45">
      <c r="A2877" t="s">
        <v>2972</v>
      </c>
      <c r="B2877" s="2" t="s">
        <v>128</v>
      </c>
      <c r="C2877" s="3">
        <f>4523/(60*60*24)</f>
        <v>5.2349537037037035E-2</v>
      </c>
      <c r="D2877" s="4">
        <f>1787/(60*60*24)</f>
        <v>2.0682870370370369E-2</v>
      </c>
      <c r="E2877" s="5">
        <f>4901/(60*60*24)</f>
        <v>5.6724537037037039E-2</v>
      </c>
      <c r="F2877" s="6">
        <f>17088/(60*60*24)</f>
        <v>0.19777777777777777</v>
      </c>
      <c r="G2877" s="7" t="s">
        <v>9</v>
      </c>
    </row>
    <row r="2878" spans="1:7" x14ac:dyDescent="0.45">
      <c r="A2878" t="s">
        <v>2973</v>
      </c>
      <c r="B2878" s="2" t="s">
        <v>130</v>
      </c>
      <c r="C2878" s="3">
        <f>4095/(60*60*24)</f>
        <v>4.7395833333333331E-2</v>
      </c>
      <c r="D2878" s="4">
        <f>1845/(60*60*24)</f>
        <v>2.1354166666666667E-2</v>
      </c>
      <c r="E2878" s="5">
        <f>4786/(60*60*24)</f>
        <v>5.5393518518518516E-2</v>
      </c>
      <c r="F2878" s="6">
        <f>16464/(60*60*24)</f>
        <v>0.19055555555555556</v>
      </c>
      <c r="G2878" s="7" t="s">
        <v>9</v>
      </c>
    </row>
    <row r="2879" spans="1:7" x14ac:dyDescent="0.45">
      <c r="A2879" t="s">
        <v>2974</v>
      </c>
      <c r="B2879" s="2" t="s">
        <v>132</v>
      </c>
      <c r="C2879" s="3">
        <f>3819/(60*60*24)</f>
        <v>4.4201388888888887E-2</v>
      </c>
      <c r="D2879" s="4">
        <f>1924/(60*60*24)</f>
        <v>2.2268518518518517E-2</v>
      </c>
      <c r="E2879" s="5">
        <f>4976/(60*60*24)</f>
        <v>5.7592592592592591E-2</v>
      </c>
      <c r="F2879" s="6">
        <f>17146/(60*60*24)</f>
        <v>0.19844907407407408</v>
      </c>
      <c r="G2879" s="7" t="s">
        <v>9</v>
      </c>
    </row>
    <row r="2880" spans="1:7" x14ac:dyDescent="0.45">
      <c r="A2880" t="s">
        <v>2975</v>
      </c>
      <c r="B2880" s="2" t="s">
        <v>136</v>
      </c>
      <c r="C2880" s="3">
        <f>4251/(60*60*24)</f>
        <v>4.9201388888888892E-2</v>
      </c>
      <c r="D2880" s="4">
        <f>2012/(60*60*24)</f>
        <v>2.3287037037037037E-2</v>
      </c>
      <c r="E2880" s="5">
        <f>5252/(60*60*24)</f>
        <v>6.0787037037037035E-2</v>
      </c>
      <c r="F2880" s="6">
        <f>18002/(60*60*24)</f>
        <v>0.20835648148148148</v>
      </c>
      <c r="G2880" s="7" t="s">
        <v>9</v>
      </c>
    </row>
    <row r="2881" spans="1:7" x14ac:dyDescent="0.45">
      <c r="A2881" t="s">
        <v>2976</v>
      </c>
      <c r="B2881" s="2" t="s">
        <v>134</v>
      </c>
      <c r="C2881" s="3">
        <f>4632/(60*60*24)</f>
        <v>5.3611111111111109E-2</v>
      </c>
      <c r="D2881" s="4">
        <f>2172/(60*60*24)</f>
        <v>2.5138888888888888E-2</v>
      </c>
      <c r="E2881" s="5">
        <f>5479/(60*60*24)</f>
        <v>6.3414351851851847E-2</v>
      </c>
      <c r="F2881" s="6">
        <f>18288/(60*60*24)</f>
        <v>0.21166666666666667</v>
      </c>
      <c r="G2881" s="7" t="s">
        <v>9</v>
      </c>
    </row>
    <row r="2882" spans="1:7" x14ac:dyDescent="0.45">
      <c r="A2882" t="s">
        <v>2977</v>
      </c>
      <c r="B2882" s="2" t="s">
        <v>138</v>
      </c>
      <c r="C2882" s="3">
        <f>4542/(60*60*24)</f>
        <v>5.2569444444444446E-2</v>
      </c>
      <c r="D2882" s="4">
        <f>2315/(60*60*24)</f>
        <v>2.6793981481481481E-2</v>
      </c>
      <c r="E2882" s="5">
        <f>5780/(60*60*24)</f>
        <v>6.6898148148148151E-2</v>
      </c>
      <c r="F2882" s="6">
        <f>18898/(60*60*24)</f>
        <v>0.21872685185185184</v>
      </c>
      <c r="G2882" s="7" t="s">
        <v>9</v>
      </c>
    </row>
    <row r="2883" spans="1:7" x14ac:dyDescent="0.45">
      <c r="A2883" t="s">
        <v>2978</v>
      </c>
      <c r="B2883" s="2" t="s">
        <v>140</v>
      </c>
      <c r="C2883" s="3">
        <f>5127/(60*60*24)</f>
        <v>5.9340277777777777E-2</v>
      </c>
      <c r="D2883" s="4">
        <f>2438/(60*60*24)</f>
        <v>2.8217592592592593E-2</v>
      </c>
      <c r="E2883" s="5">
        <f>6085/(60*60*24)</f>
        <v>7.0428240740740736E-2</v>
      </c>
      <c r="F2883" s="6">
        <f>20219/(60*60*24)</f>
        <v>0.23401620370370371</v>
      </c>
      <c r="G2883" s="7" t="s">
        <v>9</v>
      </c>
    </row>
    <row r="2884" spans="1:7" x14ac:dyDescent="0.45">
      <c r="A2884" t="s">
        <v>2979</v>
      </c>
      <c r="B2884" s="2" t="s">
        <v>144</v>
      </c>
      <c r="C2884" s="3">
        <f>5157/(60*60*24)</f>
        <v>5.9687499999999998E-2</v>
      </c>
      <c r="D2884" s="4">
        <f>2424/(60*60*24)</f>
        <v>2.8055555555555556E-2</v>
      </c>
      <c r="E2884" s="5">
        <f>6165/(60*60*24)</f>
        <v>7.1354166666666663E-2</v>
      </c>
      <c r="F2884" s="6">
        <f>21245/(60*60*24)</f>
        <v>0.24589120370370371</v>
      </c>
      <c r="G2884" s="7" t="s">
        <v>9</v>
      </c>
    </row>
    <row r="2885" spans="1:7" x14ac:dyDescent="0.45">
      <c r="A2885" t="s">
        <v>2980</v>
      </c>
      <c r="B2885" s="2" t="s">
        <v>142</v>
      </c>
      <c r="C2885" s="8" t="s">
        <v>12</v>
      </c>
      <c r="D2885" s="4">
        <f>2427/(60*60*24)</f>
        <v>2.8090277777777777E-2</v>
      </c>
      <c r="E2885" s="3">
        <f>6013/(60*60*24)</f>
        <v>6.9594907407407411E-2</v>
      </c>
      <c r="F2885" s="5">
        <f>20758/(60*60*24)</f>
        <v>0.24025462962962962</v>
      </c>
      <c r="G2885" s="7" t="s">
        <v>9</v>
      </c>
    </row>
    <row r="2886" spans="1:7" x14ac:dyDescent="0.45">
      <c r="A2886" t="s">
        <v>2981</v>
      </c>
      <c r="B2886" s="2" t="s">
        <v>146</v>
      </c>
      <c r="C2886" s="3">
        <f>5134/(60*60*24)</f>
        <v>5.9421296296296298E-2</v>
      </c>
      <c r="D2886" s="4">
        <f>2449/(60*60*24)</f>
        <v>2.8344907407407409E-2</v>
      </c>
      <c r="E2886" s="5">
        <f>6442/(60*60*24)</f>
        <v>7.4560185185185188E-2</v>
      </c>
      <c r="F2886" s="6">
        <f>21650/(60*60*24)</f>
        <v>0.25057870370370372</v>
      </c>
      <c r="G2886" s="7" t="s">
        <v>9</v>
      </c>
    </row>
    <row r="2887" spans="1:7" x14ac:dyDescent="0.45">
      <c r="A2887" t="s">
        <v>2982</v>
      </c>
      <c r="B2887" s="2" t="s">
        <v>148</v>
      </c>
      <c r="C2887" s="3">
        <f>5375/(60*60*24)</f>
        <v>6.2210648148148147E-2</v>
      </c>
      <c r="D2887" s="4">
        <f>2452/(60*60*24)</f>
        <v>2.837962962962963E-2</v>
      </c>
      <c r="E2887" s="5">
        <f>6529/(60*60*24)</f>
        <v>7.5567129629629623E-2</v>
      </c>
      <c r="F2887" s="6">
        <f>22576/(60*60*24)</f>
        <v>0.2612962962962963</v>
      </c>
      <c r="G2887" s="7" t="s">
        <v>9</v>
      </c>
    </row>
    <row r="2888" spans="1:7" x14ac:dyDescent="0.45">
      <c r="A2888" t="s">
        <v>2983</v>
      </c>
      <c r="B2888" s="2" t="s">
        <v>150</v>
      </c>
      <c r="C2888" s="3">
        <f>5142/(60*60*24)</f>
        <v>5.9513888888888887E-2</v>
      </c>
      <c r="D2888" s="4">
        <f>2508/(60*60*24)</f>
        <v>2.9027777777777777E-2</v>
      </c>
      <c r="E2888" s="5">
        <f>6709/(60*60*24)</f>
        <v>7.7650462962962963E-2</v>
      </c>
      <c r="F2888" s="6">
        <f>23228/(60*60*24)</f>
        <v>0.26884259259259258</v>
      </c>
      <c r="G2888" s="7" t="s">
        <v>9</v>
      </c>
    </row>
    <row r="2889" spans="1:7" x14ac:dyDescent="0.45">
      <c r="A2889" t="s">
        <v>2984</v>
      </c>
      <c r="B2889" s="2" t="s">
        <v>152</v>
      </c>
      <c r="C2889" s="3">
        <f>5645/(60*60*24)</f>
        <v>6.5335648148148143E-2</v>
      </c>
      <c r="D2889" s="4">
        <f>2642/(60*60*24)</f>
        <v>3.0578703703703705E-2</v>
      </c>
      <c r="E2889" s="5">
        <f>6896/(60*60*24)</f>
        <v>7.9814814814814811E-2</v>
      </c>
      <c r="F2889" s="6">
        <f>22725/(60*60*24)</f>
        <v>0.26302083333333331</v>
      </c>
      <c r="G2889" s="7" t="s">
        <v>9</v>
      </c>
    </row>
    <row r="2890" spans="1:7" x14ac:dyDescent="0.45">
      <c r="A2890" t="s">
        <v>2985</v>
      </c>
      <c r="B2890" s="2" t="s">
        <v>154</v>
      </c>
      <c r="C2890" s="8" t="s">
        <v>12</v>
      </c>
      <c r="D2890" s="4">
        <f>2739/(60*60*24)</f>
        <v>3.170138888888889E-2</v>
      </c>
      <c r="E2890" s="3">
        <f>7066/(60*60*24)</f>
        <v>8.1782407407407401E-2</v>
      </c>
      <c r="F2890" s="5">
        <f>23150/(60*60*24)</f>
        <v>0.26793981481481483</v>
      </c>
      <c r="G2890" s="7" t="s">
        <v>9</v>
      </c>
    </row>
    <row r="2891" spans="1:7" x14ac:dyDescent="0.45">
      <c r="A2891" t="s">
        <v>2986</v>
      </c>
      <c r="B2891" s="2" t="s">
        <v>156</v>
      </c>
      <c r="C2891" s="8" t="s">
        <v>12</v>
      </c>
      <c r="D2891" s="4">
        <f>2886/(60*60*24)</f>
        <v>3.3402777777777781E-2</v>
      </c>
      <c r="E2891" s="3">
        <f>7432/(60*60*24)</f>
        <v>8.6018518518518522E-2</v>
      </c>
      <c r="F2891" s="5">
        <f>23932/(60*60*24)</f>
        <v>0.27699074074074076</v>
      </c>
      <c r="G2891" s="7" t="s">
        <v>9</v>
      </c>
    </row>
    <row r="2892" spans="1:7" x14ac:dyDescent="0.45">
      <c r="A2892" t="s">
        <v>2987</v>
      </c>
      <c r="B2892" s="2" t="s">
        <v>160</v>
      </c>
      <c r="C2892" s="8" t="s">
        <v>12</v>
      </c>
      <c r="D2892" s="4">
        <f>2933/(60*60*24)</f>
        <v>3.394675925925926E-2</v>
      </c>
      <c r="E2892" s="3">
        <f>8160/(60*60*24)</f>
        <v>9.4444444444444442E-2</v>
      </c>
      <c r="F2892" s="5">
        <f>26176/(60*60*24)</f>
        <v>0.30296296296296299</v>
      </c>
      <c r="G2892" s="7" t="s">
        <v>9</v>
      </c>
    </row>
    <row r="2893" spans="1:7" x14ac:dyDescent="0.45">
      <c r="A2893" t="s">
        <v>2988</v>
      </c>
      <c r="B2893" s="2" t="s">
        <v>158</v>
      </c>
      <c r="C2893" s="8" t="s">
        <v>12</v>
      </c>
      <c r="D2893" s="4">
        <f>2858/(60*60*24)</f>
        <v>3.30787037037037E-2</v>
      </c>
      <c r="E2893" s="3">
        <f>8021/(60*60*24)</f>
        <v>9.2835648148148153E-2</v>
      </c>
      <c r="F2893" s="5">
        <f>26485/(60*60*24)</f>
        <v>0.30653935185185183</v>
      </c>
      <c r="G2893" s="7" t="s">
        <v>9</v>
      </c>
    </row>
    <row r="2894" spans="1:7" x14ac:dyDescent="0.45">
      <c r="A2894" t="s">
        <v>2989</v>
      </c>
      <c r="B2894" s="2" t="s">
        <v>162</v>
      </c>
      <c r="C2894" s="5">
        <f>9697/(60*60*24)</f>
        <v>0.11223379629629629</v>
      </c>
      <c r="D2894" s="4">
        <f>2853/(60*60*24)</f>
        <v>3.3020833333333333E-2</v>
      </c>
      <c r="E2894" s="3">
        <f>7966/(60*60*24)</f>
        <v>9.2199074074074072E-2</v>
      </c>
      <c r="F2894" s="6">
        <f>27025/(60*60*24)</f>
        <v>0.31278935185185186</v>
      </c>
      <c r="G2894" s="7" t="s">
        <v>9</v>
      </c>
    </row>
    <row r="2895" spans="1:7" x14ac:dyDescent="0.45">
      <c r="A2895" t="s">
        <v>2990</v>
      </c>
      <c r="B2895" s="2" t="s">
        <v>164</v>
      </c>
      <c r="C2895" s="5">
        <f>9913/(60*60*24)</f>
        <v>0.11473379629629629</v>
      </c>
      <c r="D2895" s="4">
        <f>2900/(60*60*24)</f>
        <v>3.3564814814814818E-2</v>
      </c>
      <c r="E2895" s="3">
        <f>8055/(60*60*24)</f>
        <v>9.3229166666666669E-2</v>
      </c>
      <c r="F2895" s="6">
        <f>27331/(60*60*24)</f>
        <v>0.31633101851851853</v>
      </c>
      <c r="G2895" s="7" t="s">
        <v>9</v>
      </c>
    </row>
    <row r="2896" spans="1:7" x14ac:dyDescent="0.45">
      <c r="A2896" t="s">
        <v>2991</v>
      </c>
      <c r="B2896" s="2" t="s">
        <v>168</v>
      </c>
      <c r="C2896" s="8" t="s">
        <v>12</v>
      </c>
      <c r="D2896" s="4">
        <f>3069/(60*60*24)</f>
        <v>3.5520833333333335E-2</v>
      </c>
      <c r="E2896" s="3">
        <f>8335/(60*60*24)</f>
        <v>9.6469907407407407E-2</v>
      </c>
      <c r="F2896" s="5">
        <f>28006/(60*60*24)</f>
        <v>0.32414351851851853</v>
      </c>
      <c r="G2896" s="7" t="s">
        <v>9</v>
      </c>
    </row>
    <row r="2897" spans="1:7" x14ac:dyDescent="0.45">
      <c r="A2897" t="s">
        <v>2992</v>
      </c>
      <c r="B2897" s="2" t="s">
        <v>166</v>
      </c>
      <c r="C2897" s="8" t="s">
        <v>12</v>
      </c>
      <c r="D2897" s="4">
        <f>2872/(60*60*24)</f>
        <v>3.3240740740740737E-2</v>
      </c>
      <c r="E2897" s="3">
        <f>8418/(60*60*24)</f>
        <v>9.7430555555555562E-2</v>
      </c>
      <c r="F2897" s="5">
        <f>28845/(60*60*24)</f>
        <v>0.33385416666666667</v>
      </c>
      <c r="G2897" s="7" t="s">
        <v>9</v>
      </c>
    </row>
    <row r="2898" spans="1:7" x14ac:dyDescent="0.45">
      <c r="A2898" t="s">
        <v>2993</v>
      </c>
      <c r="B2898" s="2" t="s">
        <v>172</v>
      </c>
      <c r="C2898" s="5">
        <f>11973/(60*60*24)</f>
        <v>0.1385763888888889</v>
      </c>
      <c r="D2898" s="4">
        <f>3071/(60*60*24)</f>
        <v>3.5543981481481482E-2</v>
      </c>
      <c r="E2898" s="3">
        <f>8710/(60*60*24)</f>
        <v>0.10081018518518518</v>
      </c>
      <c r="F2898" s="6">
        <f>29899/(60*60*24)</f>
        <v>0.34605324074074073</v>
      </c>
      <c r="G2898" s="7" t="s">
        <v>9</v>
      </c>
    </row>
    <row r="2899" spans="1:7" x14ac:dyDescent="0.45">
      <c r="A2899" t="s">
        <v>2994</v>
      </c>
      <c r="B2899" s="2" t="s">
        <v>170</v>
      </c>
      <c r="C2899" s="8" t="s">
        <v>12</v>
      </c>
      <c r="D2899" s="4">
        <f>3051/(60*60*24)</f>
        <v>3.5312499999999997E-2</v>
      </c>
      <c r="E2899" s="3">
        <f>8688/(60*60*24)</f>
        <v>0.10055555555555555</v>
      </c>
      <c r="F2899" s="5">
        <f>29681/(60*60*24)</f>
        <v>0.3435300925925926</v>
      </c>
      <c r="G2899" s="7" t="s">
        <v>9</v>
      </c>
    </row>
    <row r="2900" spans="1:7" x14ac:dyDescent="0.45">
      <c r="A2900" t="s">
        <v>2995</v>
      </c>
      <c r="B2900" s="2" t="s">
        <v>176</v>
      </c>
      <c r="C2900" s="5">
        <f>11554/(60*60*24)</f>
        <v>0.13372685185185185</v>
      </c>
      <c r="D2900" s="4">
        <f>3012/(60*60*24)</f>
        <v>3.4861111111111114E-2</v>
      </c>
      <c r="E2900" s="3">
        <f>8907/(60*60*24)</f>
        <v>0.10309027777777778</v>
      </c>
      <c r="F2900" s="6">
        <f>30738/(60*60*24)</f>
        <v>0.35576388888888888</v>
      </c>
      <c r="G2900" s="7" t="s">
        <v>9</v>
      </c>
    </row>
    <row r="2901" spans="1:7" x14ac:dyDescent="0.45">
      <c r="A2901" t="s">
        <v>2996</v>
      </c>
      <c r="B2901" s="2" t="s">
        <v>174</v>
      </c>
      <c r="C2901" s="8" t="s">
        <v>12</v>
      </c>
      <c r="D2901" s="4">
        <f>3176/(60*60*24)</f>
        <v>3.6759259259259262E-2</v>
      </c>
      <c r="E2901" s="3">
        <f>9322/(60*60*24)</f>
        <v>0.10789351851851851</v>
      </c>
      <c r="F2901" s="5">
        <f>31431/(60*60*24)</f>
        <v>0.36378472222222225</v>
      </c>
      <c r="G2901" s="7" t="s">
        <v>9</v>
      </c>
    </row>
    <row r="2902" spans="1:7" x14ac:dyDescent="0.45">
      <c r="A2902" t="s">
        <v>2997</v>
      </c>
      <c r="B2902" s="2" t="s">
        <v>180</v>
      </c>
      <c r="C2902" s="3">
        <f>8674/(60*60*24)</f>
        <v>0.10039351851851852</v>
      </c>
      <c r="D2902" s="4">
        <f>3509/(60*60*24)</f>
        <v>4.0613425925925928E-2</v>
      </c>
      <c r="E2902" s="5">
        <f>10275/(60*60*24)</f>
        <v>0.1189236111111111</v>
      </c>
      <c r="F2902" s="6">
        <f>35375/(60*60*24)</f>
        <v>0.40943287037037035</v>
      </c>
      <c r="G2902" s="7" t="s">
        <v>9</v>
      </c>
    </row>
    <row r="2903" spans="1:7" x14ac:dyDescent="0.45">
      <c r="A2903" t="s">
        <v>2998</v>
      </c>
      <c r="B2903" s="2" t="s">
        <v>178</v>
      </c>
      <c r="C2903" s="8" t="s">
        <v>12</v>
      </c>
      <c r="D2903" s="4">
        <f>3549/(60*60*24)</f>
        <v>4.1076388888888891E-2</v>
      </c>
      <c r="E2903" s="3">
        <f>10444/(60*60*24)</f>
        <v>0.12087962962962963</v>
      </c>
      <c r="F2903" s="5">
        <f>35557/(60*60*24)</f>
        <v>0.41153935185185186</v>
      </c>
      <c r="G2903" s="7" t="s">
        <v>9</v>
      </c>
    </row>
    <row r="2904" spans="1:7" x14ac:dyDescent="0.45">
      <c r="A2904" t="s">
        <v>2999</v>
      </c>
      <c r="B2904" s="2" t="s">
        <v>184</v>
      </c>
      <c r="C2904" s="3">
        <f>7480/(60*60*24)</f>
        <v>8.6574074074074067E-2</v>
      </c>
      <c r="D2904" s="4">
        <f>3384/(60*60*24)</f>
        <v>3.9166666666666669E-2</v>
      </c>
      <c r="E2904" s="5">
        <f>10193/(60*60*24)</f>
        <v>0.11797453703703703</v>
      </c>
      <c r="F2904" s="6">
        <f>35064/(60*60*24)</f>
        <v>0.40583333333333332</v>
      </c>
      <c r="G2904" s="7" t="s">
        <v>9</v>
      </c>
    </row>
    <row r="2905" spans="1:7" x14ac:dyDescent="0.45">
      <c r="A2905" t="s">
        <v>3000</v>
      </c>
      <c r="B2905" s="2" t="s">
        <v>182</v>
      </c>
      <c r="C2905" s="8" t="s">
        <v>12</v>
      </c>
      <c r="D2905" s="4">
        <f>3377/(60*60*24)</f>
        <v>3.9085648148148147E-2</v>
      </c>
      <c r="E2905" s="3">
        <f>10274/(60*60*24)</f>
        <v>0.11891203703703704</v>
      </c>
      <c r="F2905" s="5">
        <f>35027/(60*60*24)</f>
        <v>0.40540509259259261</v>
      </c>
      <c r="G2905" s="7" t="s">
        <v>9</v>
      </c>
    </row>
    <row r="2906" spans="1:7" x14ac:dyDescent="0.45">
      <c r="A2906" t="s">
        <v>3001</v>
      </c>
      <c r="B2906" s="2" t="s">
        <v>8</v>
      </c>
      <c r="C2906" s="3">
        <f>7369/(60*60*24)</f>
        <v>8.5289351851851852E-2</v>
      </c>
      <c r="D2906" s="4">
        <f>2591/(60*60*24)</f>
        <v>2.9988425925925925E-2</v>
      </c>
      <c r="E2906" s="5">
        <f>10006/(60*60*24)</f>
        <v>0.11581018518518518</v>
      </c>
      <c r="F2906" s="6">
        <f>34169/(60*60*24)</f>
        <v>0.39547453703703705</v>
      </c>
      <c r="G2906" s="7" t="s">
        <v>9</v>
      </c>
    </row>
    <row r="2907" spans="1:7" x14ac:dyDescent="0.45">
      <c r="A2907" t="s">
        <v>3002</v>
      </c>
      <c r="B2907" s="2" t="s">
        <v>11</v>
      </c>
      <c r="C2907" s="8" t="s">
        <v>12</v>
      </c>
      <c r="D2907" s="4">
        <f>2512/(60*60*24)</f>
        <v>2.9074074074074075E-2</v>
      </c>
      <c r="E2907" s="3">
        <f>9738/(60*60*24)</f>
        <v>0.11270833333333333</v>
      </c>
      <c r="F2907" s="5">
        <f>33641/(60*60*24)</f>
        <v>0.38936342592592593</v>
      </c>
      <c r="G2907" s="7" t="s">
        <v>9</v>
      </c>
    </row>
    <row r="2908" spans="1:7" x14ac:dyDescent="0.45">
      <c r="A2908" t="s">
        <v>3003</v>
      </c>
      <c r="B2908" s="2" t="s">
        <v>14</v>
      </c>
      <c r="C2908" s="3">
        <f>7949/(60*60*24)</f>
        <v>9.2002314814814815E-2</v>
      </c>
      <c r="D2908" s="4">
        <f>2449/(60*60*24)</f>
        <v>2.8344907407407409E-2</v>
      </c>
      <c r="E2908" s="5">
        <f>9723/(60*60*24)</f>
        <v>0.11253472222222222</v>
      </c>
      <c r="F2908" s="6">
        <f>33291/(60*60*24)</f>
        <v>0.3853125</v>
      </c>
      <c r="G2908" s="7" t="s">
        <v>9</v>
      </c>
    </row>
    <row r="2909" spans="1:7" x14ac:dyDescent="0.45">
      <c r="A2909" t="s">
        <v>3004</v>
      </c>
      <c r="B2909" s="2" t="s">
        <v>16</v>
      </c>
      <c r="C2909" s="8" t="s">
        <v>12</v>
      </c>
      <c r="D2909" s="4">
        <f>2562/(60*60*24)</f>
        <v>2.9652777777777778E-2</v>
      </c>
      <c r="E2909" s="3">
        <f>9793/(60*60*24)</f>
        <v>0.11334490740740741</v>
      </c>
      <c r="F2909" s="5">
        <f>32148/(60*60*24)</f>
        <v>0.37208333333333332</v>
      </c>
      <c r="G2909" s="7" t="s">
        <v>9</v>
      </c>
    </row>
    <row r="2910" spans="1:7" x14ac:dyDescent="0.45">
      <c r="A2910" t="s">
        <v>3005</v>
      </c>
      <c r="B2910" s="2" t="s">
        <v>18</v>
      </c>
      <c r="C2910" s="8" t="s">
        <v>12</v>
      </c>
      <c r="D2910" s="4">
        <f>2522/(60*60*24)</f>
        <v>2.9189814814814814E-2</v>
      </c>
      <c r="E2910" s="3">
        <f>9596/(60*60*24)</f>
        <v>0.11106481481481481</v>
      </c>
      <c r="F2910" s="5">
        <f>31411/(60*60*24)</f>
        <v>0.36355324074074075</v>
      </c>
      <c r="G2910" s="7" t="s">
        <v>9</v>
      </c>
    </row>
    <row r="2911" spans="1:7" x14ac:dyDescent="0.45">
      <c r="A2911" t="s">
        <v>3006</v>
      </c>
      <c r="B2911" s="2" t="s">
        <v>20</v>
      </c>
      <c r="C2911" s="8" t="s">
        <v>12</v>
      </c>
      <c r="D2911" s="4">
        <f>2348/(60*60*24)</f>
        <v>2.7175925925925926E-2</v>
      </c>
      <c r="E2911" s="3">
        <f>9363/(60*60*24)</f>
        <v>0.10836805555555555</v>
      </c>
      <c r="F2911" s="5">
        <f>30861/(60*60*24)</f>
        <v>0.35718749999999999</v>
      </c>
      <c r="G2911" s="7" t="s">
        <v>9</v>
      </c>
    </row>
    <row r="2912" spans="1:7" x14ac:dyDescent="0.45">
      <c r="A2912" t="s">
        <v>3007</v>
      </c>
      <c r="B2912" s="2" t="s">
        <v>24</v>
      </c>
      <c r="C2912" s="3">
        <f>6396/(60*60*24)</f>
        <v>7.4027777777777776E-2</v>
      </c>
      <c r="D2912" s="4">
        <f>2116/(60*60*24)</f>
        <v>2.449074074074074E-2</v>
      </c>
      <c r="E2912" s="5">
        <f>8681/(60*60*24)</f>
        <v>0.10047453703703704</v>
      </c>
      <c r="F2912" s="6">
        <f>29882/(60*60*24)</f>
        <v>0.34585648148148146</v>
      </c>
      <c r="G2912" s="7" t="s">
        <v>9</v>
      </c>
    </row>
    <row r="2913" spans="1:7" x14ac:dyDescent="0.45">
      <c r="A2913" t="s">
        <v>3008</v>
      </c>
      <c r="B2913" s="2" t="s">
        <v>22</v>
      </c>
      <c r="C2913" s="8" t="s">
        <v>12</v>
      </c>
      <c r="D2913" s="4">
        <f>2305/(60*60*24)</f>
        <v>2.6678240740740742E-2</v>
      </c>
      <c r="E2913" s="3">
        <f>8955/(60*60*24)</f>
        <v>0.10364583333333334</v>
      </c>
      <c r="F2913" s="5">
        <f>30273/(60*60*24)</f>
        <v>0.35038194444444443</v>
      </c>
      <c r="G2913" s="7" t="s">
        <v>9</v>
      </c>
    </row>
    <row r="2914" spans="1:7" x14ac:dyDescent="0.45">
      <c r="A2914" t="s">
        <v>3009</v>
      </c>
      <c r="B2914" s="2" t="s">
        <v>26</v>
      </c>
      <c r="C2914" s="3">
        <f>6486/(60*60*24)</f>
        <v>7.5069444444444439E-2</v>
      </c>
      <c r="D2914" s="4">
        <f>2283/(60*60*24)</f>
        <v>2.642361111111111E-2</v>
      </c>
      <c r="E2914" s="5">
        <f>8538/(60*60*24)</f>
        <v>9.8819444444444446E-2</v>
      </c>
      <c r="F2914" s="6">
        <f>29258/(60*60*24)</f>
        <v>0.33863425925925927</v>
      </c>
      <c r="G2914" s="7" t="s">
        <v>9</v>
      </c>
    </row>
    <row r="2915" spans="1:7" x14ac:dyDescent="0.45">
      <c r="A2915" t="s">
        <v>3010</v>
      </c>
      <c r="B2915" s="2" t="s">
        <v>28</v>
      </c>
      <c r="C2915" s="8" t="s">
        <v>12</v>
      </c>
      <c r="D2915" s="4">
        <f>2393/(60*60*24)</f>
        <v>2.7696759259259258E-2</v>
      </c>
      <c r="E2915" s="3">
        <f>8438/(60*60*24)</f>
        <v>9.7662037037037033E-2</v>
      </c>
      <c r="F2915" s="5">
        <f>28233/(60*60*24)</f>
        <v>0.32677083333333334</v>
      </c>
      <c r="G2915" s="7" t="s">
        <v>9</v>
      </c>
    </row>
    <row r="2916" spans="1:7" x14ac:dyDescent="0.45">
      <c r="A2916" t="s">
        <v>3011</v>
      </c>
      <c r="B2916" s="2" t="s">
        <v>32</v>
      </c>
      <c r="C2916" s="3">
        <f>6996/(60*60*24)</f>
        <v>8.0972222222222223E-2</v>
      </c>
      <c r="D2916" s="4">
        <f>2548/(60*60*24)</f>
        <v>2.9490740740740741E-2</v>
      </c>
      <c r="E2916" s="5">
        <f>8383/(60*60*24)</f>
        <v>9.7025462962962966E-2</v>
      </c>
      <c r="F2916" s="6">
        <f>26724/(60*60*24)</f>
        <v>0.30930555555555556</v>
      </c>
      <c r="G2916" s="7" t="s">
        <v>9</v>
      </c>
    </row>
    <row r="2917" spans="1:7" x14ac:dyDescent="0.45">
      <c r="A2917" t="s">
        <v>3012</v>
      </c>
      <c r="B2917" s="2" t="s">
        <v>30</v>
      </c>
      <c r="C2917" s="8" t="s">
        <v>12</v>
      </c>
      <c r="D2917" s="4">
        <f>2438/(60*60*24)</f>
        <v>2.8217592592592593E-2</v>
      </c>
      <c r="E2917" s="3">
        <f>8525/(60*60*24)</f>
        <v>9.8668981481481483E-2</v>
      </c>
      <c r="F2917" s="5">
        <f>27805/(60*60*24)</f>
        <v>0.32181712962962961</v>
      </c>
      <c r="G2917" s="7" t="s">
        <v>9</v>
      </c>
    </row>
    <row r="2918" spans="1:7" x14ac:dyDescent="0.45">
      <c r="A2918" t="s">
        <v>3013</v>
      </c>
      <c r="B2918" s="2" t="s">
        <v>36</v>
      </c>
      <c r="C2918" s="3">
        <f>7022/(60*60*24)</f>
        <v>8.127314814814815E-2</v>
      </c>
      <c r="D2918" s="4">
        <f>2837/(60*60*24)</f>
        <v>3.2835648148148149E-2</v>
      </c>
      <c r="E2918" s="5">
        <f>7947/(60*60*24)</f>
        <v>9.1979166666666667E-2</v>
      </c>
      <c r="F2918" s="6">
        <f>26063/(60*60*24)</f>
        <v>0.3016550925925926</v>
      </c>
      <c r="G2918" s="7" t="s">
        <v>9</v>
      </c>
    </row>
    <row r="2919" spans="1:7" x14ac:dyDescent="0.45">
      <c r="A2919" t="s">
        <v>3014</v>
      </c>
      <c r="B2919" s="2" t="s">
        <v>34</v>
      </c>
      <c r="C2919" s="8" t="s">
        <v>12</v>
      </c>
      <c r="D2919" s="4">
        <f>2884/(60*60*24)</f>
        <v>3.3379629629629627E-2</v>
      </c>
      <c r="E2919" s="3">
        <f>7694/(60*60*24)</f>
        <v>8.9050925925925922E-2</v>
      </c>
      <c r="F2919" s="5">
        <f>25630/(60*60*24)</f>
        <v>0.2966435185185185</v>
      </c>
      <c r="G2919" s="7" t="s">
        <v>9</v>
      </c>
    </row>
    <row r="2920" spans="1:7" x14ac:dyDescent="0.45">
      <c r="A2920" t="s">
        <v>3015</v>
      </c>
      <c r="B2920" s="2" t="s">
        <v>38</v>
      </c>
      <c r="C2920" s="8" t="s">
        <v>12</v>
      </c>
      <c r="D2920" s="4">
        <f>2913/(60*60*24)</f>
        <v>3.3715277777777775E-2</v>
      </c>
      <c r="E2920" s="3">
        <f>7498/(60*60*24)</f>
        <v>8.6782407407407405E-2</v>
      </c>
      <c r="F2920" s="5">
        <f>24780/(60*60*24)</f>
        <v>0.28680555555555554</v>
      </c>
      <c r="G2920" s="7" t="s">
        <v>9</v>
      </c>
    </row>
    <row r="2921" spans="1:7" x14ac:dyDescent="0.45">
      <c r="A2921" t="s">
        <v>3016</v>
      </c>
      <c r="B2921" s="2" t="s">
        <v>40</v>
      </c>
      <c r="C2921" s="8" t="s">
        <v>12</v>
      </c>
      <c r="D2921" s="4">
        <f>3024/(60*60*24)</f>
        <v>3.5000000000000003E-2</v>
      </c>
      <c r="E2921" s="3">
        <f>7213/(60*60*24)</f>
        <v>8.3483796296296292E-2</v>
      </c>
      <c r="F2921" s="5">
        <f>23911/(60*60*24)</f>
        <v>0.27674768518518517</v>
      </c>
      <c r="G2921" s="7" t="s">
        <v>9</v>
      </c>
    </row>
    <row r="2922" spans="1:7" x14ac:dyDescent="0.45">
      <c r="A2922" t="s">
        <v>3017</v>
      </c>
      <c r="B2922" s="2" t="s">
        <v>44</v>
      </c>
      <c r="C2922" s="8" t="s">
        <v>12</v>
      </c>
      <c r="D2922" s="4">
        <f>2997/(60*60*24)</f>
        <v>3.4687500000000003E-2</v>
      </c>
      <c r="E2922" s="3">
        <f>7096/(60*60*24)</f>
        <v>8.2129629629629636E-2</v>
      </c>
      <c r="F2922" s="5">
        <f>23535/(60*60*24)</f>
        <v>0.27239583333333334</v>
      </c>
      <c r="G2922" s="7" t="s">
        <v>9</v>
      </c>
    </row>
    <row r="2923" spans="1:7" x14ac:dyDescent="0.45">
      <c r="A2923" t="s">
        <v>3018</v>
      </c>
      <c r="B2923" s="2" t="s">
        <v>42</v>
      </c>
      <c r="C2923" s="8" t="s">
        <v>12</v>
      </c>
      <c r="D2923" s="4">
        <f>2937/(60*60*24)</f>
        <v>3.3993055555555554E-2</v>
      </c>
      <c r="E2923" s="3">
        <f>7194/(60*60*24)</f>
        <v>8.3263888888888887E-2</v>
      </c>
      <c r="F2923" s="5">
        <f>23881/(60*60*24)</f>
        <v>0.27640046296296295</v>
      </c>
      <c r="G2923" s="7" t="s">
        <v>9</v>
      </c>
    </row>
    <row r="2924" spans="1:7" x14ac:dyDescent="0.45">
      <c r="A2924" t="s">
        <v>3019</v>
      </c>
      <c r="B2924" s="2" t="s">
        <v>46</v>
      </c>
      <c r="C2924" s="8" t="s">
        <v>12</v>
      </c>
      <c r="D2924" s="4">
        <f>2932/(60*60*24)</f>
        <v>3.3935185185185186E-2</v>
      </c>
      <c r="E2924" s="3">
        <f>7296/(60*60*24)</f>
        <v>8.4444444444444447E-2</v>
      </c>
      <c r="F2924" s="5">
        <f>22898/(60*60*24)</f>
        <v>0.26502314814814815</v>
      </c>
      <c r="G2924" s="7" t="s">
        <v>9</v>
      </c>
    </row>
    <row r="2925" spans="1:7" x14ac:dyDescent="0.45">
      <c r="A2925" t="s">
        <v>3020</v>
      </c>
      <c r="B2925" s="2" t="s">
        <v>48</v>
      </c>
      <c r="C2925" s="8" t="s">
        <v>12</v>
      </c>
      <c r="D2925" s="4">
        <f>3143/(60*60*24)</f>
        <v>3.6377314814814814E-2</v>
      </c>
      <c r="E2925" s="3">
        <f>7148/(60*60*24)</f>
        <v>8.2731481481481475E-2</v>
      </c>
      <c r="F2925" s="5">
        <f>21827/(60*60*24)</f>
        <v>0.25262731481481482</v>
      </c>
      <c r="G2925" s="7" t="s">
        <v>9</v>
      </c>
    </row>
    <row r="2926" spans="1:7" x14ac:dyDescent="0.45">
      <c r="A2926" t="s">
        <v>3021</v>
      </c>
      <c r="B2926" s="2" t="s">
        <v>50</v>
      </c>
      <c r="C2926" s="8" t="s">
        <v>12</v>
      </c>
      <c r="D2926" s="4">
        <f>2892/(60*60*24)</f>
        <v>3.3472222222222223E-2</v>
      </c>
      <c r="E2926" s="3">
        <f>6941/(60*60*24)</f>
        <v>8.0335648148148142E-2</v>
      </c>
      <c r="F2926" s="5">
        <f>21448/(60*60*24)</f>
        <v>0.24824074074074073</v>
      </c>
      <c r="G2926" s="7" t="s">
        <v>9</v>
      </c>
    </row>
    <row r="2927" spans="1:7" x14ac:dyDescent="0.45">
      <c r="A2927" t="s">
        <v>3022</v>
      </c>
      <c r="B2927" s="2" t="s">
        <v>52</v>
      </c>
      <c r="C2927" s="8" t="s">
        <v>12</v>
      </c>
      <c r="D2927" s="4">
        <f>2902/(60*60*24)</f>
        <v>3.3587962962962965E-2</v>
      </c>
      <c r="E2927" s="3">
        <f>6653/(60*60*24)</f>
        <v>7.7002314814814815E-2</v>
      </c>
      <c r="F2927" s="5">
        <f>21346/(60*60*24)</f>
        <v>0.24706018518518519</v>
      </c>
      <c r="G2927" s="7" t="s">
        <v>9</v>
      </c>
    </row>
    <row r="2928" spans="1:7" x14ac:dyDescent="0.45">
      <c r="A2928" t="s">
        <v>3023</v>
      </c>
      <c r="B2928" s="2" t="s">
        <v>56</v>
      </c>
      <c r="C2928" s="3">
        <f>4468/(60*60*24)</f>
        <v>5.1712962962962961E-2</v>
      </c>
      <c r="D2928" s="4">
        <f>2288/(60*60*24)</f>
        <v>2.6481481481481481E-2</v>
      </c>
      <c r="E2928" s="5">
        <f>6218/(60*60*24)</f>
        <v>7.1967592592592597E-2</v>
      </c>
      <c r="F2928" s="6">
        <f>20192/(60*60*24)</f>
        <v>0.23370370370370369</v>
      </c>
      <c r="G2928" s="7" t="s">
        <v>9</v>
      </c>
    </row>
    <row r="2929" spans="1:7" x14ac:dyDescent="0.45">
      <c r="A2929" t="s">
        <v>3024</v>
      </c>
      <c r="B2929" s="2" t="s">
        <v>54</v>
      </c>
      <c r="C2929" s="8" t="s">
        <v>12</v>
      </c>
      <c r="D2929" s="4">
        <f>2453/(60*60*24)</f>
        <v>2.8391203703703703E-2</v>
      </c>
      <c r="E2929" s="3">
        <f>6445/(60*60*24)</f>
        <v>7.4594907407407401E-2</v>
      </c>
      <c r="F2929" s="5">
        <f>20766/(60*60*24)</f>
        <v>0.24034722222222221</v>
      </c>
      <c r="G2929" s="7" t="s">
        <v>9</v>
      </c>
    </row>
    <row r="2930" spans="1:7" x14ac:dyDescent="0.45">
      <c r="A2930" t="s">
        <v>3025</v>
      </c>
      <c r="B2930" s="2" t="s">
        <v>58</v>
      </c>
      <c r="C2930" s="3">
        <f>5780/(60*60*24)</f>
        <v>6.6898148148148151E-2</v>
      </c>
      <c r="D2930" s="4">
        <f>2276/(60*60*24)</f>
        <v>2.6342592592592591E-2</v>
      </c>
      <c r="E2930" s="5">
        <f>5979/(60*60*24)</f>
        <v>6.9201388888888896E-2</v>
      </c>
      <c r="F2930" s="6">
        <f>19108/(60*60*24)</f>
        <v>0.22115740740740741</v>
      </c>
      <c r="G2930" s="7" t="s">
        <v>9</v>
      </c>
    </row>
    <row r="2931" spans="1:7" x14ac:dyDescent="0.45">
      <c r="A2931" t="s">
        <v>3026</v>
      </c>
      <c r="B2931" s="2" t="s">
        <v>60</v>
      </c>
      <c r="C2931" s="3">
        <f>4934/(60*60*24)</f>
        <v>5.710648148148148E-2</v>
      </c>
      <c r="D2931" s="4">
        <f>1936/(60*60*24)</f>
        <v>2.2407407407407407E-2</v>
      </c>
      <c r="E2931" s="5">
        <f>5817/(60*60*24)</f>
        <v>6.7326388888888894E-2</v>
      </c>
      <c r="F2931" s="6">
        <f>18724/(60*60*24)</f>
        <v>0.21671296296296297</v>
      </c>
      <c r="G2931" s="7" t="s">
        <v>9</v>
      </c>
    </row>
    <row r="2932" spans="1:7" x14ac:dyDescent="0.45">
      <c r="A2932" t="s">
        <v>3027</v>
      </c>
      <c r="B2932" s="2" t="s">
        <v>62</v>
      </c>
      <c r="C2932" s="5">
        <f>6369/(60*60*24)</f>
        <v>7.3715277777777782E-2</v>
      </c>
      <c r="D2932" s="4">
        <f>1767/(60*60*24)</f>
        <v>2.045138888888889E-2</v>
      </c>
      <c r="E2932" s="3">
        <f>5965/(60*60*24)</f>
        <v>6.9039351851851852E-2</v>
      </c>
      <c r="F2932" s="6">
        <f>18419/(60*60*24)</f>
        <v>0.21318287037037037</v>
      </c>
      <c r="G2932" s="7" t="s">
        <v>9</v>
      </c>
    </row>
    <row r="2933" spans="1:7" x14ac:dyDescent="0.45">
      <c r="A2933" t="s">
        <v>3028</v>
      </c>
      <c r="B2933" s="2" t="s">
        <v>64</v>
      </c>
      <c r="C2933" s="5">
        <f>6271/(60*60*24)</f>
        <v>7.2581018518518517E-2</v>
      </c>
      <c r="D2933" s="4">
        <f>1637/(60*60*24)</f>
        <v>1.894675925925926E-2</v>
      </c>
      <c r="E2933" s="3">
        <f>5234/(60*60*24)</f>
        <v>6.0578703703703704E-2</v>
      </c>
      <c r="F2933" s="6">
        <f>18179/(60*60*24)</f>
        <v>0.2104050925925926</v>
      </c>
      <c r="G2933" s="7" t="s">
        <v>9</v>
      </c>
    </row>
    <row r="2934" spans="1:7" x14ac:dyDescent="0.45">
      <c r="A2934" t="s">
        <v>3029</v>
      </c>
      <c r="B2934" s="2" t="s">
        <v>68</v>
      </c>
      <c r="C2934" s="3">
        <f>5049/(60*60*24)</f>
        <v>5.8437500000000003E-2</v>
      </c>
      <c r="D2934" s="4">
        <f>1691/(60*60*24)</f>
        <v>1.9571759259259261E-2</v>
      </c>
      <c r="E2934" s="5">
        <f>5232/(60*60*24)</f>
        <v>6.0555555555555557E-2</v>
      </c>
      <c r="F2934" s="6">
        <f>17294/(60*60*24)</f>
        <v>0.20016203703703703</v>
      </c>
      <c r="G2934" s="7" t="s">
        <v>9</v>
      </c>
    </row>
    <row r="2935" spans="1:7" x14ac:dyDescent="0.45">
      <c r="A2935" t="s">
        <v>3030</v>
      </c>
      <c r="B2935" s="2" t="s">
        <v>66</v>
      </c>
      <c r="C2935" s="8" t="s">
        <v>12</v>
      </c>
      <c r="D2935" s="4">
        <f>1511/(60*60*24)</f>
        <v>1.7488425925925925E-2</v>
      </c>
      <c r="E2935" s="3">
        <f>5379/(60*60*24)</f>
        <v>6.2256944444444441E-2</v>
      </c>
      <c r="F2935" s="5">
        <f>17743/(60*60*24)</f>
        <v>0.2053587962962963</v>
      </c>
      <c r="G2935" s="7" t="s">
        <v>9</v>
      </c>
    </row>
    <row r="2936" spans="1:7" x14ac:dyDescent="0.45">
      <c r="A2936" t="s">
        <v>3031</v>
      </c>
      <c r="B2936" s="2" t="s">
        <v>70</v>
      </c>
      <c r="C2936" s="3">
        <f>4555/(60*60*24)</f>
        <v>5.271990740740741E-2</v>
      </c>
      <c r="D2936" s="4">
        <f>1442/(60*60*24)</f>
        <v>1.6689814814814814E-2</v>
      </c>
      <c r="E2936" s="5">
        <f>4993/(60*60*24)</f>
        <v>5.7789351851851849E-2</v>
      </c>
      <c r="F2936" s="6">
        <f>16885/(60*60*24)</f>
        <v>0.19542824074074075</v>
      </c>
      <c r="G2936" s="7" t="s">
        <v>9</v>
      </c>
    </row>
    <row r="2937" spans="1:7" x14ac:dyDescent="0.45">
      <c r="A2937" t="s">
        <v>3032</v>
      </c>
      <c r="B2937" s="2" t="s">
        <v>72</v>
      </c>
      <c r="C2937" s="3">
        <f>3979/(60*60*24)</f>
        <v>4.6053240740740742E-2</v>
      </c>
      <c r="D2937" s="4">
        <f>1276/(60*60*24)</f>
        <v>1.4768518518518519E-2</v>
      </c>
      <c r="E2937" s="5">
        <f>4841/(60*60*24)</f>
        <v>5.603009259259259E-2</v>
      </c>
      <c r="F2937" s="6">
        <f>16295/(60*60*24)</f>
        <v>0.18859953703703702</v>
      </c>
      <c r="G2937" s="7" t="s">
        <v>9</v>
      </c>
    </row>
    <row r="2938" spans="1:7" x14ac:dyDescent="0.45">
      <c r="A2938" t="s">
        <v>3033</v>
      </c>
      <c r="B2938" s="2" t="s">
        <v>74</v>
      </c>
      <c r="C2938" s="3">
        <f>4490/(60*60*24)</f>
        <v>5.1967592592592593E-2</v>
      </c>
      <c r="D2938" s="4">
        <f>1171/(60*60*24)</f>
        <v>1.3553240740740741E-2</v>
      </c>
      <c r="E2938" s="5">
        <f>4716/(60*60*24)</f>
        <v>5.4583333333333331E-2</v>
      </c>
      <c r="F2938" s="6">
        <f>16004/(60*60*24)</f>
        <v>0.18523148148148147</v>
      </c>
      <c r="G2938" s="7" t="s">
        <v>9</v>
      </c>
    </row>
    <row r="2939" spans="1:7" x14ac:dyDescent="0.45">
      <c r="A2939" t="s">
        <v>3034</v>
      </c>
      <c r="B2939" s="2" t="s">
        <v>76</v>
      </c>
      <c r="C2939" s="3">
        <f>4519/(60*60*24)</f>
        <v>5.230324074074074E-2</v>
      </c>
      <c r="D2939" s="4">
        <f>1336/(60*60*24)</f>
        <v>1.5462962962962963E-2</v>
      </c>
      <c r="E2939" s="5">
        <f>4570/(60*60*24)</f>
        <v>5.289351851851852E-2</v>
      </c>
      <c r="F2939" s="6">
        <f>15410/(60*60*24)</f>
        <v>0.17835648148148148</v>
      </c>
      <c r="G2939" s="7" t="s">
        <v>9</v>
      </c>
    </row>
    <row r="2940" spans="1:7" x14ac:dyDescent="0.45">
      <c r="A2940" t="s">
        <v>3035</v>
      </c>
      <c r="B2940" s="2" t="s">
        <v>78</v>
      </c>
      <c r="C2940" s="8" t="s">
        <v>12</v>
      </c>
      <c r="D2940" s="4">
        <f>1196/(60*60*24)</f>
        <v>1.3842592592592592E-2</v>
      </c>
      <c r="E2940" s="3">
        <f>4627/(60*60*24)</f>
        <v>5.3553240740740742E-2</v>
      </c>
      <c r="F2940" s="5">
        <f>15505/(60*60*24)</f>
        <v>0.17945601851851853</v>
      </c>
      <c r="G2940" s="7" t="s">
        <v>9</v>
      </c>
    </row>
    <row r="2941" spans="1:7" x14ac:dyDescent="0.45">
      <c r="A2941" t="s">
        <v>3036</v>
      </c>
      <c r="B2941" s="2" t="s">
        <v>80</v>
      </c>
      <c r="C2941" s="8" t="s">
        <v>12</v>
      </c>
      <c r="D2941" s="4">
        <f>2033/(60*60*24)</f>
        <v>2.3530092592592592E-2</v>
      </c>
      <c r="E2941" s="3">
        <f>4507/(60*60*24)</f>
        <v>5.2164351851851851E-2</v>
      </c>
      <c r="F2941" s="5">
        <f>15153/(60*60*24)</f>
        <v>0.17538194444444444</v>
      </c>
      <c r="G2941" s="7" t="s">
        <v>9</v>
      </c>
    </row>
    <row r="2942" spans="1:7" x14ac:dyDescent="0.45">
      <c r="A2942" t="s">
        <v>3037</v>
      </c>
      <c r="B2942" s="2" t="s">
        <v>82</v>
      </c>
      <c r="C2942" s="3">
        <f>4220/(60*60*24)</f>
        <v>4.884259259259259E-2</v>
      </c>
      <c r="D2942" s="4">
        <f>1247/(60*60*24)</f>
        <v>1.443287037037037E-2</v>
      </c>
      <c r="E2942" s="5">
        <f>4579/(60*60*24)</f>
        <v>5.2997685185185182E-2</v>
      </c>
      <c r="F2942" s="6">
        <f>14562/(60*60*24)</f>
        <v>0.16854166666666667</v>
      </c>
      <c r="G2942" s="7" t="s">
        <v>9</v>
      </c>
    </row>
    <row r="2943" spans="1:7" x14ac:dyDescent="0.45">
      <c r="A2943" t="s">
        <v>3038</v>
      </c>
      <c r="B2943" s="2" t="s">
        <v>84</v>
      </c>
      <c r="C2943" s="8" t="s">
        <v>12</v>
      </c>
      <c r="D2943" s="4">
        <f>1122/(60*60*24)</f>
        <v>1.2986111111111111E-2</v>
      </c>
      <c r="E2943" s="3">
        <f>4493/(60*60*24)</f>
        <v>5.2002314814814814E-2</v>
      </c>
      <c r="F2943" s="5">
        <f>15107/(60*60*24)</f>
        <v>0.17484953703703704</v>
      </c>
      <c r="G2943" s="7" t="s">
        <v>9</v>
      </c>
    </row>
    <row r="2944" spans="1:7" x14ac:dyDescent="0.45">
      <c r="A2944" t="s">
        <v>3039</v>
      </c>
      <c r="B2944" s="2" t="s">
        <v>88</v>
      </c>
      <c r="C2944" s="5">
        <f>6106/(60*60*24)</f>
        <v>7.0671296296296301E-2</v>
      </c>
      <c r="D2944" s="4">
        <f>1198/(60*60*24)</f>
        <v>1.3865740740740741E-2</v>
      </c>
      <c r="E2944" s="3">
        <f>4602/(60*60*24)</f>
        <v>5.3263888888888888E-2</v>
      </c>
      <c r="F2944" s="6">
        <f>14585/(60*60*24)</f>
        <v>0.16880787037037037</v>
      </c>
      <c r="G2944" s="7" t="s">
        <v>9</v>
      </c>
    </row>
    <row r="2945" spans="1:7" x14ac:dyDescent="0.45">
      <c r="A2945" t="s">
        <v>3040</v>
      </c>
      <c r="B2945" s="2" t="s">
        <v>86</v>
      </c>
      <c r="C2945" s="5">
        <f>4369/(60*60*24)</f>
        <v>5.0567129629629629E-2</v>
      </c>
      <c r="D2945" s="4">
        <f>989/(60*60*24)</f>
        <v>1.1446759259259259E-2</v>
      </c>
      <c r="E2945" s="3">
        <f>4354/(60*60*24)</f>
        <v>5.0393518518518518E-2</v>
      </c>
      <c r="F2945" s="6">
        <f>13290/(60*60*24)</f>
        <v>0.15381944444444445</v>
      </c>
      <c r="G2945" s="7" t="s">
        <v>9</v>
      </c>
    </row>
    <row r="2946" spans="1:7" x14ac:dyDescent="0.45">
      <c r="A2946" t="s">
        <v>3041</v>
      </c>
      <c r="B2946" s="2" t="s">
        <v>92</v>
      </c>
      <c r="C2946" s="3">
        <f>3464/(60*60*24)</f>
        <v>4.0092592592592589E-2</v>
      </c>
      <c r="D2946" s="4">
        <f>1141/(60*60*24)</f>
        <v>1.3206018518518518E-2</v>
      </c>
      <c r="E2946" s="5">
        <f>3746/(60*60*24)</f>
        <v>4.3356481481481482E-2</v>
      </c>
      <c r="F2946" s="6">
        <f>13173/(60*60*24)</f>
        <v>0.15246527777777777</v>
      </c>
      <c r="G2946" s="7" t="s">
        <v>9</v>
      </c>
    </row>
    <row r="2947" spans="1:7" x14ac:dyDescent="0.45">
      <c r="A2947" t="s">
        <v>3042</v>
      </c>
      <c r="B2947" s="2" t="s">
        <v>90</v>
      </c>
      <c r="C2947" s="8" t="s">
        <v>12</v>
      </c>
      <c r="D2947" s="4">
        <f>1276/(60*60*24)</f>
        <v>1.4768518518518519E-2</v>
      </c>
      <c r="E2947" s="3">
        <f>3836/(60*60*24)</f>
        <v>4.4398148148148145E-2</v>
      </c>
      <c r="F2947" s="5">
        <f>13117/(60*60*24)</f>
        <v>0.15181712962962962</v>
      </c>
      <c r="G2947" s="7" t="s">
        <v>9</v>
      </c>
    </row>
    <row r="2948" spans="1:7" x14ac:dyDescent="0.45">
      <c r="A2948" t="s">
        <v>3043</v>
      </c>
      <c r="B2948" s="2" t="s">
        <v>94</v>
      </c>
      <c r="C2948" s="8" t="s">
        <v>12</v>
      </c>
      <c r="D2948" s="4">
        <f>1261/(60*60*24)</f>
        <v>1.4594907407407407E-2</v>
      </c>
      <c r="E2948" s="3">
        <f>3923/(60*60*24)</f>
        <v>4.5405092592592594E-2</v>
      </c>
      <c r="F2948" s="5">
        <f>13260/(60*60*24)</f>
        <v>0.15347222222222223</v>
      </c>
      <c r="G2948" s="7" t="s">
        <v>9</v>
      </c>
    </row>
    <row r="2949" spans="1:7" x14ac:dyDescent="0.45">
      <c r="A2949" t="s">
        <v>3044</v>
      </c>
      <c r="B2949" s="2" t="s">
        <v>96</v>
      </c>
      <c r="C2949" s="8" t="s">
        <v>12</v>
      </c>
      <c r="D2949" s="4">
        <f>1448/(60*60*24)</f>
        <v>1.6759259259259258E-2</v>
      </c>
      <c r="E2949" s="3">
        <f>3910/(60*60*24)</f>
        <v>4.5254629629629631E-2</v>
      </c>
      <c r="F2949" s="5">
        <f>14059/(60*60*24)</f>
        <v>0.16271990740740741</v>
      </c>
      <c r="G2949" s="7" t="s">
        <v>9</v>
      </c>
    </row>
    <row r="2950" spans="1:7" x14ac:dyDescent="0.45">
      <c r="A2950" t="s">
        <v>3045</v>
      </c>
      <c r="B2950" s="2" t="s">
        <v>98</v>
      </c>
      <c r="C2950" s="8" t="s">
        <v>12</v>
      </c>
      <c r="D2950" s="4">
        <f>1431/(60*60*24)</f>
        <v>1.6562500000000001E-2</v>
      </c>
      <c r="E2950" s="3">
        <f>3617/(60*60*24)</f>
        <v>4.1863425925925929E-2</v>
      </c>
      <c r="F2950" s="5">
        <f>13492/(60*60*24)</f>
        <v>0.15615740740740741</v>
      </c>
      <c r="G2950" s="7" t="s">
        <v>9</v>
      </c>
    </row>
    <row r="2951" spans="1:7" x14ac:dyDescent="0.45">
      <c r="A2951" t="s">
        <v>3046</v>
      </c>
      <c r="B2951" s="2" t="s">
        <v>100</v>
      </c>
      <c r="C2951" s="8" t="s">
        <v>12</v>
      </c>
      <c r="D2951" s="4">
        <f>1452/(60*60*24)</f>
        <v>1.6805555555555556E-2</v>
      </c>
      <c r="E2951" s="3">
        <f>3529/(60*60*24)</f>
        <v>4.0844907407407406E-2</v>
      </c>
      <c r="F2951" s="5">
        <f>13302/(60*60*24)</f>
        <v>0.15395833333333334</v>
      </c>
      <c r="G2951" s="7" t="s">
        <v>9</v>
      </c>
    </row>
    <row r="2952" spans="1:7" x14ac:dyDescent="0.45">
      <c r="A2952" t="s">
        <v>3047</v>
      </c>
      <c r="B2952" s="2" t="s">
        <v>102</v>
      </c>
      <c r="C2952" s="5">
        <f>7527/(60*60*24)</f>
        <v>8.711805555555556E-2</v>
      </c>
      <c r="D2952" s="4">
        <f>1535/(60*60*24)</f>
        <v>1.7766203703703704E-2</v>
      </c>
      <c r="E2952" s="3">
        <f>3704/(60*60*24)</f>
        <v>4.2870370370370371E-2</v>
      </c>
      <c r="F2952" s="6">
        <f>13156/(60*60*24)</f>
        <v>0.15226851851851853</v>
      </c>
      <c r="G2952" s="7" t="s">
        <v>9</v>
      </c>
    </row>
    <row r="2953" spans="1:7" x14ac:dyDescent="0.45">
      <c r="A2953" t="s">
        <v>3048</v>
      </c>
      <c r="B2953" s="2" t="s">
        <v>104</v>
      </c>
      <c r="C2953" s="8" t="s">
        <v>12</v>
      </c>
      <c r="D2953" s="4">
        <f>1592/(60*60*24)</f>
        <v>1.8425925925925925E-2</v>
      </c>
      <c r="E2953" s="3">
        <f>3559/(60*60*24)</f>
        <v>4.1192129629629627E-2</v>
      </c>
      <c r="F2953" s="5">
        <f>13563/(60*60*24)</f>
        <v>0.15697916666666667</v>
      </c>
      <c r="G2953" s="7" t="s">
        <v>9</v>
      </c>
    </row>
    <row r="2954" spans="1:7" x14ac:dyDescent="0.45">
      <c r="A2954" t="s">
        <v>3049</v>
      </c>
      <c r="B2954" s="2" t="s">
        <v>106</v>
      </c>
      <c r="C2954" s="5">
        <f>7137/(60*60*24)</f>
        <v>8.2604166666666673E-2</v>
      </c>
      <c r="D2954" s="4">
        <f>1398/(60*60*24)</f>
        <v>1.6180555555555556E-2</v>
      </c>
      <c r="E2954" s="3">
        <f>3608/(60*60*24)</f>
        <v>4.175925925925926E-2</v>
      </c>
      <c r="F2954" s="6">
        <f>12890/(60*60*24)</f>
        <v>0.1491898148148148</v>
      </c>
      <c r="G2954" s="7" t="s">
        <v>9</v>
      </c>
    </row>
    <row r="2955" spans="1:7" x14ac:dyDescent="0.45">
      <c r="A2955" t="s">
        <v>3050</v>
      </c>
      <c r="B2955" s="2" t="s">
        <v>108</v>
      </c>
      <c r="C2955" s="8" t="s">
        <v>12</v>
      </c>
      <c r="D2955" s="4">
        <f>1501/(60*60*24)</f>
        <v>1.7372685185185185E-2</v>
      </c>
      <c r="E2955" s="3">
        <f>3763/(60*60*24)</f>
        <v>4.355324074074074E-2</v>
      </c>
      <c r="F2955" s="5">
        <f>13140/(60*60*24)</f>
        <v>0.15208333333333332</v>
      </c>
      <c r="G2955" s="7" t="s">
        <v>9</v>
      </c>
    </row>
    <row r="2956" spans="1:7" x14ac:dyDescent="0.45">
      <c r="A2956" t="s">
        <v>3051</v>
      </c>
      <c r="B2956" s="2" t="s">
        <v>110</v>
      </c>
      <c r="C2956" s="5">
        <f>5490/(60*60*24)</f>
        <v>6.3541666666666663E-2</v>
      </c>
      <c r="D2956" s="4">
        <f>1436/(60*60*24)</f>
        <v>1.6620370370370369E-2</v>
      </c>
      <c r="E2956" s="3">
        <f>3998/(60*60*24)</f>
        <v>4.6273148148148147E-2</v>
      </c>
      <c r="F2956" s="6">
        <f>13739/(60*60*24)</f>
        <v>0.1590162037037037</v>
      </c>
      <c r="G2956" s="7" t="s">
        <v>9</v>
      </c>
    </row>
    <row r="2957" spans="1:7" x14ac:dyDescent="0.45">
      <c r="A2957" t="s">
        <v>3052</v>
      </c>
      <c r="B2957" s="2" t="s">
        <v>112</v>
      </c>
      <c r="C2957" s="8" t="s">
        <v>12</v>
      </c>
      <c r="D2957" s="4">
        <f>1661/(60*60*24)</f>
        <v>1.9224537037037037E-2</v>
      </c>
      <c r="E2957" s="3">
        <f>4222/(60*60*24)</f>
        <v>4.8865740740740737E-2</v>
      </c>
      <c r="F2957" s="5">
        <f>13621/(60*60*24)</f>
        <v>0.15765046296296295</v>
      </c>
      <c r="G2957" s="7" t="s">
        <v>9</v>
      </c>
    </row>
    <row r="2958" spans="1:7" x14ac:dyDescent="0.45">
      <c r="A2958" t="s">
        <v>3053</v>
      </c>
      <c r="B2958" s="2" t="s">
        <v>114</v>
      </c>
      <c r="C2958" s="8" t="s">
        <v>12</v>
      </c>
      <c r="D2958" s="4">
        <f>1774/(60*60*24)</f>
        <v>2.0532407407407409E-2</v>
      </c>
      <c r="E2958" s="3">
        <f>4504/(60*60*24)</f>
        <v>5.212962962962963E-2</v>
      </c>
      <c r="F2958" s="5">
        <f>13530/(60*60*24)</f>
        <v>0.15659722222222222</v>
      </c>
      <c r="G2958" s="7" t="s">
        <v>9</v>
      </c>
    </row>
    <row r="2959" spans="1:7" x14ac:dyDescent="0.45">
      <c r="A2959" t="s">
        <v>3054</v>
      </c>
      <c r="B2959" s="2" t="s">
        <v>116</v>
      </c>
      <c r="C2959" s="8" t="s">
        <v>12</v>
      </c>
      <c r="D2959" s="4">
        <f>1564/(60*60*24)</f>
        <v>1.8101851851851852E-2</v>
      </c>
      <c r="E2959" s="3">
        <f>4231/(60*60*24)</f>
        <v>4.8969907407407406E-2</v>
      </c>
      <c r="F2959" s="5">
        <f>14202/(60*60*24)</f>
        <v>0.16437499999999999</v>
      </c>
      <c r="G2959" s="7" t="s">
        <v>9</v>
      </c>
    </row>
    <row r="2960" spans="1:7" x14ac:dyDescent="0.45">
      <c r="A2960" t="s">
        <v>3055</v>
      </c>
      <c r="B2960" s="2" t="s">
        <v>120</v>
      </c>
      <c r="C2960" s="5">
        <f>5351/(60*60*24)</f>
        <v>6.1932870370370367E-2</v>
      </c>
      <c r="D2960" s="4">
        <f>1496/(60*60*24)</f>
        <v>1.7314814814814814E-2</v>
      </c>
      <c r="E2960" s="3">
        <f>4158/(60*60*24)</f>
        <v>4.8125000000000001E-2</v>
      </c>
      <c r="F2960" s="6">
        <f>14883/(60*60*24)</f>
        <v>0.17225694444444445</v>
      </c>
      <c r="G2960" s="7" t="s">
        <v>9</v>
      </c>
    </row>
    <row r="2961" spans="1:7" x14ac:dyDescent="0.45">
      <c r="A2961" t="s">
        <v>3056</v>
      </c>
      <c r="B2961" s="2" t="s">
        <v>118</v>
      </c>
      <c r="C2961" s="8" t="s">
        <v>12</v>
      </c>
      <c r="D2961" s="4">
        <f>1706/(60*60*24)</f>
        <v>1.9745370370370371E-2</v>
      </c>
      <c r="E2961" s="3">
        <f>4413/(60*60*24)</f>
        <v>5.1076388888888886E-2</v>
      </c>
      <c r="F2961" s="5">
        <f>15208/(60*60*24)</f>
        <v>0.17601851851851852</v>
      </c>
      <c r="G2961" s="7" t="s">
        <v>9</v>
      </c>
    </row>
    <row r="2962" spans="1:7" x14ac:dyDescent="0.45">
      <c r="A2962" t="s">
        <v>3057</v>
      </c>
      <c r="B2962" s="2" t="s">
        <v>124</v>
      </c>
      <c r="C2962" s="5">
        <f>5114/(60*60*24)</f>
        <v>5.9189814814814813E-2</v>
      </c>
      <c r="D2962" s="4">
        <f>1585/(60*60*24)</f>
        <v>1.8344907407407407E-2</v>
      </c>
      <c r="E2962" s="3">
        <f>4340/(60*60*24)</f>
        <v>5.0231481481481481E-2</v>
      </c>
      <c r="F2962" s="6">
        <f>15399/(60*60*24)</f>
        <v>0.17822916666666666</v>
      </c>
      <c r="G2962" s="7" t="s">
        <v>9</v>
      </c>
    </row>
    <row r="2963" spans="1:7" x14ac:dyDescent="0.45">
      <c r="A2963" t="s">
        <v>3058</v>
      </c>
      <c r="B2963" s="2" t="s">
        <v>122</v>
      </c>
      <c r="C2963" s="5">
        <f>4741/(60*60*24)</f>
        <v>5.4872685185185184E-2</v>
      </c>
      <c r="D2963" s="4">
        <f>1660/(60*60*24)</f>
        <v>1.9212962962962963E-2</v>
      </c>
      <c r="E2963" s="3">
        <f>4521/(60*60*24)</f>
        <v>5.2326388888888888E-2</v>
      </c>
      <c r="F2963" s="6">
        <f>16334/(60*60*24)</f>
        <v>0.18905092592592593</v>
      </c>
      <c r="G2963" s="7" t="s">
        <v>9</v>
      </c>
    </row>
    <row r="2964" spans="1:7" x14ac:dyDescent="0.45">
      <c r="A2964" t="s">
        <v>3059</v>
      </c>
      <c r="B2964" s="2" t="s">
        <v>126</v>
      </c>
      <c r="C2964" s="5">
        <f>5076/(60*60*24)</f>
        <v>5.8749999999999997E-2</v>
      </c>
      <c r="D2964" s="4">
        <f>1759/(60*60*24)</f>
        <v>2.0358796296296295E-2</v>
      </c>
      <c r="E2964" s="3">
        <f>5011/(60*60*24)</f>
        <v>5.7997685185185187E-2</v>
      </c>
      <c r="F2964" s="6">
        <f>16751/(60*60*24)</f>
        <v>0.19387731481481482</v>
      </c>
      <c r="G2964" s="7" t="s">
        <v>9</v>
      </c>
    </row>
    <row r="2965" spans="1:7" x14ac:dyDescent="0.45">
      <c r="A2965" t="s">
        <v>3060</v>
      </c>
      <c r="B2965" s="2" t="s">
        <v>128</v>
      </c>
      <c r="C2965" s="3">
        <f>5019/(60*60*24)</f>
        <v>5.8090277777777775E-2</v>
      </c>
      <c r="D2965" s="4">
        <f>2031/(60*60*24)</f>
        <v>2.3506944444444445E-2</v>
      </c>
      <c r="E2965" s="5">
        <f>5197/(60*60*24)</f>
        <v>6.0150462962962961E-2</v>
      </c>
      <c r="F2965" s="6">
        <f>18178/(60*60*24)</f>
        <v>0.21039351851851851</v>
      </c>
      <c r="G2965" s="7" t="s">
        <v>9</v>
      </c>
    </row>
    <row r="2966" spans="1:7" x14ac:dyDescent="0.45">
      <c r="A2966" t="s">
        <v>3061</v>
      </c>
      <c r="B2966" s="2" t="s">
        <v>130</v>
      </c>
      <c r="C2966" s="3">
        <f>4480/(60*60*24)</f>
        <v>5.185185185185185E-2</v>
      </c>
      <c r="D2966" s="4">
        <f>1867/(60*60*24)</f>
        <v>2.1608796296296296E-2</v>
      </c>
      <c r="E2966" s="5">
        <f>5009/(60*60*24)</f>
        <v>5.797453703703704E-2</v>
      </c>
      <c r="F2966" s="6">
        <f>17437/(60*60*24)</f>
        <v>0.20181712962962964</v>
      </c>
      <c r="G2966" s="7" t="s">
        <v>9</v>
      </c>
    </row>
    <row r="2967" spans="1:7" x14ac:dyDescent="0.45">
      <c r="A2967" t="s">
        <v>3062</v>
      </c>
      <c r="B2967" s="2" t="s">
        <v>132</v>
      </c>
      <c r="C2967" s="8" t="s">
        <v>12</v>
      </c>
      <c r="D2967" s="4">
        <f>2053/(60*60*24)</f>
        <v>2.3761574074074074E-2</v>
      </c>
      <c r="E2967" s="3">
        <f>5343/(60*60*24)</f>
        <v>6.1840277777777779E-2</v>
      </c>
      <c r="F2967" s="5">
        <f>17860/(60*60*24)</f>
        <v>0.20671296296296296</v>
      </c>
      <c r="G2967" s="7" t="s">
        <v>9</v>
      </c>
    </row>
    <row r="2968" spans="1:7" x14ac:dyDescent="0.45">
      <c r="A2968" t="s">
        <v>3063</v>
      </c>
      <c r="B2968" s="2" t="s">
        <v>134</v>
      </c>
      <c r="C2968" s="3">
        <f>5352/(60*60*24)</f>
        <v>6.1944444444444448E-2</v>
      </c>
      <c r="D2968" s="4">
        <f>2216/(60*60*24)</f>
        <v>2.5648148148148149E-2</v>
      </c>
      <c r="E2968" s="5">
        <f>5492/(60*60*24)</f>
        <v>6.356481481481481E-2</v>
      </c>
      <c r="F2968" s="6">
        <f>18838/(60*60*24)</f>
        <v>0.2180324074074074</v>
      </c>
      <c r="G2968" s="7" t="s">
        <v>9</v>
      </c>
    </row>
    <row r="2969" spans="1:7" x14ac:dyDescent="0.45">
      <c r="A2969" t="s">
        <v>3064</v>
      </c>
      <c r="B2969" s="2" t="s">
        <v>136</v>
      </c>
      <c r="C2969" s="8" t="s">
        <v>12</v>
      </c>
      <c r="D2969" s="4">
        <f>2163/(60*60*24)</f>
        <v>2.5034722222222222E-2</v>
      </c>
      <c r="E2969" s="3">
        <f>5422/(60*60*24)</f>
        <v>6.2754629629629632E-2</v>
      </c>
      <c r="F2969" s="5">
        <f>18260/(60*60*24)</f>
        <v>0.21134259259259258</v>
      </c>
      <c r="G2969" s="7" t="s">
        <v>9</v>
      </c>
    </row>
    <row r="2970" spans="1:7" x14ac:dyDescent="0.45">
      <c r="A2970" t="s">
        <v>3065</v>
      </c>
      <c r="B2970" s="2" t="s">
        <v>140</v>
      </c>
      <c r="C2970" s="3">
        <f>4458/(60*60*24)</f>
        <v>5.1597222222222225E-2</v>
      </c>
      <c r="D2970" s="4">
        <f>2353/(60*60*24)</f>
        <v>2.7233796296296298E-2</v>
      </c>
      <c r="E2970" s="5">
        <f>5940/(60*60*24)</f>
        <v>6.8750000000000006E-2</v>
      </c>
      <c r="F2970" s="6">
        <f>19928/(60*60*24)</f>
        <v>0.23064814814814816</v>
      </c>
      <c r="G2970" s="7" t="s">
        <v>9</v>
      </c>
    </row>
    <row r="2971" spans="1:7" x14ac:dyDescent="0.45">
      <c r="A2971" t="s">
        <v>3066</v>
      </c>
      <c r="B2971" s="2" t="s">
        <v>138</v>
      </c>
      <c r="C2971" s="8" t="s">
        <v>12</v>
      </c>
      <c r="D2971" s="4">
        <f>2372/(60*60*24)</f>
        <v>2.7453703703703702E-2</v>
      </c>
      <c r="E2971" s="3">
        <f>5945/(60*60*24)</f>
        <v>6.8807870370370366E-2</v>
      </c>
      <c r="F2971" s="5">
        <f>19523/(60*60*24)</f>
        <v>0.22596064814814815</v>
      </c>
      <c r="G2971" s="7" t="s">
        <v>9</v>
      </c>
    </row>
    <row r="2972" spans="1:7" x14ac:dyDescent="0.45">
      <c r="A2972" t="s">
        <v>3067</v>
      </c>
      <c r="B2972" s="2" t="s">
        <v>144</v>
      </c>
      <c r="C2972" s="3">
        <f>5370/(60*60*24)</f>
        <v>6.2152777777777779E-2</v>
      </c>
      <c r="D2972" s="4">
        <f>2577/(60*60*24)</f>
        <v>2.9826388888888888E-2</v>
      </c>
      <c r="E2972" s="5">
        <f>6545/(60*60*24)</f>
        <v>7.5752314814814814E-2</v>
      </c>
      <c r="F2972" s="6">
        <f>21519/(60*60*24)</f>
        <v>0.24906249999999999</v>
      </c>
      <c r="G2972" s="7" t="s">
        <v>9</v>
      </c>
    </row>
    <row r="2973" spans="1:7" x14ac:dyDescent="0.45">
      <c r="A2973" t="s">
        <v>3068</v>
      </c>
      <c r="B2973" s="2" t="s">
        <v>142</v>
      </c>
      <c r="C2973" s="8" t="s">
        <v>12</v>
      </c>
      <c r="D2973" s="4">
        <f>2523/(60*60*24)</f>
        <v>2.9201388888888888E-2</v>
      </c>
      <c r="E2973" s="3">
        <f>6217/(60*60*24)</f>
        <v>7.1956018518518516E-2</v>
      </c>
      <c r="F2973" s="5">
        <f>20651/(60*60*24)</f>
        <v>0.23901620370370372</v>
      </c>
      <c r="G2973" s="7" t="s">
        <v>9</v>
      </c>
    </row>
    <row r="2974" spans="1:7" x14ac:dyDescent="0.45">
      <c r="A2974" t="s">
        <v>3069</v>
      </c>
      <c r="B2974" s="2" t="s">
        <v>146</v>
      </c>
      <c r="C2974" s="3">
        <f>4885/(60*60*24)</f>
        <v>5.6539351851851855E-2</v>
      </c>
      <c r="D2974" s="4">
        <f>2538/(60*60*24)</f>
        <v>2.9374999999999998E-2</v>
      </c>
      <c r="E2974" s="5">
        <f>6600/(60*60*24)</f>
        <v>7.6388888888888895E-2</v>
      </c>
      <c r="F2974" s="6">
        <f>22335/(60*60*24)</f>
        <v>0.25850694444444444</v>
      </c>
      <c r="G2974" s="7" t="s">
        <v>9</v>
      </c>
    </row>
    <row r="2975" spans="1:7" x14ac:dyDescent="0.45">
      <c r="A2975" t="s">
        <v>3070</v>
      </c>
      <c r="B2975" s="2" t="s">
        <v>148</v>
      </c>
      <c r="C2975" s="3">
        <f>5648/(60*60*24)</f>
        <v>6.537037037037037E-2</v>
      </c>
      <c r="D2975" s="4">
        <f>2492/(60*60*24)</f>
        <v>2.8842592592592593E-2</v>
      </c>
      <c r="E2975" s="5">
        <f>6567/(60*60*24)</f>
        <v>7.6006944444444446E-2</v>
      </c>
      <c r="F2975" s="6">
        <f>22710/(60*60*24)</f>
        <v>0.26284722222222223</v>
      </c>
      <c r="G2975" s="7" t="s">
        <v>9</v>
      </c>
    </row>
    <row r="2976" spans="1:7" x14ac:dyDescent="0.45">
      <c r="A2976" t="s">
        <v>3071</v>
      </c>
      <c r="B2976" s="2" t="s">
        <v>150</v>
      </c>
      <c r="C2976" s="3">
        <f>5258/(60*60*24)</f>
        <v>6.0856481481481484E-2</v>
      </c>
      <c r="D2976" s="4">
        <f>2571/(60*60*24)</f>
        <v>2.9756944444444444E-2</v>
      </c>
      <c r="E2976" s="5">
        <f>6785/(60*60*24)</f>
        <v>7.8530092592592596E-2</v>
      </c>
      <c r="F2976" s="6">
        <f>23372/(60*60*24)</f>
        <v>0.27050925925925928</v>
      </c>
      <c r="G2976" s="7" t="s">
        <v>9</v>
      </c>
    </row>
    <row r="2977" spans="1:7" x14ac:dyDescent="0.45">
      <c r="A2977" t="s">
        <v>3072</v>
      </c>
      <c r="B2977" s="2" t="s">
        <v>152</v>
      </c>
      <c r="C2977" s="3">
        <f>5689/(60*60*24)</f>
        <v>6.5844907407407408E-2</v>
      </c>
      <c r="D2977" s="4">
        <f>2669/(60*60*24)</f>
        <v>3.0891203703703702E-2</v>
      </c>
      <c r="E2977" s="5">
        <f>6988/(60*60*24)</f>
        <v>8.0879629629629635E-2</v>
      </c>
      <c r="F2977" s="6">
        <f>24108/(60*60*24)</f>
        <v>0.27902777777777776</v>
      </c>
      <c r="G2977" s="7" t="s">
        <v>9</v>
      </c>
    </row>
    <row r="2978" spans="1:7" x14ac:dyDescent="0.45">
      <c r="A2978" t="s">
        <v>3073</v>
      </c>
      <c r="B2978" s="2" t="s">
        <v>154</v>
      </c>
      <c r="C2978" s="8" t="s">
        <v>12</v>
      </c>
      <c r="D2978" s="4">
        <f>2748/(60*60*24)</f>
        <v>3.1805555555555552E-2</v>
      </c>
      <c r="E2978" s="3">
        <f>7234/(60*60*24)</f>
        <v>8.3726851851851858E-2</v>
      </c>
      <c r="F2978" s="5">
        <f>24722/(60*60*24)</f>
        <v>0.28613425925925928</v>
      </c>
      <c r="G2978" s="7" t="s">
        <v>9</v>
      </c>
    </row>
    <row r="2979" spans="1:7" x14ac:dyDescent="0.45">
      <c r="A2979" t="s">
        <v>3074</v>
      </c>
      <c r="B2979" s="2" t="s">
        <v>156</v>
      </c>
      <c r="C2979" s="8" t="s">
        <v>12</v>
      </c>
      <c r="D2979" s="4">
        <f>2834/(60*60*24)</f>
        <v>3.2800925925925928E-2</v>
      </c>
      <c r="E2979" s="3">
        <f>7534/(60*60*24)</f>
        <v>8.7199074074074068E-2</v>
      </c>
      <c r="F2979" s="5">
        <f>24610/(60*60*24)</f>
        <v>0.28483796296296299</v>
      </c>
      <c r="G2979" s="7" t="s">
        <v>9</v>
      </c>
    </row>
    <row r="2980" spans="1:7" x14ac:dyDescent="0.45">
      <c r="A2980" t="s">
        <v>3075</v>
      </c>
      <c r="B2980" s="2" t="s">
        <v>160</v>
      </c>
      <c r="C2980" s="5">
        <f>10315/(60*60*24)</f>
        <v>0.11938657407407408</v>
      </c>
      <c r="D2980" s="4">
        <f>2841/(60*60*24)</f>
        <v>3.2881944444444443E-2</v>
      </c>
      <c r="E2980" s="3">
        <f>7658/(60*60*24)</f>
        <v>8.863425925925926E-2</v>
      </c>
      <c r="F2980" s="6">
        <f>26713/(60*60*24)</f>
        <v>0.30917824074074074</v>
      </c>
      <c r="G2980" s="7" t="s">
        <v>9</v>
      </c>
    </row>
    <row r="2981" spans="1:7" x14ac:dyDescent="0.45">
      <c r="A2981" t="s">
        <v>3076</v>
      </c>
      <c r="B2981" s="2" t="s">
        <v>158</v>
      </c>
      <c r="C2981" s="5">
        <f>10417/(60*60*24)</f>
        <v>0.12056712962962964</v>
      </c>
      <c r="D2981" s="4">
        <f>2956/(60*60*24)</f>
        <v>3.4212962962962966E-2</v>
      </c>
      <c r="E2981" s="3">
        <f>7805/(60*60*24)</f>
        <v>9.0335648148148151E-2</v>
      </c>
      <c r="F2981" s="6">
        <f>27349/(60*60*24)</f>
        <v>0.31653935185185184</v>
      </c>
      <c r="G2981" s="7" t="s">
        <v>9</v>
      </c>
    </row>
    <row r="2982" spans="1:7" x14ac:dyDescent="0.45">
      <c r="A2982" t="s">
        <v>3077</v>
      </c>
      <c r="B2982" s="2" t="s">
        <v>162</v>
      </c>
      <c r="C2982" s="5">
        <f>9888/(60*60*24)</f>
        <v>0.11444444444444445</v>
      </c>
      <c r="D2982" s="4">
        <f>2914/(60*60*24)</f>
        <v>3.3726851851851855E-2</v>
      </c>
      <c r="E2982" s="3">
        <f>8109/(60*60*24)</f>
        <v>9.3854166666666669E-2</v>
      </c>
      <c r="F2982" s="6">
        <f>28220/(60*60*24)</f>
        <v>0.32662037037037039</v>
      </c>
      <c r="G2982" s="7" t="s">
        <v>9</v>
      </c>
    </row>
    <row r="2983" spans="1:7" x14ac:dyDescent="0.45">
      <c r="A2983" t="s">
        <v>3078</v>
      </c>
      <c r="B2983" s="2" t="s">
        <v>164</v>
      </c>
      <c r="C2983" s="5">
        <f>10372/(60*60*24)</f>
        <v>0.12004629629629629</v>
      </c>
      <c r="D2983" s="4">
        <f>3051/(60*60*24)</f>
        <v>3.5312499999999997E-2</v>
      </c>
      <c r="E2983" s="3">
        <f>8393/(60*60*24)</f>
        <v>9.7141203703703702E-2</v>
      </c>
      <c r="F2983" s="6">
        <f>28224/(60*60*24)</f>
        <v>0.32666666666666666</v>
      </c>
      <c r="G2983" s="7" t="s">
        <v>9</v>
      </c>
    </row>
    <row r="2984" spans="1:7" x14ac:dyDescent="0.45">
      <c r="A2984" t="s">
        <v>3079</v>
      </c>
      <c r="B2984" s="2" t="s">
        <v>168</v>
      </c>
      <c r="C2984" s="8" t="s">
        <v>12</v>
      </c>
      <c r="D2984" s="4">
        <f>3057/(60*60*24)</f>
        <v>3.5381944444444445E-2</v>
      </c>
      <c r="E2984" s="3">
        <f>8361/(60*60*24)</f>
        <v>9.6770833333333334E-2</v>
      </c>
      <c r="F2984" s="5">
        <f>28421/(60*60*24)</f>
        <v>0.32894675925925926</v>
      </c>
      <c r="G2984" s="7" t="s">
        <v>9</v>
      </c>
    </row>
    <row r="2985" spans="1:7" x14ac:dyDescent="0.45">
      <c r="A2985" t="s">
        <v>3080</v>
      </c>
      <c r="B2985" s="2" t="s">
        <v>166</v>
      </c>
      <c r="C2985" s="8" t="s">
        <v>12</v>
      </c>
      <c r="D2985" s="4">
        <f>3004/(60*60*24)</f>
        <v>3.4768518518518518E-2</v>
      </c>
      <c r="E2985" s="3">
        <f>8674/(60*60*24)</f>
        <v>0.10039351851851852</v>
      </c>
      <c r="F2985" s="5">
        <f>29034/(60*60*24)</f>
        <v>0.33604166666666668</v>
      </c>
      <c r="G2985" s="7" t="s">
        <v>9</v>
      </c>
    </row>
    <row r="2986" spans="1:7" x14ac:dyDescent="0.45">
      <c r="A2986" t="s">
        <v>3081</v>
      </c>
      <c r="B2986" s="2" t="s">
        <v>170</v>
      </c>
      <c r="C2986" s="8" t="s">
        <v>12</v>
      </c>
      <c r="D2986" s="4">
        <f>3013/(60*60*24)</f>
        <v>3.4872685185185187E-2</v>
      </c>
      <c r="E2986" s="3">
        <f>8771/(60*60*24)</f>
        <v>0.10151620370370371</v>
      </c>
      <c r="F2986" s="5">
        <f>30045/(60*60*24)</f>
        <v>0.34774305555555557</v>
      </c>
      <c r="G2986" s="7" t="s">
        <v>9</v>
      </c>
    </row>
    <row r="2987" spans="1:7" x14ac:dyDescent="0.45">
      <c r="A2987" t="s">
        <v>3082</v>
      </c>
      <c r="B2987" s="2" t="s">
        <v>172</v>
      </c>
      <c r="C2987" s="8" t="s">
        <v>12</v>
      </c>
      <c r="D2987" s="4">
        <f>3108/(60*60*24)</f>
        <v>3.5972222222222225E-2</v>
      </c>
      <c r="E2987" s="3">
        <f>8772/(60*60*24)</f>
        <v>0.10152777777777777</v>
      </c>
      <c r="F2987" s="5">
        <f>30119/(60*60*24)</f>
        <v>0.34859953703703705</v>
      </c>
      <c r="G2987" s="7" t="s">
        <v>9</v>
      </c>
    </row>
    <row r="2988" spans="1:7" x14ac:dyDescent="0.45">
      <c r="A2988" t="s">
        <v>3083</v>
      </c>
      <c r="B2988" s="2" t="s">
        <v>174</v>
      </c>
      <c r="C2988" s="3">
        <f>9132/(60*60*24)</f>
        <v>0.10569444444444444</v>
      </c>
      <c r="D2988" s="4">
        <f>3194/(60*60*24)</f>
        <v>3.6967592592592594E-2</v>
      </c>
      <c r="E2988" s="5">
        <f>10840/(60*60*24)</f>
        <v>0.12546296296296297</v>
      </c>
      <c r="F2988" s="6">
        <f>36560/(60*60*24)</f>
        <v>0.42314814814814816</v>
      </c>
      <c r="G2988" s="7" t="s">
        <v>9</v>
      </c>
    </row>
    <row r="2989" spans="1:7" x14ac:dyDescent="0.45">
      <c r="A2989" t="s">
        <v>3084</v>
      </c>
      <c r="B2989" s="2" t="s">
        <v>176</v>
      </c>
      <c r="C2989" s="8" t="s">
        <v>12</v>
      </c>
      <c r="D2989" s="4">
        <f>3070/(60*60*24)</f>
        <v>3.5532407407407408E-2</v>
      </c>
      <c r="E2989" s="3">
        <f>9091/(60*60*24)</f>
        <v>0.1052199074074074</v>
      </c>
      <c r="F2989" s="5">
        <f>31383/(60*60*24)</f>
        <v>0.36322916666666666</v>
      </c>
      <c r="G2989" s="7" t="s">
        <v>9</v>
      </c>
    </row>
    <row r="2990" spans="1:7" x14ac:dyDescent="0.45">
      <c r="A2990" t="s">
        <v>3085</v>
      </c>
      <c r="B2990" s="2" t="s">
        <v>180</v>
      </c>
      <c r="C2990" s="3">
        <f>9040/(60*60*24)</f>
        <v>0.10462962962962963</v>
      </c>
      <c r="D2990" s="4">
        <f>3564/(60*60*24)</f>
        <v>4.1250000000000002E-2</v>
      </c>
      <c r="E2990" s="5">
        <f>10537/(60*60*24)</f>
        <v>0.12195601851851852</v>
      </c>
      <c r="F2990" s="6">
        <f>35978/(60*60*24)</f>
        <v>0.41641203703703705</v>
      </c>
      <c r="G2990" s="7" t="s">
        <v>9</v>
      </c>
    </row>
    <row r="2991" spans="1:7" x14ac:dyDescent="0.45">
      <c r="A2991" t="s">
        <v>3086</v>
      </c>
      <c r="B2991" s="2" t="s">
        <v>178</v>
      </c>
      <c r="C2991" s="3">
        <f>8984/(60*60*24)</f>
        <v>0.10398148148148148</v>
      </c>
      <c r="D2991" s="4">
        <f>3636/(60*60*24)</f>
        <v>4.2083333333333334E-2</v>
      </c>
      <c r="E2991" s="5">
        <f>10615/(60*60*24)</f>
        <v>0.1228587962962963</v>
      </c>
      <c r="F2991" s="6">
        <f>35996/(60*60*24)</f>
        <v>0.41662037037037036</v>
      </c>
      <c r="G2991" s="7" t="s">
        <v>9</v>
      </c>
    </row>
    <row r="2992" spans="1:7" x14ac:dyDescent="0.45">
      <c r="A2992" t="s">
        <v>3087</v>
      </c>
      <c r="B2992" s="2" t="s">
        <v>182</v>
      </c>
      <c r="C2992" s="3">
        <f>7723/(60*60*24)</f>
        <v>8.9386574074074077E-2</v>
      </c>
      <c r="D2992" s="4">
        <f>3482/(60*60*24)</f>
        <v>4.0300925925925928E-2</v>
      </c>
      <c r="E2992" s="5">
        <f>10557/(60*60*24)</f>
        <v>0.1221875</v>
      </c>
      <c r="F2992" s="6">
        <f>36029/(60*60*24)</f>
        <v>0.41700231481481481</v>
      </c>
      <c r="G2992" s="7" t="s">
        <v>9</v>
      </c>
    </row>
    <row r="2993" spans="1:7" x14ac:dyDescent="0.45">
      <c r="A2993" t="s">
        <v>3088</v>
      </c>
      <c r="B2993" s="2" t="s">
        <v>184</v>
      </c>
      <c r="C2993" s="3">
        <f>7094/(60*60*24)</f>
        <v>8.2106481481481475E-2</v>
      </c>
      <c r="D2993" s="4">
        <f>3428/(60*60*24)</f>
        <v>3.9675925925925927E-2</v>
      </c>
      <c r="E2993" s="5">
        <f>10385/(60*60*24)</f>
        <v>0.12019675925925925</v>
      </c>
      <c r="F2993" s="6">
        <f>35664/(60*60*24)</f>
        <v>0.4127777777777778</v>
      </c>
      <c r="G2993" s="7" t="s">
        <v>9</v>
      </c>
    </row>
    <row r="2994" spans="1:7" x14ac:dyDescent="0.45">
      <c r="A2994" t="s">
        <v>3089</v>
      </c>
      <c r="B2994" s="2" t="s">
        <v>8</v>
      </c>
      <c r="C2994" s="3">
        <f>8749/(60*60*24)</f>
        <v>0.10126157407407407</v>
      </c>
      <c r="D2994" s="4">
        <f>2679/(60*60*24)</f>
        <v>3.1006944444444445E-2</v>
      </c>
      <c r="E2994" s="5">
        <f>10022/(60*60*24)</f>
        <v>0.11599537037037037</v>
      </c>
      <c r="F2994" s="6">
        <f>34334/(60*60*24)</f>
        <v>0.39738425925925924</v>
      </c>
      <c r="G2994" s="7" t="s">
        <v>9</v>
      </c>
    </row>
    <row r="2995" spans="1:7" x14ac:dyDescent="0.45">
      <c r="A2995" t="s">
        <v>3090</v>
      </c>
      <c r="B2995" s="2" t="s">
        <v>11</v>
      </c>
      <c r="C2995" s="3">
        <f>7588/(60*60*24)</f>
        <v>8.7824074074074068E-2</v>
      </c>
      <c r="D2995" s="4">
        <f>2590/(60*60*24)</f>
        <v>2.9976851851851852E-2</v>
      </c>
      <c r="E2995" s="5">
        <f>9680/(60*60*24)</f>
        <v>0.11203703703703703</v>
      </c>
      <c r="F2995" s="6">
        <f>33346/(60*60*24)</f>
        <v>0.38594907407407408</v>
      </c>
      <c r="G2995" s="7" t="s">
        <v>9</v>
      </c>
    </row>
    <row r="2996" spans="1:7" x14ac:dyDescent="0.45">
      <c r="A2996" t="s">
        <v>3091</v>
      </c>
      <c r="B2996" s="2" t="s">
        <v>14</v>
      </c>
      <c r="C2996" s="3">
        <f>7805/(60*60*24)</f>
        <v>9.0335648148148151E-2</v>
      </c>
      <c r="D2996" s="4">
        <f>2466/(60*60*24)</f>
        <v>2.8541666666666667E-2</v>
      </c>
      <c r="E2996" s="5">
        <f>9517/(60*60*24)</f>
        <v>0.11015046296296296</v>
      </c>
      <c r="F2996" s="6">
        <f>32786/(60*60*24)</f>
        <v>0.37946759259259261</v>
      </c>
      <c r="G2996" s="7" t="s">
        <v>9</v>
      </c>
    </row>
    <row r="2997" spans="1:7" x14ac:dyDescent="0.45">
      <c r="A2997" t="s">
        <v>3092</v>
      </c>
      <c r="B2997" s="2" t="s">
        <v>16</v>
      </c>
      <c r="C2997" s="8" t="s">
        <v>12</v>
      </c>
      <c r="D2997" s="4">
        <f>2511/(60*60*24)</f>
        <v>2.9062500000000002E-2</v>
      </c>
      <c r="E2997" s="3">
        <f>9312/(60*60*24)</f>
        <v>0.10777777777777778</v>
      </c>
      <c r="F2997" s="5">
        <f>32049/(60*60*24)</f>
        <v>0.37093749999999998</v>
      </c>
      <c r="G2997" s="7" t="s">
        <v>9</v>
      </c>
    </row>
    <row r="2998" spans="1:7" x14ac:dyDescent="0.45">
      <c r="A2998" t="s">
        <v>3093</v>
      </c>
      <c r="B2998" s="2" t="s">
        <v>18</v>
      </c>
      <c r="C2998" s="8" t="s">
        <v>12</v>
      </c>
      <c r="D2998" s="4">
        <f>2449/(60*60*24)</f>
        <v>2.8344907407407409E-2</v>
      </c>
      <c r="E2998" s="3">
        <f>9249/(60*60*24)</f>
        <v>0.10704861111111111</v>
      </c>
      <c r="F2998" s="5">
        <f>31677/(60*60*24)</f>
        <v>0.36663194444444447</v>
      </c>
      <c r="G2998" s="7" t="s">
        <v>9</v>
      </c>
    </row>
    <row r="2999" spans="1:7" x14ac:dyDescent="0.45">
      <c r="A2999" t="s">
        <v>3094</v>
      </c>
      <c r="B2999" s="2" t="s">
        <v>20</v>
      </c>
      <c r="C2999" s="8" t="s">
        <v>12</v>
      </c>
      <c r="D2999" s="4">
        <f>2321/(60*60*24)</f>
        <v>2.6863425925925926E-2</v>
      </c>
      <c r="E2999" s="3">
        <f>9065/(60*60*24)</f>
        <v>0.10491898148148149</v>
      </c>
      <c r="F2999" s="5">
        <f>31214/(60*60*24)</f>
        <v>0.36127314814814815</v>
      </c>
      <c r="G2999" s="7" t="s">
        <v>9</v>
      </c>
    </row>
    <row r="3000" spans="1:7" x14ac:dyDescent="0.45">
      <c r="A3000" t="s">
        <v>3095</v>
      </c>
      <c r="B3000" s="2" t="s">
        <v>24</v>
      </c>
      <c r="C3000" s="3">
        <f>8989/(60*60*24)</f>
        <v>0.10403935185185186</v>
      </c>
      <c r="D3000" s="4">
        <f>2315/(60*60*24)</f>
        <v>2.6793981481481481E-2</v>
      </c>
      <c r="E3000" s="5">
        <f>9006/(60*60*24)</f>
        <v>0.10423611111111111</v>
      </c>
      <c r="F3000" s="6">
        <f>29898/(60*60*24)</f>
        <v>0.34604166666666669</v>
      </c>
      <c r="G3000" s="7" t="s">
        <v>9</v>
      </c>
    </row>
    <row r="3001" spans="1:7" x14ac:dyDescent="0.45">
      <c r="A3001" t="s">
        <v>3096</v>
      </c>
      <c r="B3001" s="2" t="s">
        <v>22</v>
      </c>
      <c r="C3001" s="8" t="s">
        <v>12</v>
      </c>
      <c r="D3001" s="4">
        <f>2244/(60*60*24)</f>
        <v>2.5972222222222223E-2</v>
      </c>
      <c r="E3001" s="3">
        <f>8896/(60*60*24)</f>
        <v>0.10296296296296296</v>
      </c>
      <c r="F3001" s="5">
        <f>30625/(60*60*24)</f>
        <v>0.35445601851851855</v>
      </c>
      <c r="G3001" s="7" t="s">
        <v>9</v>
      </c>
    </row>
    <row r="3002" spans="1:7" x14ac:dyDescent="0.45">
      <c r="A3002" t="s">
        <v>3097</v>
      </c>
      <c r="B3002" s="2" t="s">
        <v>26</v>
      </c>
      <c r="C3002" s="3">
        <f>6696/(60*60*24)</f>
        <v>7.7499999999999999E-2</v>
      </c>
      <c r="D3002" s="4">
        <f>2255/(60*60*24)</f>
        <v>2.6099537037037036E-2</v>
      </c>
      <c r="E3002" s="5">
        <f>8828/(60*60*24)</f>
        <v>0.10217592592592592</v>
      </c>
      <c r="F3002" s="6">
        <f>29108/(60*60*24)</f>
        <v>0.33689814814814817</v>
      </c>
      <c r="G3002" s="7" t="s">
        <v>9</v>
      </c>
    </row>
    <row r="3003" spans="1:7" x14ac:dyDescent="0.45">
      <c r="A3003" t="s">
        <v>3098</v>
      </c>
      <c r="B3003" s="2" t="s">
        <v>28</v>
      </c>
      <c r="C3003" s="8" t="s">
        <v>12</v>
      </c>
      <c r="D3003" s="4">
        <f>2323/(60*60*24)</f>
        <v>2.6886574074074073E-2</v>
      </c>
      <c r="E3003" s="3">
        <f>8646/(60*60*24)</f>
        <v>0.10006944444444445</v>
      </c>
      <c r="F3003" s="5">
        <f>28324/(60*60*24)</f>
        <v>0.3278240740740741</v>
      </c>
      <c r="G3003" s="7" t="s">
        <v>9</v>
      </c>
    </row>
    <row r="3004" spans="1:7" x14ac:dyDescent="0.45">
      <c r="A3004" t="s">
        <v>3099</v>
      </c>
      <c r="B3004" s="2" t="s">
        <v>32</v>
      </c>
      <c r="C3004" s="3">
        <f>6259/(60*60*24)</f>
        <v>7.2442129629629634E-2</v>
      </c>
      <c r="D3004" s="4">
        <f>2575/(60*60*24)</f>
        <v>2.9803240740740741E-2</v>
      </c>
      <c r="E3004" s="5">
        <f>8118/(60*60*24)</f>
        <v>9.3958333333333338E-2</v>
      </c>
      <c r="F3004" s="6">
        <f>27175/(60*60*24)</f>
        <v>0.31452546296296297</v>
      </c>
      <c r="G3004" s="7" t="s">
        <v>9</v>
      </c>
    </row>
    <row r="3005" spans="1:7" x14ac:dyDescent="0.45">
      <c r="A3005" t="s">
        <v>3100</v>
      </c>
      <c r="B3005" s="2" t="s">
        <v>30</v>
      </c>
      <c r="C3005" s="8" t="s">
        <v>12</v>
      </c>
      <c r="D3005" s="4">
        <f>2465/(60*60*24)</f>
        <v>2.8530092592592593E-2</v>
      </c>
      <c r="E3005" s="3">
        <f>8488/(60*60*24)</f>
        <v>9.824074074074074E-2</v>
      </c>
      <c r="F3005" s="5">
        <f>27761/(60*60*24)</f>
        <v>0.3213078703703704</v>
      </c>
      <c r="G3005" s="7" t="s">
        <v>9</v>
      </c>
    </row>
    <row r="3006" spans="1:7" x14ac:dyDescent="0.45">
      <c r="A3006" t="s">
        <v>3101</v>
      </c>
      <c r="B3006" s="2" t="s">
        <v>36</v>
      </c>
      <c r="C3006" s="8" t="s">
        <v>12</v>
      </c>
      <c r="D3006" s="4">
        <f>2690/(60*60*24)</f>
        <v>3.1134259259259261E-2</v>
      </c>
      <c r="E3006" s="3">
        <f>8035/(60*60*24)</f>
        <v>9.2997685185185183E-2</v>
      </c>
      <c r="F3006" s="5">
        <f>26803/(60*60*24)</f>
        <v>0.3102199074074074</v>
      </c>
      <c r="G3006" s="7" t="s">
        <v>9</v>
      </c>
    </row>
    <row r="3007" spans="1:7" x14ac:dyDescent="0.45">
      <c r="A3007" t="s">
        <v>3102</v>
      </c>
      <c r="B3007" s="2" t="s">
        <v>34</v>
      </c>
      <c r="C3007" s="8" t="s">
        <v>12</v>
      </c>
      <c r="D3007" s="4">
        <f>2874/(60*60*24)</f>
        <v>3.3263888888888891E-2</v>
      </c>
      <c r="E3007" s="3">
        <f>8042/(60*60*24)</f>
        <v>9.3078703703703705E-2</v>
      </c>
      <c r="F3007" s="5">
        <f>25780/(60*60*24)</f>
        <v>0.29837962962962961</v>
      </c>
      <c r="G3007" s="7" t="s">
        <v>9</v>
      </c>
    </row>
    <row r="3008" spans="1:7" x14ac:dyDescent="0.45">
      <c r="A3008" t="s">
        <v>3103</v>
      </c>
      <c r="B3008" s="2" t="s">
        <v>38</v>
      </c>
      <c r="C3008" s="8" t="s">
        <v>12</v>
      </c>
      <c r="D3008" s="4">
        <f>3006/(60*60*24)</f>
        <v>3.4791666666666665E-2</v>
      </c>
      <c r="E3008" s="3">
        <f>7576/(60*60*24)</f>
        <v>8.7685185185185185E-2</v>
      </c>
      <c r="F3008" s="5">
        <f>24948/(60*60*24)</f>
        <v>0.28875000000000001</v>
      </c>
      <c r="G3008" s="7" t="s">
        <v>9</v>
      </c>
    </row>
    <row r="3009" spans="1:7" x14ac:dyDescent="0.45">
      <c r="A3009" t="s">
        <v>3104</v>
      </c>
      <c r="B3009" s="2" t="s">
        <v>40</v>
      </c>
      <c r="C3009" s="8" t="s">
        <v>12</v>
      </c>
      <c r="D3009" s="4">
        <f>3214/(60*60*24)</f>
        <v>3.7199074074074072E-2</v>
      </c>
      <c r="E3009" s="3">
        <f>7583/(60*60*24)</f>
        <v>8.7766203703703707E-2</v>
      </c>
      <c r="F3009" s="5">
        <f>24964/(60*60*24)</f>
        <v>0.28893518518518518</v>
      </c>
      <c r="G3009" s="7" t="s">
        <v>9</v>
      </c>
    </row>
    <row r="3010" spans="1:7" x14ac:dyDescent="0.45">
      <c r="A3010" t="s">
        <v>3105</v>
      </c>
      <c r="B3010" s="2" t="s">
        <v>44</v>
      </c>
      <c r="C3010" s="8" t="s">
        <v>12</v>
      </c>
      <c r="D3010" s="4">
        <f>2922/(60*60*24)</f>
        <v>3.3819444444444444E-2</v>
      </c>
      <c r="E3010" s="3">
        <f>7272/(60*60*24)</f>
        <v>8.4166666666666667E-2</v>
      </c>
      <c r="F3010" s="5">
        <f>24359/(60*60*24)</f>
        <v>0.28193287037037035</v>
      </c>
      <c r="G3010" s="7" t="s">
        <v>9</v>
      </c>
    </row>
    <row r="3011" spans="1:7" x14ac:dyDescent="0.45">
      <c r="A3011" t="s">
        <v>3106</v>
      </c>
      <c r="B3011" s="2" t="s">
        <v>42</v>
      </c>
      <c r="C3011" s="8" t="s">
        <v>12</v>
      </c>
      <c r="D3011" s="4">
        <f>2992/(60*60*24)</f>
        <v>3.4629629629629628E-2</v>
      </c>
      <c r="E3011" s="3">
        <f>7258/(60*60*24)</f>
        <v>8.4004629629629624E-2</v>
      </c>
      <c r="F3011" s="5">
        <f>23473/(60*60*24)</f>
        <v>0.27167824074074076</v>
      </c>
      <c r="G3011" s="7" t="s">
        <v>9</v>
      </c>
    </row>
    <row r="3012" spans="1:7" x14ac:dyDescent="0.45">
      <c r="A3012" t="s">
        <v>3107</v>
      </c>
      <c r="B3012" s="2" t="s">
        <v>46</v>
      </c>
      <c r="C3012" s="8" t="s">
        <v>12</v>
      </c>
      <c r="D3012" s="4">
        <f>3096/(60*60*24)</f>
        <v>3.5833333333333335E-2</v>
      </c>
      <c r="E3012" s="3">
        <f>7280/(60*60*24)</f>
        <v>8.4259259259259256E-2</v>
      </c>
      <c r="F3012" s="5">
        <f>22848/(60*60*24)</f>
        <v>0.26444444444444443</v>
      </c>
      <c r="G3012" s="7" t="s">
        <v>9</v>
      </c>
    </row>
    <row r="3013" spans="1:7" x14ac:dyDescent="0.45">
      <c r="A3013" t="s">
        <v>3108</v>
      </c>
      <c r="B3013" s="2" t="s">
        <v>48</v>
      </c>
      <c r="C3013" s="8" t="s">
        <v>12</v>
      </c>
      <c r="D3013" s="4">
        <f>3143/(60*60*24)</f>
        <v>3.6377314814814814E-2</v>
      </c>
      <c r="E3013" s="3">
        <f>7026/(60*60*24)</f>
        <v>8.1319444444444444E-2</v>
      </c>
      <c r="F3013" s="5">
        <f>22352/(60*60*24)</f>
        <v>0.25870370370370371</v>
      </c>
      <c r="G3013" s="7" t="s">
        <v>9</v>
      </c>
    </row>
    <row r="3014" spans="1:7" x14ac:dyDescent="0.45">
      <c r="A3014" t="s">
        <v>3109</v>
      </c>
      <c r="B3014" s="2" t="s">
        <v>50</v>
      </c>
      <c r="C3014" s="8" t="s">
        <v>12</v>
      </c>
      <c r="D3014" s="4">
        <f>2742/(60*60*24)</f>
        <v>3.1736111111111111E-2</v>
      </c>
      <c r="E3014" s="3">
        <f>7013/(60*60*24)</f>
        <v>8.1168981481481481E-2</v>
      </c>
      <c r="F3014" s="5">
        <f>22091/(60*60*24)</f>
        <v>0.25568287037037035</v>
      </c>
      <c r="G3014" s="7" t="s">
        <v>9</v>
      </c>
    </row>
    <row r="3015" spans="1:7" x14ac:dyDescent="0.45">
      <c r="A3015" t="s">
        <v>3110</v>
      </c>
      <c r="B3015" s="2" t="s">
        <v>52</v>
      </c>
      <c r="C3015" s="8" t="s">
        <v>12</v>
      </c>
      <c r="D3015" s="4">
        <f>2655/(60*60*24)</f>
        <v>3.0729166666666665E-2</v>
      </c>
      <c r="E3015" s="3">
        <f>6672/(60*60*24)</f>
        <v>7.722222222222222E-2</v>
      </c>
      <c r="F3015" s="5">
        <f>21997/(60*60*24)</f>
        <v>0.25459490740740742</v>
      </c>
      <c r="G3015" s="7" t="s">
        <v>9</v>
      </c>
    </row>
    <row r="3016" spans="1:7" x14ac:dyDescent="0.45">
      <c r="A3016" t="s">
        <v>3111</v>
      </c>
      <c r="B3016" s="2" t="s">
        <v>54</v>
      </c>
      <c r="C3016" s="3">
        <f>4986/(60*60*24)</f>
        <v>5.7708333333333334E-2</v>
      </c>
      <c r="D3016" s="4">
        <f>2458/(60*60*24)</f>
        <v>2.8449074074074075E-2</v>
      </c>
      <c r="E3016" s="5">
        <f>6626/(60*60*24)</f>
        <v>7.6689814814814808E-2</v>
      </c>
      <c r="F3016" s="6">
        <f>21804/(60*60*24)</f>
        <v>0.25236111111111109</v>
      </c>
      <c r="G3016" s="7" t="s">
        <v>9</v>
      </c>
    </row>
    <row r="3017" spans="1:7" x14ac:dyDescent="0.45">
      <c r="A3017" t="s">
        <v>3112</v>
      </c>
      <c r="B3017" s="2" t="s">
        <v>56</v>
      </c>
      <c r="C3017" s="8" t="s">
        <v>12</v>
      </c>
      <c r="D3017" s="4">
        <f>2297/(60*60*24)</f>
        <v>2.6585648148148146E-2</v>
      </c>
      <c r="E3017" s="3">
        <f>6193/(60*60*24)</f>
        <v>7.1678240740740737E-2</v>
      </c>
      <c r="F3017" s="5">
        <f>20455/(60*60*24)</f>
        <v>0.23674768518518519</v>
      </c>
      <c r="G3017" s="7" t="s">
        <v>9</v>
      </c>
    </row>
    <row r="3018" spans="1:7" x14ac:dyDescent="0.45">
      <c r="A3018" t="s">
        <v>3113</v>
      </c>
      <c r="B3018" s="2" t="s">
        <v>58</v>
      </c>
      <c r="C3018" s="3">
        <f>5794/(60*60*24)</f>
        <v>6.7060185185185181E-2</v>
      </c>
      <c r="D3018" s="4">
        <f>2099/(60*60*24)</f>
        <v>2.4293981481481482E-2</v>
      </c>
      <c r="E3018" s="5">
        <f>6132/(60*60*24)</f>
        <v>7.0972222222222228E-2</v>
      </c>
      <c r="F3018" s="6">
        <f>19552/(60*60*24)</f>
        <v>0.2262962962962963</v>
      </c>
      <c r="G3018" s="7" t="s">
        <v>9</v>
      </c>
    </row>
    <row r="3019" spans="1:7" x14ac:dyDescent="0.45">
      <c r="A3019" t="s">
        <v>3114</v>
      </c>
      <c r="B3019" s="2" t="s">
        <v>60</v>
      </c>
      <c r="C3019" s="3">
        <f>5802/(60*60*24)</f>
        <v>6.7152777777777783E-2</v>
      </c>
      <c r="D3019" s="4">
        <f>2050/(60*60*24)</f>
        <v>2.3726851851851853E-2</v>
      </c>
      <c r="E3019" s="5">
        <f>6058/(60*60*24)</f>
        <v>7.0115740740740742E-2</v>
      </c>
      <c r="F3019" s="6">
        <f>19161/(60*60*24)</f>
        <v>0.22177083333333333</v>
      </c>
      <c r="G3019" s="7" t="s">
        <v>9</v>
      </c>
    </row>
    <row r="3020" spans="1:7" x14ac:dyDescent="0.45">
      <c r="A3020" t="s">
        <v>3115</v>
      </c>
      <c r="B3020" s="2" t="s">
        <v>62</v>
      </c>
      <c r="C3020" s="8" t="s">
        <v>12</v>
      </c>
      <c r="D3020" s="4">
        <f>2102/(60*60*24)</f>
        <v>2.4328703703703703E-2</v>
      </c>
      <c r="E3020" s="3">
        <f>6155/(60*60*24)</f>
        <v>7.1238425925925927E-2</v>
      </c>
      <c r="F3020" s="5">
        <f>19151/(60*60*24)</f>
        <v>0.22165509259259258</v>
      </c>
      <c r="G3020" s="7" t="s">
        <v>9</v>
      </c>
    </row>
    <row r="3021" spans="1:7" x14ac:dyDescent="0.45">
      <c r="A3021" t="s">
        <v>3116</v>
      </c>
      <c r="B3021" s="2" t="s">
        <v>64</v>
      </c>
      <c r="C3021" s="8" t="s">
        <v>12</v>
      </c>
      <c r="D3021" s="4">
        <f>1937/(60*60*24)</f>
        <v>2.2418981481481481E-2</v>
      </c>
      <c r="E3021" s="3">
        <f>5403/(60*60*24)</f>
        <v>6.2534722222222228E-2</v>
      </c>
      <c r="F3021" s="5">
        <f>18612/(60*60*24)</f>
        <v>0.21541666666666667</v>
      </c>
      <c r="G3021" s="7" t="s">
        <v>9</v>
      </c>
    </row>
    <row r="3022" spans="1:7" x14ac:dyDescent="0.45">
      <c r="A3022" t="s">
        <v>3117</v>
      </c>
      <c r="B3022" s="2" t="s">
        <v>68</v>
      </c>
      <c r="C3022" s="3">
        <f>4746/(60*60*24)</f>
        <v>5.4930555555555559E-2</v>
      </c>
      <c r="D3022" s="4">
        <f>1703/(60*60*24)</f>
        <v>1.9710648148148147E-2</v>
      </c>
      <c r="E3022" s="5">
        <f>5373/(60*60*24)</f>
        <v>6.21875E-2</v>
      </c>
      <c r="F3022" s="6">
        <f>17819/(60*60*24)</f>
        <v>0.20623842592592592</v>
      </c>
      <c r="G3022" s="7" t="s">
        <v>9</v>
      </c>
    </row>
    <row r="3023" spans="1:7" x14ac:dyDescent="0.45">
      <c r="A3023" t="s">
        <v>3118</v>
      </c>
      <c r="B3023" s="2" t="s">
        <v>66</v>
      </c>
      <c r="C3023" s="8" t="s">
        <v>12</v>
      </c>
      <c r="D3023" s="4">
        <f>1818/(60*60*24)</f>
        <v>2.1041666666666667E-2</v>
      </c>
      <c r="E3023" s="3">
        <f>5536/(60*60*24)</f>
        <v>6.4074074074074075E-2</v>
      </c>
      <c r="F3023" s="5">
        <f>18084/(60*60*24)</f>
        <v>0.20930555555555555</v>
      </c>
      <c r="G3023" s="7" t="s">
        <v>9</v>
      </c>
    </row>
    <row r="3024" spans="1:7" x14ac:dyDescent="0.45">
      <c r="A3024" t="s">
        <v>3119</v>
      </c>
      <c r="B3024" s="2" t="s">
        <v>70</v>
      </c>
      <c r="C3024" s="3">
        <f>4681/(60*60*24)</f>
        <v>5.4178240740740742E-2</v>
      </c>
      <c r="D3024" s="4">
        <f>1585/(60*60*24)</f>
        <v>1.8344907407407407E-2</v>
      </c>
      <c r="E3024" s="5">
        <f>5072/(60*60*24)</f>
        <v>5.8703703703703702E-2</v>
      </c>
      <c r="F3024" s="6">
        <f>17087/(60*60*24)</f>
        <v>0.19776620370370371</v>
      </c>
      <c r="G3024" s="7" t="s">
        <v>9</v>
      </c>
    </row>
    <row r="3025" spans="1:7" x14ac:dyDescent="0.45">
      <c r="A3025" t="s">
        <v>3120</v>
      </c>
      <c r="B3025" s="2" t="s">
        <v>72</v>
      </c>
      <c r="C3025" s="3">
        <f>4438/(60*60*24)</f>
        <v>5.136574074074074E-2</v>
      </c>
      <c r="D3025" s="4">
        <f>1434/(60*60*24)</f>
        <v>1.6597222222222222E-2</v>
      </c>
      <c r="E3025" s="5">
        <f>4964/(60*60*24)</f>
        <v>5.7453703703703701E-2</v>
      </c>
      <c r="F3025" s="6">
        <f>16775/(60*60*24)</f>
        <v>0.19415509259259259</v>
      </c>
      <c r="G3025" s="7" t="s">
        <v>9</v>
      </c>
    </row>
    <row r="3026" spans="1:7" x14ac:dyDescent="0.45">
      <c r="A3026" t="s">
        <v>3121</v>
      </c>
      <c r="B3026" s="2" t="s">
        <v>74</v>
      </c>
      <c r="C3026" s="3">
        <f>4654/(60*60*24)</f>
        <v>5.3865740740740742E-2</v>
      </c>
      <c r="D3026" s="4">
        <f>1316/(60*60*24)</f>
        <v>1.5231481481481481E-2</v>
      </c>
      <c r="E3026" s="5">
        <f>4926/(60*60*24)</f>
        <v>5.7013888888888892E-2</v>
      </c>
      <c r="F3026" s="6">
        <f>16507/(60*60*24)</f>
        <v>0.19105324074074073</v>
      </c>
      <c r="G3026" s="7" t="s">
        <v>9</v>
      </c>
    </row>
    <row r="3027" spans="1:7" x14ac:dyDescent="0.45">
      <c r="A3027" t="s">
        <v>3122</v>
      </c>
      <c r="B3027" s="2" t="s">
        <v>76</v>
      </c>
      <c r="C3027" s="5">
        <f>5023/(60*60*24)</f>
        <v>5.8136574074074077E-2</v>
      </c>
      <c r="D3027" s="4">
        <f>1336/(60*60*24)</f>
        <v>1.5462962962962963E-2</v>
      </c>
      <c r="E3027" s="3">
        <f>4790/(60*60*24)</f>
        <v>5.5439814814814817E-2</v>
      </c>
      <c r="F3027" s="6">
        <f>16088/(60*60*24)</f>
        <v>0.1862037037037037</v>
      </c>
      <c r="G3027" s="7" t="s">
        <v>9</v>
      </c>
    </row>
    <row r="3028" spans="1:7" x14ac:dyDescent="0.45">
      <c r="A3028" t="s">
        <v>3123</v>
      </c>
      <c r="B3028" s="2" t="s">
        <v>78</v>
      </c>
      <c r="C3028" s="8" t="s">
        <v>12</v>
      </c>
      <c r="D3028" s="4">
        <f>1230/(60*60*24)</f>
        <v>1.4236111111111111E-2</v>
      </c>
      <c r="E3028" s="3">
        <f>4842/(60*60*24)</f>
        <v>5.6041666666666663E-2</v>
      </c>
      <c r="F3028" s="5">
        <f>16051/(60*60*24)</f>
        <v>0.18577546296296296</v>
      </c>
      <c r="G3028" s="7" t="s">
        <v>9</v>
      </c>
    </row>
    <row r="3029" spans="1:7" x14ac:dyDescent="0.45">
      <c r="A3029" t="s">
        <v>3124</v>
      </c>
      <c r="B3029" s="2" t="s">
        <v>80</v>
      </c>
      <c r="C3029" s="8" t="s">
        <v>12</v>
      </c>
      <c r="D3029" s="4">
        <f>1112/(60*60*24)</f>
        <v>1.2870370370370371E-2</v>
      </c>
      <c r="E3029" s="3">
        <f>5007/(60*60*24)</f>
        <v>5.7951388888888886E-2</v>
      </c>
      <c r="F3029" s="5">
        <f>16911/(60*60*24)</f>
        <v>0.19572916666666668</v>
      </c>
      <c r="G3029" s="7" t="s">
        <v>9</v>
      </c>
    </row>
    <row r="3030" spans="1:7" x14ac:dyDescent="0.45">
      <c r="A3030" t="s">
        <v>3125</v>
      </c>
      <c r="B3030" s="2" t="s">
        <v>84</v>
      </c>
      <c r="C3030" s="8" t="s">
        <v>12</v>
      </c>
      <c r="D3030" s="4">
        <f>1135/(60*60*24)</f>
        <v>1.3136574074074075E-2</v>
      </c>
      <c r="E3030" s="3">
        <f>4689/(60*60*24)</f>
        <v>5.4270833333333331E-2</v>
      </c>
      <c r="F3030" s="5">
        <f>15753/(60*60*24)</f>
        <v>0.18232638888888889</v>
      </c>
      <c r="G3030" s="7" t="s">
        <v>9</v>
      </c>
    </row>
    <row r="3031" spans="1:7" x14ac:dyDescent="0.45">
      <c r="A3031" t="s">
        <v>3126</v>
      </c>
      <c r="B3031" s="2" t="s">
        <v>82</v>
      </c>
      <c r="C3031" s="8" t="s">
        <v>12</v>
      </c>
      <c r="D3031" s="4">
        <f>1375/(60*60*24)</f>
        <v>1.5914351851851853E-2</v>
      </c>
      <c r="E3031" s="3">
        <f>4838/(60*60*24)</f>
        <v>5.5995370370370369E-2</v>
      </c>
      <c r="F3031" s="5">
        <f>14883/(60*60*24)</f>
        <v>0.17225694444444445</v>
      </c>
      <c r="G3031" s="7" t="s">
        <v>9</v>
      </c>
    </row>
    <row r="3032" spans="1:7" x14ac:dyDescent="0.45">
      <c r="A3032" t="s">
        <v>3127</v>
      </c>
      <c r="B3032" s="2" t="s">
        <v>88</v>
      </c>
      <c r="C3032" s="5">
        <f>4750/(60*60*24)</f>
        <v>5.4976851851851853E-2</v>
      </c>
      <c r="D3032" s="4">
        <f>1120/(60*60*24)</f>
        <v>1.2962962962962963E-2</v>
      </c>
      <c r="E3032" s="3">
        <f>4569/(60*60*24)</f>
        <v>5.2881944444444447E-2</v>
      </c>
      <c r="F3032" s="6">
        <f>14235/(60*60*24)</f>
        <v>0.16475694444444444</v>
      </c>
      <c r="G3032" s="7" t="s">
        <v>9</v>
      </c>
    </row>
    <row r="3033" spans="1:7" x14ac:dyDescent="0.45">
      <c r="A3033" t="s">
        <v>3128</v>
      </c>
      <c r="B3033" s="2" t="s">
        <v>86</v>
      </c>
      <c r="C3033" s="8" t="s">
        <v>12</v>
      </c>
      <c r="D3033" s="4">
        <f>1185/(60*60*24)</f>
        <v>1.3715277777777778E-2</v>
      </c>
      <c r="E3033" s="3">
        <f>4682/(60*60*24)</f>
        <v>5.4189814814814816E-2</v>
      </c>
      <c r="F3033" s="5">
        <f>14766/(60*60*24)</f>
        <v>0.17090277777777776</v>
      </c>
      <c r="G3033" s="7" t="s">
        <v>9</v>
      </c>
    </row>
    <row r="3034" spans="1:7" x14ac:dyDescent="0.45">
      <c r="A3034" t="s">
        <v>3129</v>
      </c>
      <c r="B3034" s="2" t="s">
        <v>90</v>
      </c>
      <c r="C3034" s="5">
        <f>4794/(60*60*24)</f>
        <v>5.5486111111111111E-2</v>
      </c>
      <c r="D3034" s="4">
        <f>1081/(60*60*24)</f>
        <v>1.2511574074074074E-2</v>
      </c>
      <c r="E3034" s="3">
        <f>4590/(60*60*24)</f>
        <v>5.3124999999999999E-2</v>
      </c>
      <c r="F3034" s="6">
        <f>13727/(60*60*24)</f>
        <v>0.15887731481481482</v>
      </c>
      <c r="G3034" s="7" t="s">
        <v>9</v>
      </c>
    </row>
    <row r="3035" spans="1:7" x14ac:dyDescent="0.45">
      <c r="A3035" t="s">
        <v>3130</v>
      </c>
      <c r="B3035" s="2" t="s">
        <v>92</v>
      </c>
      <c r="C3035" s="5">
        <f>4339/(60*60*24)</f>
        <v>5.0219907407407408E-2</v>
      </c>
      <c r="D3035" s="4">
        <f>1192/(60*60*24)</f>
        <v>1.3796296296296296E-2</v>
      </c>
      <c r="E3035" s="3">
        <f>3886/(60*60*24)</f>
        <v>4.4976851851851851E-2</v>
      </c>
      <c r="F3035" s="6">
        <f>13674/(60*60*24)</f>
        <v>0.1582638888888889</v>
      </c>
      <c r="G3035" s="7" t="s">
        <v>9</v>
      </c>
    </row>
    <row r="3036" spans="1:7" x14ac:dyDescent="0.45">
      <c r="A3036" t="s">
        <v>3131</v>
      </c>
      <c r="B3036" s="2" t="s">
        <v>94</v>
      </c>
      <c r="C3036" s="3">
        <f>3965/(60*60*24)</f>
        <v>4.5891203703703705E-2</v>
      </c>
      <c r="D3036" s="4">
        <f>1421/(60*60*24)</f>
        <v>1.6446759259259258E-2</v>
      </c>
      <c r="E3036" s="5">
        <f>4077/(60*60*24)</f>
        <v>4.71875E-2</v>
      </c>
      <c r="F3036" s="6">
        <f>14002/(60*60*24)</f>
        <v>0.1620601851851852</v>
      </c>
      <c r="G3036" s="7" t="s">
        <v>9</v>
      </c>
    </row>
    <row r="3037" spans="1:7" x14ac:dyDescent="0.45">
      <c r="A3037" t="s">
        <v>3132</v>
      </c>
      <c r="B3037" s="2" t="s">
        <v>96</v>
      </c>
      <c r="C3037" s="5">
        <f>5694/(60*60*24)</f>
        <v>6.5902777777777782E-2</v>
      </c>
      <c r="D3037" s="4">
        <f>1366/(60*60*24)</f>
        <v>1.5810185185185184E-2</v>
      </c>
      <c r="E3037" s="3">
        <f>3799/(60*60*24)</f>
        <v>4.3969907407407409E-2</v>
      </c>
      <c r="F3037" s="6">
        <f>14155/(60*60*24)</f>
        <v>0.16383101851851853</v>
      </c>
      <c r="G3037" s="7" t="s">
        <v>9</v>
      </c>
    </row>
    <row r="3038" spans="1:7" x14ac:dyDescent="0.45">
      <c r="A3038" t="s">
        <v>3133</v>
      </c>
      <c r="B3038" s="2" t="s">
        <v>98</v>
      </c>
      <c r="C3038" s="8" t="s">
        <v>12</v>
      </c>
      <c r="D3038" s="4">
        <f>1490/(60*60*24)</f>
        <v>1.7245370370370369E-2</v>
      </c>
      <c r="E3038" s="3">
        <f>3824/(60*60*24)</f>
        <v>4.4259259259259262E-2</v>
      </c>
      <c r="F3038" s="5">
        <f>14060/(60*60*24)</f>
        <v>0.16273148148148148</v>
      </c>
      <c r="G3038" s="7" t="s">
        <v>9</v>
      </c>
    </row>
    <row r="3039" spans="1:7" x14ac:dyDescent="0.45">
      <c r="A3039" t="s">
        <v>3134</v>
      </c>
      <c r="B3039" s="2" t="s">
        <v>100</v>
      </c>
      <c r="C3039" s="8" t="s">
        <v>12</v>
      </c>
      <c r="D3039" s="4">
        <f>1590/(60*60*24)</f>
        <v>1.8402777777777778E-2</v>
      </c>
      <c r="E3039" s="3">
        <f>3772/(60*60*24)</f>
        <v>4.3657407407407409E-2</v>
      </c>
      <c r="F3039" s="5">
        <f>14078/(60*60*24)</f>
        <v>0.16293981481481482</v>
      </c>
      <c r="G3039" s="7" t="s">
        <v>9</v>
      </c>
    </row>
    <row r="3040" spans="1:7" x14ac:dyDescent="0.45">
      <c r="A3040" t="s">
        <v>3135</v>
      </c>
      <c r="B3040" s="2" t="s">
        <v>104</v>
      </c>
      <c r="C3040" s="8" t="s">
        <v>12</v>
      </c>
      <c r="D3040" s="4">
        <f>1688/(60*60*24)</f>
        <v>1.9537037037037037E-2</v>
      </c>
      <c r="E3040" s="3">
        <f>3782/(60*60*24)</f>
        <v>4.3773148148148151E-2</v>
      </c>
      <c r="F3040" s="5">
        <f>14112/(60*60*24)</f>
        <v>0.16333333333333333</v>
      </c>
      <c r="G3040" s="7" t="s">
        <v>9</v>
      </c>
    </row>
    <row r="3041" spans="1:7" x14ac:dyDescent="0.45">
      <c r="A3041" t="s">
        <v>3136</v>
      </c>
      <c r="B3041" s="2" t="s">
        <v>102</v>
      </c>
      <c r="C3041" s="8" t="s">
        <v>12</v>
      </c>
      <c r="D3041" s="4">
        <f>1687/(60*60*24)</f>
        <v>1.9525462962962963E-2</v>
      </c>
      <c r="E3041" s="3">
        <f>3825/(60*60*24)</f>
        <v>4.4270833333333336E-2</v>
      </c>
      <c r="F3041" s="5">
        <f>14273/(60*60*24)</f>
        <v>0.16519675925925925</v>
      </c>
      <c r="G3041" s="7" t="s">
        <v>9</v>
      </c>
    </row>
    <row r="3042" spans="1:7" x14ac:dyDescent="0.45">
      <c r="A3042" t="s">
        <v>3137</v>
      </c>
      <c r="B3042" s="2" t="s">
        <v>108</v>
      </c>
      <c r="C3042" s="5">
        <f>5737/(60*60*24)</f>
        <v>6.6400462962962967E-2</v>
      </c>
      <c r="D3042" s="4">
        <f>1467/(60*60*24)</f>
        <v>1.6979166666666667E-2</v>
      </c>
      <c r="E3042" s="3">
        <f>3869/(60*60*24)</f>
        <v>4.4780092592592594E-2</v>
      </c>
      <c r="F3042" s="6">
        <f>13995/(60*60*24)</f>
        <v>0.16197916666666667</v>
      </c>
      <c r="G3042" s="7" t="s">
        <v>9</v>
      </c>
    </row>
    <row r="3043" spans="1:7" x14ac:dyDescent="0.45">
      <c r="A3043" t="s">
        <v>3138</v>
      </c>
      <c r="B3043" s="2" t="s">
        <v>106</v>
      </c>
      <c r="C3043" s="8" t="s">
        <v>12</v>
      </c>
      <c r="D3043" s="4">
        <f>1552/(60*60*24)</f>
        <v>1.7962962962962962E-2</v>
      </c>
      <c r="E3043" s="3">
        <f>3778/(60*60*24)</f>
        <v>4.372685185185185E-2</v>
      </c>
      <c r="F3043" s="5">
        <f>13392/(60*60*24)</f>
        <v>0.155</v>
      </c>
      <c r="G3043" s="7" t="s">
        <v>9</v>
      </c>
    </row>
    <row r="3044" spans="1:7" x14ac:dyDescent="0.45">
      <c r="A3044" t="s">
        <v>3139</v>
      </c>
      <c r="B3044" s="2" t="s">
        <v>110</v>
      </c>
      <c r="C3044" s="5">
        <f>5197/(60*60*24)</f>
        <v>6.0150462962962961E-2</v>
      </c>
      <c r="D3044" s="4">
        <f>1489/(60*60*24)</f>
        <v>1.7233796296296296E-2</v>
      </c>
      <c r="E3044" s="3">
        <f>4038/(60*60*24)</f>
        <v>4.673611111111111E-2</v>
      </c>
      <c r="F3044" s="6">
        <f>14183/(60*60*24)</f>
        <v>0.16415509259259259</v>
      </c>
      <c r="G3044" s="7" t="s">
        <v>9</v>
      </c>
    </row>
    <row r="3045" spans="1:7" x14ac:dyDescent="0.45">
      <c r="A3045" t="s">
        <v>3140</v>
      </c>
      <c r="B3045" s="2" t="s">
        <v>112</v>
      </c>
      <c r="C3045" s="8" t="s">
        <v>12</v>
      </c>
      <c r="D3045" s="4">
        <f>1626/(60*60*24)</f>
        <v>1.8819444444444444E-2</v>
      </c>
      <c r="E3045" s="3">
        <f>4194/(60*60*24)</f>
        <v>4.8541666666666664E-2</v>
      </c>
      <c r="F3045" s="5">
        <f>14668/(60*60*24)</f>
        <v>0.16976851851851851</v>
      </c>
      <c r="G3045" s="7" t="s">
        <v>9</v>
      </c>
    </row>
    <row r="3046" spans="1:7" x14ac:dyDescent="0.45">
      <c r="A3046" t="s">
        <v>3141</v>
      </c>
      <c r="B3046" s="2" t="s">
        <v>114</v>
      </c>
      <c r="C3046" s="8" t="s">
        <v>12</v>
      </c>
      <c r="D3046" s="4">
        <f>1705/(60*60*24)</f>
        <v>1.9733796296296298E-2</v>
      </c>
      <c r="E3046" s="3">
        <f>4732/(60*60*24)</f>
        <v>5.4768518518518522E-2</v>
      </c>
      <c r="F3046" s="5">
        <f>14290/(60*60*24)</f>
        <v>0.16539351851851852</v>
      </c>
      <c r="G3046" s="7" t="s">
        <v>9</v>
      </c>
    </row>
    <row r="3047" spans="1:7" x14ac:dyDescent="0.45">
      <c r="A3047" t="s">
        <v>3142</v>
      </c>
      <c r="B3047" s="2" t="s">
        <v>116</v>
      </c>
      <c r="C3047" s="8" t="s">
        <v>12</v>
      </c>
      <c r="D3047" s="4">
        <f>1687/(60*60*24)</f>
        <v>1.9525462962962963E-2</v>
      </c>
      <c r="E3047" s="3">
        <f>4479/(60*60*24)</f>
        <v>5.1840277777777777E-2</v>
      </c>
      <c r="F3047" s="5">
        <f>14458/(60*60*24)</f>
        <v>0.16733796296296297</v>
      </c>
      <c r="G3047" s="7" t="s">
        <v>9</v>
      </c>
    </row>
    <row r="3048" spans="1:7" x14ac:dyDescent="0.45">
      <c r="A3048" t="s">
        <v>3143</v>
      </c>
      <c r="B3048" s="2" t="s">
        <v>118</v>
      </c>
      <c r="C3048" s="8" t="s">
        <v>12</v>
      </c>
      <c r="D3048" s="4">
        <f>1737/(60*60*24)</f>
        <v>2.0104166666666666E-2</v>
      </c>
      <c r="E3048" s="3">
        <f>4515/(60*60*24)</f>
        <v>5.2256944444444446E-2</v>
      </c>
      <c r="F3048" s="5">
        <f>15542/(60*60*24)</f>
        <v>0.17988425925925927</v>
      </c>
      <c r="G3048" s="7" t="s">
        <v>9</v>
      </c>
    </row>
    <row r="3049" spans="1:7" x14ac:dyDescent="0.45">
      <c r="A3049" t="s">
        <v>3144</v>
      </c>
      <c r="B3049" s="2" t="s">
        <v>120</v>
      </c>
      <c r="C3049" s="8" t="s">
        <v>12</v>
      </c>
      <c r="D3049" s="4">
        <f>1673/(60*60*24)</f>
        <v>1.9363425925925926E-2</v>
      </c>
      <c r="E3049" s="3">
        <f>4541/(60*60*24)</f>
        <v>5.2557870370370373E-2</v>
      </c>
      <c r="F3049" s="5">
        <f>16317/(60*60*24)</f>
        <v>0.18885416666666666</v>
      </c>
      <c r="G3049" s="7" t="s">
        <v>9</v>
      </c>
    </row>
    <row r="3050" spans="1:7" x14ac:dyDescent="0.45">
      <c r="A3050" t="s">
        <v>3145</v>
      </c>
      <c r="B3050" s="2" t="s">
        <v>124</v>
      </c>
      <c r="C3050" s="5">
        <f>5503/(60*60*24)</f>
        <v>6.3692129629629626E-2</v>
      </c>
      <c r="D3050" s="4">
        <f>1726/(60*60*24)</f>
        <v>1.9976851851851853E-2</v>
      </c>
      <c r="E3050" s="3">
        <f>4519/(60*60*24)</f>
        <v>5.230324074074074E-2</v>
      </c>
      <c r="F3050" s="6">
        <f>16026/(60*60*24)</f>
        <v>0.1854861111111111</v>
      </c>
      <c r="G3050" s="7" t="s">
        <v>9</v>
      </c>
    </row>
    <row r="3051" spans="1:7" x14ac:dyDescent="0.45">
      <c r="A3051" t="s">
        <v>3146</v>
      </c>
      <c r="B3051" s="2" t="s">
        <v>122</v>
      </c>
      <c r="C3051" s="8" t="s">
        <v>12</v>
      </c>
      <c r="D3051" s="4">
        <f>1898/(60*60*24)</f>
        <v>2.1967592592592594E-2</v>
      </c>
      <c r="E3051" s="3">
        <f>4998/(60*60*24)</f>
        <v>5.7847222222222223E-2</v>
      </c>
      <c r="F3051" s="5">
        <f>16657/(60*60*24)</f>
        <v>0.19278935185185186</v>
      </c>
      <c r="G3051" s="7" t="s">
        <v>9</v>
      </c>
    </row>
    <row r="3052" spans="1:7" x14ac:dyDescent="0.45">
      <c r="A3052" t="s">
        <v>3147</v>
      </c>
      <c r="B3052" s="2" t="s">
        <v>126</v>
      </c>
      <c r="C3052" s="3">
        <f>4811/(60*60*24)</f>
        <v>5.5682870370370369E-2</v>
      </c>
      <c r="D3052" s="4">
        <f>1877/(60*60*24)</f>
        <v>2.1724537037037039E-2</v>
      </c>
      <c r="E3052" s="5">
        <f>4926/(60*60*24)</f>
        <v>5.7013888888888892E-2</v>
      </c>
      <c r="F3052" s="6">
        <f>17101/(60*60*24)</f>
        <v>0.19792824074074075</v>
      </c>
      <c r="G3052" s="7" t="s">
        <v>9</v>
      </c>
    </row>
    <row r="3053" spans="1:7" x14ac:dyDescent="0.45">
      <c r="A3053" t="s">
        <v>3148</v>
      </c>
      <c r="B3053" s="2" t="s">
        <v>128</v>
      </c>
      <c r="C3053" s="3">
        <f>4992/(60*60*24)</f>
        <v>5.7777777777777775E-2</v>
      </c>
      <c r="D3053" s="4">
        <f>1832/(60*60*24)</f>
        <v>2.1203703703703704E-2</v>
      </c>
      <c r="E3053" s="5">
        <f>5239/(60*60*24)</f>
        <v>6.0636574074074072E-2</v>
      </c>
      <c r="F3053" s="6">
        <f>18011/(60*60*24)</f>
        <v>0.20846064814814816</v>
      </c>
      <c r="G3053" s="7" t="s">
        <v>9</v>
      </c>
    </row>
    <row r="3054" spans="1:7" x14ac:dyDescent="0.45">
      <c r="A3054" t="s">
        <v>3149</v>
      </c>
      <c r="B3054" s="2" t="s">
        <v>130</v>
      </c>
      <c r="C3054" s="3">
        <f>4448/(60*60*24)</f>
        <v>5.1481481481481482E-2</v>
      </c>
      <c r="D3054" s="4">
        <f>1833/(60*60*24)</f>
        <v>2.1215277777777777E-2</v>
      </c>
      <c r="E3054" s="5">
        <f>5115/(60*60*24)</f>
        <v>5.9201388888888887E-2</v>
      </c>
      <c r="F3054" s="6">
        <f>17635/(60*60*24)</f>
        <v>0.2041087962962963</v>
      </c>
      <c r="G3054" s="7" t="s">
        <v>9</v>
      </c>
    </row>
    <row r="3055" spans="1:7" x14ac:dyDescent="0.45">
      <c r="A3055" t="s">
        <v>3150</v>
      </c>
      <c r="B3055" s="2" t="s">
        <v>132</v>
      </c>
      <c r="C3055" s="3">
        <f>4903/(60*60*24)</f>
        <v>5.6747685185185186E-2</v>
      </c>
      <c r="D3055" s="4">
        <f>2003/(60*60*24)</f>
        <v>2.3182870370370371E-2</v>
      </c>
      <c r="E3055" s="5">
        <f>5465/(60*60*24)</f>
        <v>6.3252314814814817E-2</v>
      </c>
      <c r="F3055" s="6">
        <f>18673/(60*60*24)</f>
        <v>0.21612268518518518</v>
      </c>
      <c r="G3055" s="7" t="s">
        <v>9</v>
      </c>
    </row>
    <row r="3056" spans="1:7" x14ac:dyDescent="0.45">
      <c r="A3056" t="s">
        <v>3151</v>
      </c>
      <c r="B3056" s="2" t="s">
        <v>134</v>
      </c>
      <c r="C3056" s="3">
        <f>4967/(60*60*24)</f>
        <v>5.7488425925925929E-2</v>
      </c>
      <c r="D3056" s="4">
        <f>2256/(60*60*24)</f>
        <v>2.6111111111111113E-2</v>
      </c>
      <c r="E3056" s="5">
        <f>5648/(60*60*24)</f>
        <v>6.537037037037037E-2</v>
      </c>
      <c r="F3056" s="6">
        <f>19351/(60*60*24)</f>
        <v>0.22396990740740741</v>
      </c>
      <c r="G3056" s="7" t="s">
        <v>9</v>
      </c>
    </row>
    <row r="3057" spans="1:7" x14ac:dyDescent="0.45">
      <c r="A3057" t="s">
        <v>3152</v>
      </c>
      <c r="B3057" s="2" t="s">
        <v>136</v>
      </c>
      <c r="C3057" s="8" t="s">
        <v>12</v>
      </c>
      <c r="D3057" s="4">
        <f>2155/(60*60*24)</f>
        <v>2.494212962962963E-2</v>
      </c>
      <c r="E3057" s="3">
        <f>5569/(60*60*24)</f>
        <v>6.4456018518518524E-2</v>
      </c>
      <c r="F3057" s="5">
        <f>18979/(60*60*24)</f>
        <v>0.21966435185185185</v>
      </c>
      <c r="G3057" s="7" t="s">
        <v>9</v>
      </c>
    </row>
    <row r="3058" spans="1:7" x14ac:dyDescent="0.45">
      <c r="A3058" t="s">
        <v>3153</v>
      </c>
      <c r="B3058" s="2" t="s">
        <v>140</v>
      </c>
      <c r="C3058" s="5">
        <f>7319/(60*60*24)</f>
        <v>8.4710648148148146E-2</v>
      </c>
      <c r="D3058" s="4">
        <f>2471/(60*60*24)</f>
        <v>2.8599537037037038E-2</v>
      </c>
      <c r="E3058" s="3">
        <f>6354/(60*60*24)</f>
        <v>7.3541666666666672E-2</v>
      </c>
      <c r="F3058" s="6">
        <f>20565/(60*60*24)</f>
        <v>0.23802083333333332</v>
      </c>
      <c r="G3058" s="7" t="s">
        <v>9</v>
      </c>
    </row>
    <row r="3059" spans="1:7" x14ac:dyDescent="0.45">
      <c r="A3059" t="s">
        <v>3154</v>
      </c>
      <c r="B3059" s="2" t="s">
        <v>138</v>
      </c>
      <c r="C3059" s="8" t="s">
        <v>12</v>
      </c>
      <c r="D3059" s="4">
        <f>2691/(60*60*24)</f>
        <v>3.1145833333333334E-2</v>
      </c>
      <c r="E3059" s="3">
        <f>5923/(60*60*24)</f>
        <v>6.8553240740740734E-2</v>
      </c>
      <c r="F3059" s="5">
        <f>19927/(60*60*24)</f>
        <v>0.23063657407407406</v>
      </c>
      <c r="G3059" s="7" t="s">
        <v>9</v>
      </c>
    </row>
    <row r="3060" spans="1:7" x14ac:dyDescent="0.45">
      <c r="A3060" t="s">
        <v>3155</v>
      </c>
      <c r="B3060" s="2" t="s">
        <v>142</v>
      </c>
      <c r="C3060" s="3">
        <f>4871/(60*60*24)</f>
        <v>5.6377314814814818E-2</v>
      </c>
      <c r="D3060" s="4">
        <f>2492/(60*60*24)</f>
        <v>2.8842592592592593E-2</v>
      </c>
      <c r="E3060" s="5">
        <f>6226/(60*60*24)</f>
        <v>7.2060185185185185E-2</v>
      </c>
      <c r="F3060" s="6">
        <f>20938/(60*60*24)</f>
        <v>0.24233796296296295</v>
      </c>
      <c r="G3060" s="7" t="s">
        <v>9</v>
      </c>
    </row>
    <row r="3061" spans="1:7" x14ac:dyDescent="0.45">
      <c r="A3061" t="s">
        <v>3156</v>
      </c>
      <c r="B3061" s="2" t="s">
        <v>144</v>
      </c>
      <c r="C3061" s="3">
        <f>5062/(60*60*24)</f>
        <v>5.858796296296296E-2</v>
      </c>
      <c r="D3061" s="4">
        <f>2625/(60*60*24)</f>
        <v>3.0381944444444444E-2</v>
      </c>
      <c r="E3061" s="5">
        <f>6398/(60*60*24)</f>
        <v>7.4050925925925923E-2</v>
      </c>
      <c r="F3061" s="6">
        <f>21530/(60*60*24)</f>
        <v>0.24918981481481481</v>
      </c>
      <c r="G3061" s="7" t="s">
        <v>9</v>
      </c>
    </row>
    <row r="3062" spans="1:7" x14ac:dyDescent="0.45">
      <c r="A3062" t="s">
        <v>3157</v>
      </c>
      <c r="B3062" s="2" t="s">
        <v>146</v>
      </c>
      <c r="C3062" s="3">
        <f>5401/(60*60*24)</f>
        <v>6.2511574074074081E-2</v>
      </c>
      <c r="D3062" s="4">
        <f>2823/(60*60*24)</f>
        <v>3.2673611111111112E-2</v>
      </c>
      <c r="E3062" s="5">
        <f>7296/(60*60*24)</f>
        <v>8.4444444444444447E-2</v>
      </c>
      <c r="F3062" s="6">
        <f>24193/(60*60*24)</f>
        <v>0.28001157407407407</v>
      </c>
      <c r="G3062" s="7" t="s">
        <v>9</v>
      </c>
    </row>
    <row r="3063" spans="1:7" x14ac:dyDescent="0.45">
      <c r="A3063" t="s">
        <v>3158</v>
      </c>
      <c r="B3063" s="2" t="s">
        <v>148</v>
      </c>
      <c r="C3063" s="3">
        <f>5695/(60*60*24)</f>
        <v>6.5914351851851849E-2</v>
      </c>
      <c r="D3063" s="4">
        <f>2570/(60*60*24)</f>
        <v>2.974537037037037E-2</v>
      </c>
      <c r="E3063" s="5">
        <f>6817/(60*60*24)</f>
        <v>7.8900462962962964E-2</v>
      </c>
      <c r="F3063" s="6">
        <f>23610/(60*60*24)</f>
        <v>0.27326388888888886</v>
      </c>
      <c r="G3063" s="7" t="s">
        <v>9</v>
      </c>
    </row>
    <row r="3064" spans="1:7" x14ac:dyDescent="0.45">
      <c r="A3064" t="s">
        <v>3159</v>
      </c>
      <c r="B3064" s="2" t="s">
        <v>150</v>
      </c>
      <c r="C3064" s="3">
        <f>5547/(60*60*24)</f>
        <v>6.4201388888888891E-2</v>
      </c>
      <c r="D3064" s="4">
        <f>2659/(60*60*24)</f>
        <v>3.0775462962962963E-2</v>
      </c>
      <c r="E3064" s="5">
        <f>6968/(60*60*24)</f>
        <v>8.0648148148148149E-2</v>
      </c>
      <c r="F3064" s="6">
        <f>24102/(60*60*24)</f>
        <v>0.27895833333333331</v>
      </c>
      <c r="G3064" s="7" t="s">
        <v>9</v>
      </c>
    </row>
    <row r="3065" spans="1:7" x14ac:dyDescent="0.45">
      <c r="A3065" t="s">
        <v>3160</v>
      </c>
      <c r="B3065" s="2" t="s">
        <v>152</v>
      </c>
      <c r="C3065" s="8" t="s">
        <v>12</v>
      </c>
      <c r="D3065" s="4">
        <f>2799/(60*60*24)</f>
        <v>3.2395833333333332E-2</v>
      </c>
      <c r="E3065" s="3">
        <f>7207/(60*60*24)</f>
        <v>8.3414351851851851E-2</v>
      </c>
      <c r="F3065" s="5">
        <f>24397/(60*60*24)</f>
        <v>0.28237268518518521</v>
      </c>
      <c r="G3065" s="7" t="s">
        <v>9</v>
      </c>
    </row>
    <row r="3066" spans="1:7" x14ac:dyDescent="0.45">
      <c r="A3066" t="s">
        <v>3161</v>
      </c>
      <c r="B3066" s="2" t="s">
        <v>154</v>
      </c>
      <c r="C3066" s="8" t="s">
        <v>12</v>
      </c>
      <c r="D3066" s="4">
        <f>2847/(60*60*24)</f>
        <v>3.2951388888888891E-2</v>
      </c>
      <c r="E3066" s="3">
        <f>7412/(60*60*24)</f>
        <v>8.5787037037037037E-2</v>
      </c>
      <c r="F3066" s="5">
        <f>25260/(60*60*24)</f>
        <v>0.29236111111111113</v>
      </c>
      <c r="G3066" s="7" t="s">
        <v>9</v>
      </c>
    </row>
    <row r="3067" spans="1:7" x14ac:dyDescent="0.45">
      <c r="A3067" t="s">
        <v>3162</v>
      </c>
      <c r="B3067" s="2" t="s">
        <v>156</v>
      </c>
      <c r="C3067" s="8" t="s">
        <v>12</v>
      </c>
      <c r="D3067" s="4">
        <f>2809/(60*60*24)</f>
        <v>3.2511574074074075E-2</v>
      </c>
      <c r="E3067" s="3">
        <f>7507/(60*60*24)</f>
        <v>8.6886574074074074E-2</v>
      </c>
      <c r="F3067" s="5">
        <f>26079/(60*60*24)</f>
        <v>0.30184027777777778</v>
      </c>
      <c r="G3067" s="7" t="s">
        <v>9</v>
      </c>
    </row>
    <row r="3068" spans="1:7" x14ac:dyDescent="0.45">
      <c r="A3068" t="s">
        <v>3163</v>
      </c>
      <c r="B3068" s="2" t="s">
        <v>160</v>
      </c>
      <c r="C3068" s="5">
        <f>10052/(60*60*24)</f>
        <v>0.11634259259259259</v>
      </c>
      <c r="D3068" s="4">
        <f>2842/(60*60*24)</f>
        <v>3.2893518518518516E-2</v>
      </c>
      <c r="E3068" s="3">
        <f>7613/(60*60*24)</f>
        <v>8.8113425925925928E-2</v>
      </c>
      <c r="F3068" s="6">
        <f>27409/(60*60*24)</f>
        <v>0.31723379629629628</v>
      </c>
      <c r="G3068" s="7" t="s">
        <v>9</v>
      </c>
    </row>
    <row r="3069" spans="1:7" x14ac:dyDescent="0.45">
      <c r="A3069" t="s">
        <v>3164</v>
      </c>
      <c r="B3069" s="2" t="s">
        <v>158</v>
      </c>
      <c r="C3069" s="5">
        <f>9836/(60*60*24)</f>
        <v>0.11384259259259259</v>
      </c>
      <c r="D3069" s="4">
        <f>2886/(60*60*24)</f>
        <v>3.3402777777777781E-2</v>
      </c>
      <c r="E3069" s="3">
        <f>7732/(60*60*24)</f>
        <v>8.9490740740740746E-2</v>
      </c>
      <c r="F3069" s="6">
        <f>27739/(60*60*24)</f>
        <v>0.32105324074074076</v>
      </c>
      <c r="G3069" s="7" t="s">
        <v>9</v>
      </c>
    </row>
    <row r="3070" spans="1:7" x14ac:dyDescent="0.45">
      <c r="A3070" t="s">
        <v>3165</v>
      </c>
      <c r="B3070" s="2" t="s">
        <v>162</v>
      </c>
      <c r="C3070" s="5">
        <f>9916/(60*60*24)</f>
        <v>0.11476851851851852</v>
      </c>
      <c r="D3070" s="4">
        <f>2948/(60*60*24)</f>
        <v>3.412037037037037E-2</v>
      </c>
      <c r="E3070" s="3">
        <f>8256/(60*60*24)</f>
        <v>9.555555555555556E-2</v>
      </c>
      <c r="F3070" s="6">
        <f>28559/(60*60*24)</f>
        <v>0.33054398148148151</v>
      </c>
      <c r="G3070" s="7" t="s">
        <v>9</v>
      </c>
    </row>
    <row r="3071" spans="1:7" x14ac:dyDescent="0.45">
      <c r="A3071" t="s">
        <v>3166</v>
      </c>
      <c r="B3071" s="2" t="s">
        <v>164</v>
      </c>
      <c r="C3071" s="5">
        <f>10148/(60*60*24)</f>
        <v>0.1174537037037037</v>
      </c>
      <c r="D3071" s="4">
        <f>2974/(60*60*24)</f>
        <v>3.4421296296296297E-2</v>
      </c>
      <c r="E3071" s="3">
        <f>8358/(60*60*24)</f>
        <v>9.6736111111111106E-2</v>
      </c>
      <c r="F3071" s="6">
        <f>29059/(60*60*24)</f>
        <v>0.33633101851851854</v>
      </c>
      <c r="G3071" s="7" t="s">
        <v>9</v>
      </c>
    </row>
    <row r="3072" spans="1:7" x14ac:dyDescent="0.45">
      <c r="A3072" t="s">
        <v>3167</v>
      </c>
      <c r="B3072" s="2" t="s">
        <v>168</v>
      </c>
      <c r="C3072" s="8" t="s">
        <v>12</v>
      </c>
      <c r="D3072" s="4">
        <f>3011/(60*60*24)</f>
        <v>3.484953703703704E-2</v>
      </c>
      <c r="E3072" s="3">
        <f>8544/(60*60*24)</f>
        <v>9.8888888888888887E-2</v>
      </c>
      <c r="F3072" s="5">
        <f>29730/(60*60*24)</f>
        <v>0.34409722222222222</v>
      </c>
      <c r="G3072" s="7" t="s">
        <v>9</v>
      </c>
    </row>
    <row r="3073" spans="1:7" x14ac:dyDescent="0.45">
      <c r="A3073" t="s">
        <v>3168</v>
      </c>
      <c r="B3073" s="2" t="s">
        <v>166</v>
      </c>
      <c r="C3073" s="8" t="s">
        <v>12</v>
      </c>
      <c r="D3073" s="4">
        <f>3074/(60*60*24)</f>
        <v>3.5578703703703703E-2</v>
      </c>
      <c r="E3073" s="3">
        <f>8836/(60*60*24)</f>
        <v>0.10226851851851852</v>
      </c>
      <c r="F3073" s="5">
        <f>29692/(60*60*24)</f>
        <v>0.34365740740740741</v>
      </c>
      <c r="G3073" s="7" t="s">
        <v>9</v>
      </c>
    </row>
    <row r="3074" spans="1:7" x14ac:dyDescent="0.45">
      <c r="A3074" t="s">
        <v>3169</v>
      </c>
      <c r="B3074" s="2" t="s">
        <v>172</v>
      </c>
      <c r="C3074" s="5">
        <f>11944/(60*60*24)</f>
        <v>0.13824074074074075</v>
      </c>
      <c r="D3074" s="4">
        <f>3086/(60*60*24)</f>
        <v>3.5717592592592592E-2</v>
      </c>
      <c r="E3074" s="3">
        <f>8977/(60*60*24)</f>
        <v>0.10390046296296296</v>
      </c>
      <c r="F3074" s="6">
        <f>30855/(60*60*24)</f>
        <v>0.35711805555555554</v>
      </c>
      <c r="G3074" s="7" t="s">
        <v>9</v>
      </c>
    </row>
    <row r="3075" spans="1:7" x14ac:dyDescent="0.45">
      <c r="A3075" t="s">
        <v>3170</v>
      </c>
      <c r="B3075" s="2" t="s">
        <v>170</v>
      </c>
      <c r="C3075" s="8" t="s">
        <v>12</v>
      </c>
      <c r="D3075" s="4">
        <f>3110/(60*60*24)</f>
        <v>3.5995370370370372E-2</v>
      </c>
      <c r="E3075" s="3">
        <f>8900/(60*60*24)</f>
        <v>0.10300925925925926</v>
      </c>
      <c r="F3075" s="5">
        <f>30172/(60*60*24)</f>
        <v>0.34921296296296295</v>
      </c>
      <c r="G3075" s="7" t="s">
        <v>9</v>
      </c>
    </row>
    <row r="3076" spans="1:7" x14ac:dyDescent="0.45">
      <c r="A3076" t="s">
        <v>3171</v>
      </c>
      <c r="B3076" s="2" t="s">
        <v>176</v>
      </c>
      <c r="C3076" s="8" t="s">
        <v>12</v>
      </c>
      <c r="D3076" s="4">
        <f>3099/(60*60*24)</f>
        <v>3.5868055555555556E-2</v>
      </c>
      <c r="E3076" s="3">
        <f>9115/(60*60*24)</f>
        <v>0.10549768518518518</v>
      </c>
      <c r="F3076" s="5">
        <f>31352/(60*60*24)</f>
        <v>0.36287037037037034</v>
      </c>
      <c r="G3076" s="7" t="s">
        <v>9</v>
      </c>
    </row>
    <row r="3077" spans="1:7" x14ac:dyDescent="0.45">
      <c r="A3077" t="s">
        <v>3172</v>
      </c>
      <c r="B3077" s="2" t="s">
        <v>174</v>
      </c>
      <c r="C3077" s="8" t="s">
        <v>12</v>
      </c>
      <c r="D3077" s="4">
        <f>3657/(60*60*24)</f>
        <v>4.2326388888888886E-2</v>
      </c>
      <c r="E3077" s="3">
        <f>11350/(60*60*24)</f>
        <v>0.13136574074074073</v>
      </c>
      <c r="F3077" s="5">
        <f>37147/(60*60*24)</f>
        <v>0.42994212962962963</v>
      </c>
      <c r="G3077" s="7" t="s">
        <v>9</v>
      </c>
    </row>
    <row r="3078" spans="1:7" x14ac:dyDescent="0.45">
      <c r="A3078" t="s">
        <v>3173</v>
      </c>
      <c r="B3078" s="2" t="s">
        <v>180</v>
      </c>
      <c r="C3078" s="3">
        <f>9055/(60*60*24)</f>
        <v>0.10480324074074074</v>
      </c>
      <c r="D3078" s="4">
        <f>3531/(60*60*24)</f>
        <v>4.0868055555555553E-2</v>
      </c>
      <c r="E3078" s="5">
        <f>10824/(60*60*24)</f>
        <v>0.12527777777777777</v>
      </c>
      <c r="F3078" s="6">
        <f>36566/(60*60*24)</f>
        <v>0.42321759259259262</v>
      </c>
      <c r="G3078" s="7" t="s">
        <v>9</v>
      </c>
    </row>
    <row r="3079" spans="1:7" x14ac:dyDescent="0.45">
      <c r="A3079" t="s">
        <v>3174</v>
      </c>
      <c r="B3079" s="2" t="s">
        <v>178</v>
      </c>
      <c r="C3079" s="8" t="s">
        <v>12</v>
      </c>
      <c r="D3079" s="4">
        <f>3645/(60*60*24)</f>
        <v>4.2187500000000003E-2</v>
      </c>
      <c r="E3079" s="3">
        <f>10912/(60*60*24)</f>
        <v>0.1262962962962963</v>
      </c>
      <c r="F3079" s="5">
        <f>36892/(60*60*24)</f>
        <v>0.42699074074074073</v>
      </c>
      <c r="G3079" s="7" t="s">
        <v>9</v>
      </c>
    </row>
    <row r="3080" spans="1:7" x14ac:dyDescent="0.45">
      <c r="A3080" t="s">
        <v>3175</v>
      </c>
      <c r="B3080" s="2" t="s">
        <v>182</v>
      </c>
      <c r="C3080" s="3">
        <f>7529/(60*60*24)</f>
        <v>8.7141203703703707E-2</v>
      </c>
      <c r="D3080" s="4">
        <f>3565/(60*60*24)</f>
        <v>4.1261574074074076E-2</v>
      </c>
      <c r="E3080" s="5">
        <f>11094/(60*60*24)</f>
        <v>0.12840277777777778</v>
      </c>
      <c r="F3080" s="6">
        <f>36673/(60*60*24)</f>
        <v>0.4244560185185185</v>
      </c>
      <c r="G3080" s="7" t="s">
        <v>9</v>
      </c>
    </row>
    <row r="3081" spans="1:7" x14ac:dyDescent="0.45">
      <c r="A3081" t="s">
        <v>3176</v>
      </c>
      <c r="B3081" s="2" t="s">
        <v>184</v>
      </c>
      <c r="C3081" s="3">
        <f>7459/(60*60*24)</f>
        <v>8.6331018518518515E-2</v>
      </c>
      <c r="D3081" s="4">
        <f>3522/(60*60*24)</f>
        <v>4.0763888888888891E-2</v>
      </c>
      <c r="E3081" s="5">
        <f>10685/(60*60*24)</f>
        <v>0.12366898148148148</v>
      </c>
      <c r="F3081" s="6">
        <f>36419/(60*60*24)</f>
        <v>0.42151620370370368</v>
      </c>
      <c r="G3081" s="7" t="s">
        <v>9</v>
      </c>
    </row>
    <row r="3082" spans="1:7" x14ac:dyDescent="0.45">
      <c r="A3082" t="s">
        <v>3177</v>
      </c>
      <c r="B3082" s="2" t="s">
        <v>8</v>
      </c>
      <c r="C3082" s="3">
        <f>8546/(60*60*24)</f>
        <v>9.8912037037037034E-2</v>
      </c>
      <c r="D3082" s="4">
        <f>2727/(60*60*24)</f>
        <v>3.15625E-2</v>
      </c>
      <c r="E3082" s="5">
        <f>10181/(60*60*24)</f>
        <v>0.11783564814814815</v>
      </c>
      <c r="F3082" s="6">
        <f>34456/(60*60*24)</f>
        <v>0.39879629629629632</v>
      </c>
      <c r="G3082" s="7" t="s">
        <v>9</v>
      </c>
    </row>
    <row r="3083" spans="1:7" x14ac:dyDescent="0.45">
      <c r="A3083" t="s">
        <v>3178</v>
      </c>
      <c r="B3083" s="2" t="s">
        <v>11</v>
      </c>
      <c r="C3083" s="8" t="s">
        <v>12</v>
      </c>
      <c r="D3083" s="4">
        <f>2536/(60*60*24)</f>
        <v>2.9351851851851851E-2</v>
      </c>
      <c r="E3083" s="3">
        <f>9890/(60*60*24)</f>
        <v>0.11446759259259259</v>
      </c>
      <c r="F3083" s="5">
        <f>33826/(60*60*24)</f>
        <v>0.39150462962962962</v>
      </c>
      <c r="G3083" s="7" t="s">
        <v>9</v>
      </c>
    </row>
    <row r="3084" spans="1:7" x14ac:dyDescent="0.45">
      <c r="A3084" t="s">
        <v>3179</v>
      </c>
      <c r="B3084" s="2" t="s">
        <v>14</v>
      </c>
      <c r="C3084" s="8" t="s">
        <v>12</v>
      </c>
      <c r="D3084" s="4">
        <f>2579/(60*60*24)</f>
        <v>2.9849537037037036E-2</v>
      </c>
      <c r="E3084" s="3">
        <f>9907/(60*60*24)</f>
        <v>0.11466435185185185</v>
      </c>
      <c r="F3084" s="5">
        <f>33315/(60*60*24)</f>
        <v>0.38559027777777777</v>
      </c>
      <c r="G3084" s="7" t="s">
        <v>9</v>
      </c>
    </row>
    <row r="3085" spans="1:7" x14ac:dyDescent="0.45">
      <c r="A3085" t="s">
        <v>3180</v>
      </c>
      <c r="B3085" s="2" t="s">
        <v>16</v>
      </c>
      <c r="C3085" s="8" t="s">
        <v>12</v>
      </c>
      <c r="D3085" s="4">
        <f>2460/(60*60*24)</f>
        <v>2.8472222222222222E-2</v>
      </c>
      <c r="E3085" s="3">
        <f>9691/(60*60*24)</f>
        <v>0.11216435185185185</v>
      </c>
      <c r="F3085" s="5">
        <f>33265/(60*60*24)</f>
        <v>0.38501157407407405</v>
      </c>
      <c r="G3085" s="7" t="s">
        <v>9</v>
      </c>
    </row>
    <row r="3086" spans="1:7" x14ac:dyDescent="0.45">
      <c r="A3086" t="s">
        <v>3181</v>
      </c>
      <c r="B3086" s="2" t="s">
        <v>18</v>
      </c>
      <c r="C3086" s="3">
        <f>6761/(60*60*24)</f>
        <v>7.8252314814814816E-2</v>
      </c>
      <c r="D3086" s="4">
        <f>2398/(60*60*24)</f>
        <v>2.7754629629629629E-2</v>
      </c>
      <c r="E3086" s="5">
        <f>9434/(60*60*24)</f>
        <v>0.10918981481481481</v>
      </c>
      <c r="F3086" s="6">
        <f>32489/(60*60*24)</f>
        <v>0.37603009259259257</v>
      </c>
      <c r="G3086" s="7" t="s">
        <v>9</v>
      </c>
    </row>
    <row r="3087" spans="1:7" x14ac:dyDescent="0.45">
      <c r="A3087" t="s">
        <v>3182</v>
      </c>
      <c r="B3087" s="2" t="s">
        <v>20</v>
      </c>
      <c r="C3087" s="3">
        <f>8144/(60*60*24)</f>
        <v>9.4259259259259265E-2</v>
      </c>
      <c r="D3087" s="4">
        <f>2268/(60*60*24)</f>
        <v>2.6249999999999999E-2</v>
      </c>
      <c r="E3087" s="5">
        <f>9088/(60*60*24)</f>
        <v>0.10518518518518519</v>
      </c>
      <c r="F3087" s="6">
        <f>31538/(60*60*24)</f>
        <v>0.36502314814814812</v>
      </c>
      <c r="G3087" s="7" t="s">
        <v>9</v>
      </c>
    </row>
    <row r="3088" spans="1:7" x14ac:dyDescent="0.45">
      <c r="A3088" t="s">
        <v>3183</v>
      </c>
      <c r="B3088" s="2" t="s">
        <v>24</v>
      </c>
      <c r="C3088" s="3">
        <f>8962/(60*60*24)</f>
        <v>0.10372685185185185</v>
      </c>
      <c r="D3088" s="4">
        <f>2331/(60*60*24)</f>
        <v>2.6979166666666665E-2</v>
      </c>
      <c r="E3088" s="5">
        <f>8968/(60*60*24)</f>
        <v>0.1037962962962963</v>
      </c>
      <c r="F3088" s="6">
        <f>29760/(60*60*24)</f>
        <v>0.34444444444444444</v>
      </c>
      <c r="G3088" s="7" t="s">
        <v>9</v>
      </c>
    </row>
    <row r="3089" spans="1:7" x14ac:dyDescent="0.45">
      <c r="A3089" t="s">
        <v>3184</v>
      </c>
      <c r="B3089" s="2" t="s">
        <v>22</v>
      </c>
      <c r="C3089" s="8" t="s">
        <v>12</v>
      </c>
      <c r="D3089" s="4">
        <f>2371/(60*60*24)</f>
        <v>2.7442129629629629E-2</v>
      </c>
      <c r="E3089" s="3">
        <f>9254/(60*60*24)</f>
        <v>0.10710648148148148</v>
      </c>
      <c r="F3089" s="5">
        <f>30418/(60*60*24)</f>
        <v>0.35206018518518517</v>
      </c>
      <c r="G3089" s="7" t="s">
        <v>9</v>
      </c>
    </row>
    <row r="3090" spans="1:7" x14ac:dyDescent="0.45">
      <c r="A3090" t="s">
        <v>3185</v>
      </c>
      <c r="B3090" s="2" t="s">
        <v>26</v>
      </c>
      <c r="C3090" s="3">
        <f>5805/(60*60*24)</f>
        <v>6.7187499999999997E-2</v>
      </c>
      <c r="D3090" s="4">
        <f>2271/(60*60*24)</f>
        <v>2.6284722222222223E-2</v>
      </c>
      <c r="E3090" s="5">
        <f>8991/(60*60*24)</f>
        <v>0.1040625</v>
      </c>
      <c r="F3090" s="6">
        <f>29409/(60*60*24)</f>
        <v>0.34038194444444442</v>
      </c>
      <c r="G3090" s="7" t="s">
        <v>9</v>
      </c>
    </row>
    <row r="3091" spans="1:7" x14ac:dyDescent="0.45">
      <c r="A3091" t="s">
        <v>3186</v>
      </c>
      <c r="B3091" s="2" t="s">
        <v>28</v>
      </c>
      <c r="C3091" s="3">
        <f>5845/(60*60*24)</f>
        <v>6.7650462962962968E-2</v>
      </c>
      <c r="D3091" s="4">
        <f>2721/(60*60*24)</f>
        <v>3.1493055555555559E-2</v>
      </c>
      <c r="E3091" s="5">
        <f>8905/(60*60*24)</f>
        <v>0.10306712962962963</v>
      </c>
      <c r="F3091" s="6">
        <f>28852/(60*60*24)</f>
        <v>0.33393518518518517</v>
      </c>
      <c r="G3091" s="7" t="s">
        <v>9</v>
      </c>
    </row>
    <row r="3092" spans="1:7" x14ac:dyDescent="0.45">
      <c r="A3092" t="s">
        <v>3187</v>
      </c>
      <c r="B3092" s="2" t="s">
        <v>30</v>
      </c>
      <c r="C3092" s="3">
        <f>6370/(60*60*24)</f>
        <v>7.3726851851851849E-2</v>
      </c>
      <c r="D3092" s="4">
        <f>2609/(60*60*24)</f>
        <v>3.019675925925926E-2</v>
      </c>
      <c r="E3092" s="5">
        <f>8371/(60*60*24)</f>
        <v>9.6886574074074069E-2</v>
      </c>
      <c r="F3092" s="6">
        <f>28082/(60*60*24)</f>
        <v>0.32502314814814814</v>
      </c>
      <c r="G3092" s="7" t="s">
        <v>9</v>
      </c>
    </row>
    <row r="3093" spans="1:7" x14ac:dyDescent="0.45">
      <c r="A3093" t="s">
        <v>3188</v>
      </c>
      <c r="B3093" s="2" t="s">
        <v>32</v>
      </c>
      <c r="C3093" s="3">
        <f>6932/(60*60*24)</f>
        <v>8.0231481481481487E-2</v>
      </c>
      <c r="D3093" s="4">
        <f>2672/(60*60*24)</f>
        <v>3.0925925925925926E-2</v>
      </c>
      <c r="E3093" s="5">
        <f>8388/(60*60*24)</f>
        <v>9.7083333333333327E-2</v>
      </c>
      <c r="F3093" s="6">
        <f>28036/(60*60*24)</f>
        <v>0.32449074074074075</v>
      </c>
      <c r="G3093" s="7" t="s">
        <v>9</v>
      </c>
    </row>
    <row r="3094" spans="1:7" x14ac:dyDescent="0.45">
      <c r="A3094" t="s">
        <v>3189</v>
      </c>
      <c r="B3094" s="2" t="s">
        <v>36</v>
      </c>
      <c r="C3094" s="3">
        <f>7248/(60*60*24)</f>
        <v>8.3888888888888888E-2</v>
      </c>
      <c r="D3094" s="4">
        <f>2883/(60*60*24)</f>
        <v>3.3368055555555554E-2</v>
      </c>
      <c r="E3094" s="5">
        <f>8277/(60*60*24)</f>
        <v>9.5798611111111112E-2</v>
      </c>
      <c r="F3094" s="6">
        <f>27360/(60*60*24)</f>
        <v>0.31666666666666665</v>
      </c>
      <c r="G3094" s="7" t="s">
        <v>9</v>
      </c>
    </row>
    <row r="3095" spans="1:7" x14ac:dyDescent="0.45">
      <c r="A3095" t="s">
        <v>3190</v>
      </c>
      <c r="B3095" s="2" t="s">
        <v>34</v>
      </c>
      <c r="C3095" s="3">
        <f>7424/(60*60*24)</f>
        <v>8.5925925925925919E-2</v>
      </c>
      <c r="D3095" s="4">
        <f>3004/(60*60*24)</f>
        <v>3.4768518518518518E-2</v>
      </c>
      <c r="E3095" s="5">
        <f>8114/(60*60*24)</f>
        <v>9.3912037037037044E-2</v>
      </c>
      <c r="F3095" s="6">
        <f>26491/(60*60*24)</f>
        <v>0.30660879629629628</v>
      </c>
      <c r="G3095" s="7" t="s">
        <v>9</v>
      </c>
    </row>
    <row r="3096" spans="1:7" x14ac:dyDescent="0.45">
      <c r="A3096" t="s">
        <v>3191</v>
      </c>
      <c r="B3096" s="2" t="s">
        <v>38</v>
      </c>
      <c r="C3096" s="3">
        <f>7498/(60*60*24)</f>
        <v>8.6782407407407405E-2</v>
      </c>
      <c r="D3096" s="4">
        <f>3194/(60*60*24)</f>
        <v>3.6967592592592594E-2</v>
      </c>
      <c r="E3096" s="5">
        <f>7975/(60*60*24)</f>
        <v>9.2303240740740741E-2</v>
      </c>
      <c r="F3096" s="6">
        <f>25747/(60*60*24)</f>
        <v>0.29799768518518521</v>
      </c>
      <c r="G3096" s="7" t="s">
        <v>9</v>
      </c>
    </row>
    <row r="3097" spans="1:7" x14ac:dyDescent="0.45">
      <c r="A3097" t="s">
        <v>3192</v>
      </c>
      <c r="B3097" s="2" t="s">
        <v>40</v>
      </c>
      <c r="C3097" s="8" t="s">
        <v>12</v>
      </c>
      <c r="D3097" s="4">
        <f>3072/(60*60*24)</f>
        <v>3.5555555555555556E-2</v>
      </c>
      <c r="E3097" s="3">
        <f>7659/(60*60*24)</f>
        <v>8.8645833333333326E-2</v>
      </c>
      <c r="F3097" s="5">
        <f>25394/(60*60*24)</f>
        <v>0.29391203703703705</v>
      </c>
      <c r="G3097" s="7" t="s">
        <v>9</v>
      </c>
    </row>
    <row r="3098" spans="1:7" x14ac:dyDescent="0.45">
      <c r="A3098" t="s">
        <v>3193</v>
      </c>
      <c r="B3098" s="2" t="s">
        <v>44</v>
      </c>
      <c r="C3098" s="8" t="s">
        <v>12</v>
      </c>
      <c r="D3098" s="4">
        <f>2931/(60*60*24)</f>
        <v>3.3923611111111113E-2</v>
      </c>
      <c r="E3098" s="3">
        <f>7457/(60*60*24)</f>
        <v>8.6307870370370368E-2</v>
      </c>
      <c r="F3098" s="5">
        <f>25010/(60*60*24)</f>
        <v>0.28946759259259258</v>
      </c>
      <c r="G3098" s="7" t="s">
        <v>9</v>
      </c>
    </row>
    <row r="3099" spans="1:7" x14ac:dyDescent="0.45">
      <c r="A3099" t="s">
        <v>3194</v>
      </c>
      <c r="B3099" s="2" t="s">
        <v>42</v>
      </c>
      <c r="C3099" s="8" t="s">
        <v>12</v>
      </c>
      <c r="D3099" s="4">
        <f>3121/(60*60*24)</f>
        <v>3.6122685185185188E-2</v>
      </c>
      <c r="E3099" s="3">
        <f>7501/(60*60*24)</f>
        <v>8.6817129629629633E-2</v>
      </c>
      <c r="F3099" s="5">
        <f>24026/(60*60*24)</f>
        <v>0.27807870370370369</v>
      </c>
      <c r="G3099" s="7" t="s">
        <v>9</v>
      </c>
    </row>
    <row r="3100" spans="1:7" x14ac:dyDescent="0.45">
      <c r="A3100" t="s">
        <v>3195</v>
      </c>
      <c r="B3100" s="2" t="s">
        <v>46</v>
      </c>
      <c r="C3100" s="8" t="s">
        <v>12</v>
      </c>
      <c r="D3100" s="4">
        <f>3299/(60*60*24)</f>
        <v>3.8182870370370367E-2</v>
      </c>
      <c r="E3100" s="3">
        <f>7569/(60*60*24)</f>
        <v>8.7604166666666664E-2</v>
      </c>
      <c r="F3100" s="5">
        <f>23745/(60*60*24)</f>
        <v>0.27482638888888888</v>
      </c>
      <c r="G3100" s="7" t="s">
        <v>9</v>
      </c>
    </row>
    <row r="3101" spans="1:7" x14ac:dyDescent="0.45">
      <c r="A3101" t="s">
        <v>3196</v>
      </c>
      <c r="B3101" s="2" t="s">
        <v>48</v>
      </c>
      <c r="C3101" s="8" t="s">
        <v>12</v>
      </c>
      <c r="D3101" s="4">
        <f>3325/(60*60*24)</f>
        <v>3.8483796296296294E-2</v>
      </c>
      <c r="E3101" s="3">
        <f>7064/(60*60*24)</f>
        <v>8.1759259259259254E-2</v>
      </c>
      <c r="F3101" s="5">
        <f>22951/(60*60*24)</f>
        <v>0.26563657407407409</v>
      </c>
      <c r="G3101" s="7" t="s">
        <v>9</v>
      </c>
    </row>
    <row r="3102" spans="1:7" x14ac:dyDescent="0.45">
      <c r="A3102" t="s">
        <v>3197</v>
      </c>
      <c r="B3102" s="2" t="s">
        <v>52</v>
      </c>
      <c r="C3102" s="3">
        <f>4537/(60*60*24)</f>
        <v>5.2511574074074072E-2</v>
      </c>
      <c r="D3102" s="4">
        <f>2628/(60*60*24)</f>
        <v>3.0416666666666668E-2</v>
      </c>
      <c r="E3102" s="5">
        <f>6592/(60*60*24)</f>
        <v>7.6296296296296293E-2</v>
      </c>
      <c r="F3102" s="6">
        <f>21944/(60*60*24)</f>
        <v>0.25398148148148147</v>
      </c>
      <c r="G3102" s="7" t="s">
        <v>9</v>
      </c>
    </row>
    <row r="3103" spans="1:7" x14ac:dyDescent="0.45">
      <c r="A3103" t="s">
        <v>3198</v>
      </c>
      <c r="B3103" s="2" t="s">
        <v>50</v>
      </c>
      <c r="C3103" s="8" t="s">
        <v>12</v>
      </c>
      <c r="D3103" s="4">
        <f>2766/(60*60*24)</f>
        <v>3.201388888888889E-2</v>
      </c>
      <c r="E3103" s="3">
        <f>6842/(60*60*24)</f>
        <v>7.918981481481481E-2</v>
      </c>
      <c r="F3103" s="5">
        <f>22712/(60*60*24)</f>
        <v>0.26287037037037037</v>
      </c>
      <c r="G3103" s="7" t="s">
        <v>9</v>
      </c>
    </row>
    <row r="3104" spans="1:7" x14ac:dyDescent="0.45">
      <c r="A3104" t="s">
        <v>3199</v>
      </c>
      <c r="B3104" s="2" t="s">
        <v>54</v>
      </c>
      <c r="C3104" s="3">
        <f>5098/(60*60*24)</f>
        <v>5.9004629629629629E-2</v>
      </c>
      <c r="D3104" s="4">
        <f>2524/(60*60*24)</f>
        <v>2.9212962962962961E-2</v>
      </c>
      <c r="E3104" s="5">
        <f>6516/(60*60*24)</f>
        <v>7.5416666666666674E-2</v>
      </c>
      <c r="F3104" s="6">
        <f>21664/(60*60*24)</f>
        <v>0.25074074074074076</v>
      </c>
      <c r="G3104" s="7" t="s">
        <v>9</v>
      </c>
    </row>
    <row r="3105" spans="1:7" x14ac:dyDescent="0.45">
      <c r="A3105" t="s">
        <v>3200</v>
      </c>
      <c r="B3105" s="2" t="s">
        <v>56</v>
      </c>
      <c r="C3105" s="8" t="s">
        <v>12</v>
      </c>
      <c r="D3105" s="4">
        <f>2276/(60*60*24)</f>
        <v>2.6342592592592591E-2</v>
      </c>
      <c r="E3105" s="3">
        <f>6685/(60*60*24)</f>
        <v>7.7372685185185183E-2</v>
      </c>
      <c r="F3105" s="5">
        <f>20479/(60*60*24)</f>
        <v>0.23702546296296295</v>
      </c>
      <c r="G3105" s="7" t="s">
        <v>9</v>
      </c>
    </row>
    <row r="3106" spans="1:7" x14ac:dyDescent="0.45">
      <c r="A3106" t="s">
        <v>3201</v>
      </c>
      <c r="B3106" s="2" t="s">
        <v>60</v>
      </c>
      <c r="C3106" s="3">
        <f>6113/(60*60*24)</f>
        <v>7.075231481481481E-2</v>
      </c>
      <c r="D3106" s="4">
        <f>2104/(60*60*24)</f>
        <v>2.435185185185185E-2</v>
      </c>
      <c r="E3106" s="5">
        <f>6259/(60*60*24)</f>
        <v>7.2442129629629634E-2</v>
      </c>
      <c r="F3106" s="6">
        <f>19833/(60*60*24)</f>
        <v>0.22954861111111111</v>
      </c>
      <c r="G3106" s="7" t="s">
        <v>9</v>
      </c>
    </row>
    <row r="3107" spans="1:7" x14ac:dyDescent="0.45">
      <c r="A3107" t="s">
        <v>3202</v>
      </c>
      <c r="B3107" s="2" t="s">
        <v>58</v>
      </c>
      <c r="C3107" s="8" t="s">
        <v>12</v>
      </c>
      <c r="D3107" s="4">
        <f>2124/(60*60*24)</f>
        <v>2.4583333333333332E-2</v>
      </c>
      <c r="E3107" s="3">
        <f>6336/(60*60*24)</f>
        <v>7.3333333333333334E-2</v>
      </c>
      <c r="F3107" s="5">
        <f>20120/(60*60*24)</f>
        <v>0.23287037037037037</v>
      </c>
      <c r="G3107" s="7" t="s">
        <v>9</v>
      </c>
    </row>
    <row r="3108" spans="1:7" x14ac:dyDescent="0.45">
      <c r="A3108" t="s">
        <v>3203</v>
      </c>
      <c r="B3108" s="2" t="s">
        <v>62</v>
      </c>
      <c r="C3108" s="8" t="s">
        <v>12</v>
      </c>
      <c r="D3108" s="4">
        <f>2084/(60*60*24)</f>
        <v>2.4120370370370372E-2</v>
      </c>
      <c r="E3108" s="3">
        <f>5625/(60*60*24)</f>
        <v>6.5104166666666671E-2</v>
      </c>
      <c r="F3108" s="5">
        <f>19459/(60*60*24)</f>
        <v>0.22521990740740741</v>
      </c>
      <c r="G3108" s="7" t="s">
        <v>9</v>
      </c>
    </row>
    <row r="3109" spans="1:7" x14ac:dyDescent="0.45">
      <c r="A3109" t="s">
        <v>3204</v>
      </c>
      <c r="B3109" s="2" t="s">
        <v>64</v>
      </c>
      <c r="C3109" s="8" t="s">
        <v>12</v>
      </c>
      <c r="D3109" s="4">
        <f>1960/(60*60*24)</f>
        <v>2.2685185185185187E-2</v>
      </c>
      <c r="E3109" s="3">
        <f>5854/(60*60*24)</f>
        <v>6.7754629629629623E-2</v>
      </c>
      <c r="F3109" s="5">
        <f>18972/(60*60*24)</f>
        <v>0.21958333333333332</v>
      </c>
      <c r="G3109" s="7" t="s">
        <v>9</v>
      </c>
    </row>
    <row r="3110" spans="1:7" x14ac:dyDescent="0.45">
      <c r="A3110" t="s">
        <v>3205</v>
      </c>
      <c r="B3110" s="2" t="s">
        <v>68</v>
      </c>
      <c r="C3110" s="3">
        <f>5219/(60*60*24)</f>
        <v>6.0405092592592594E-2</v>
      </c>
      <c r="D3110" s="4">
        <f>1885/(60*60*24)</f>
        <v>2.1817129629629631E-2</v>
      </c>
      <c r="E3110" s="5">
        <f>5372/(60*60*24)</f>
        <v>6.2175925925925926E-2</v>
      </c>
      <c r="F3110" s="6">
        <f>18232/(60*60*24)</f>
        <v>0.21101851851851852</v>
      </c>
      <c r="G3110" s="7" t="s">
        <v>9</v>
      </c>
    </row>
    <row r="3111" spans="1:7" x14ac:dyDescent="0.45">
      <c r="A3111" t="s">
        <v>3206</v>
      </c>
      <c r="B3111" s="2" t="s">
        <v>66</v>
      </c>
      <c r="C3111" s="8" t="s">
        <v>12</v>
      </c>
      <c r="D3111" s="4">
        <f>1943/(60*60*24)</f>
        <v>2.2488425925925926E-2</v>
      </c>
      <c r="E3111" s="3">
        <f>5606/(60*60*24)</f>
        <v>6.4884259259259253E-2</v>
      </c>
      <c r="F3111" s="5">
        <f>18741/(60*60*24)</f>
        <v>0.21690972222222221</v>
      </c>
      <c r="G3111" s="7" t="s">
        <v>9</v>
      </c>
    </row>
    <row r="3112" spans="1:7" x14ac:dyDescent="0.45">
      <c r="A3112" t="s">
        <v>3207</v>
      </c>
      <c r="B3112" s="2" t="s">
        <v>70</v>
      </c>
      <c r="C3112" s="3">
        <f>4290/(60*60*24)</f>
        <v>4.9652777777777775E-2</v>
      </c>
      <c r="D3112" s="4">
        <f>1751/(60*60*24)</f>
        <v>2.0266203703703703E-2</v>
      </c>
      <c r="E3112" s="5">
        <f>5272/(60*60*24)</f>
        <v>6.1018518518518521E-2</v>
      </c>
      <c r="F3112" s="6">
        <f>17856/(60*60*24)</f>
        <v>0.20666666666666667</v>
      </c>
      <c r="G3112" s="7" t="s">
        <v>9</v>
      </c>
    </row>
    <row r="3113" spans="1:7" x14ac:dyDescent="0.45">
      <c r="A3113" t="s">
        <v>3208</v>
      </c>
      <c r="B3113" s="2" t="s">
        <v>72</v>
      </c>
      <c r="C3113" s="3">
        <f>4421/(60*60*24)</f>
        <v>5.1168981481481482E-2</v>
      </c>
      <c r="D3113" s="4">
        <f>1470/(60*60*24)</f>
        <v>1.7013888888888887E-2</v>
      </c>
      <c r="E3113" s="5">
        <f>5157/(60*60*24)</f>
        <v>5.9687499999999998E-2</v>
      </c>
      <c r="F3113" s="6">
        <f>17232/(60*60*24)</f>
        <v>0.19944444444444445</v>
      </c>
      <c r="G3113" s="7" t="s">
        <v>9</v>
      </c>
    </row>
    <row r="3114" spans="1:7" x14ac:dyDescent="0.45">
      <c r="A3114" t="s">
        <v>3209</v>
      </c>
      <c r="B3114" s="2" t="s">
        <v>74</v>
      </c>
      <c r="C3114" s="3">
        <f>5048/(60*60*24)</f>
        <v>5.8425925925925923E-2</v>
      </c>
      <c r="D3114" s="4">
        <f>1396/(60*60*24)</f>
        <v>1.6157407407407409E-2</v>
      </c>
      <c r="E3114" s="5">
        <f>5139/(60*60*24)</f>
        <v>5.9479166666666666E-2</v>
      </c>
      <c r="F3114" s="6">
        <f>17152/(60*60*24)</f>
        <v>0.19851851851851851</v>
      </c>
      <c r="G3114" s="7" t="s">
        <v>9</v>
      </c>
    </row>
    <row r="3115" spans="1:7" x14ac:dyDescent="0.45">
      <c r="A3115" t="s">
        <v>3210</v>
      </c>
      <c r="B3115" s="2" t="s">
        <v>76</v>
      </c>
      <c r="C3115" s="8" t="s">
        <v>12</v>
      </c>
      <c r="D3115" s="4">
        <f>1523/(60*60*24)</f>
        <v>1.7627314814814814E-2</v>
      </c>
      <c r="E3115" s="3">
        <f>5097/(60*60*24)</f>
        <v>5.8993055555555556E-2</v>
      </c>
      <c r="F3115" s="5">
        <f>16988/(60*60*24)</f>
        <v>0.19662037037037036</v>
      </c>
      <c r="G3115" s="7" t="s">
        <v>9</v>
      </c>
    </row>
    <row r="3116" spans="1:7" x14ac:dyDescent="0.45">
      <c r="A3116" t="s">
        <v>3211</v>
      </c>
      <c r="B3116" s="2" t="s">
        <v>78</v>
      </c>
      <c r="C3116" s="8" t="s">
        <v>12</v>
      </c>
      <c r="D3116" s="4">
        <f>1165/(60*60*24)</f>
        <v>1.3483796296296296E-2</v>
      </c>
      <c r="E3116" s="3">
        <f>5093/(60*60*24)</f>
        <v>5.8946759259259261E-2</v>
      </c>
      <c r="F3116" s="5">
        <f>16892/(60*60*24)</f>
        <v>0.19550925925925927</v>
      </c>
      <c r="G3116" s="7" t="s">
        <v>9</v>
      </c>
    </row>
    <row r="3117" spans="1:7" x14ac:dyDescent="0.45">
      <c r="A3117" t="s">
        <v>3212</v>
      </c>
      <c r="B3117" s="2" t="s">
        <v>80</v>
      </c>
      <c r="C3117" s="8" t="s">
        <v>12</v>
      </c>
      <c r="D3117" s="4">
        <f>1188/(60*60*24)</f>
        <v>1.375E-2</v>
      </c>
      <c r="E3117" s="3">
        <f>4984/(60*60*24)</f>
        <v>5.7685185185185187E-2</v>
      </c>
      <c r="F3117" s="5">
        <f>17059/(60*60*24)</f>
        <v>0.19744212962962962</v>
      </c>
      <c r="G3117" s="7" t="s">
        <v>9</v>
      </c>
    </row>
    <row r="3118" spans="1:7" x14ac:dyDescent="0.45">
      <c r="A3118" t="s">
        <v>3213</v>
      </c>
      <c r="B3118" s="2" t="s">
        <v>84</v>
      </c>
      <c r="C3118" s="8" t="s">
        <v>12</v>
      </c>
      <c r="D3118" s="4">
        <f>912/(60*60*24)</f>
        <v>1.0555555555555556E-2</v>
      </c>
      <c r="E3118" s="3">
        <f>5193/(60*60*24)</f>
        <v>6.0104166666666667E-2</v>
      </c>
      <c r="F3118" s="5">
        <f>17505/(60*60*24)</f>
        <v>0.20260416666666667</v>
      </c>
      <c r="G3118" s="7" t="s">
        <v>9</v>
      </c>
    </row>
    <row r="3119" spans="1:7" x14ac:dyDescent="0.45">
      <c r="A3119" t="s">
        <v>3214</v>
      </c>
      <c r="B3119" s="2" t="s">
        <v>82</v>
      </c>
      <c r="C3119" s="8" t="s">
        <v>12</v>
      </c>
      <c r="D3119" s="4">
        <f>1346/(60*60*24)</f>
        <v>1.5578703703703704E-2</v>
      </c>
      <c r="E3119" s="3">
        <f>5428/(60*60*24)</f>
        <v>6.2824074074074074E-2</v>
      </c>
      <c r="F3119" s="5">
        <f>18067/(60*60*24)</f>
        <v>0.20910879629629631</v>
      </c>
      <c r="G3119" s="7" t="s">
        <v>9</v>
      </c>
    </row>
    <row r="3120" spans="1:7" x14ac:dyDescent="0.45">
      <c r="A3120" t="s">
        <v>3215</v>
      </c>
      <c r="B3120" s="2" t="s">
        <v>88</v>
      </c>
      <c r="C3120" s="8" t="s">
        <v>12</v>
      </c>
      <c r="D3120" s="4">
        <f>1164/(60*60*24)</f>
        <v>1.3472222222222222E-2</v>
      </c>
      <c r="E3120" s="3">
        <f>4807/(60*60*24)</f>
        <v>5.5636574074074074E-2</v>
      </c>
      <c r="F3120" s="5">
        <f>15203/(60*60*24)</f>
        <v>0.17596064814814816</v>
      </c>
      <c r="G3120" s="7" t="s">
        <v>9</v>
      </c>
    </row>
    <row r="3121" spans="1:7" x14ac:dyDescent="0.45">
      <c r="A3121" t="s">
        <v>3216</v>
      </c>
      <c r="B3121" s="2" t="s">
        <v>86</v>
      </c>
      <c r="C3121" s="8" t="s">
        <v>12</v>
      </c>
      <c r="D3121" s="4">
        <f>1334/(60*60*24)</f>
        <v>1.5439814814814814E-2</v>
      </c>
      <c r="E3121" s="3">
        <f>4922/(60*60*24)</f>
        <v>5.6967592592592591E-2</v>
      </c>
      <c r="F3121" s="5">
        <f>15339/(60*60*24)</f>
        <v>0.17753472222222222</v>
      </c>
      <c r="G3121" s="7" t="s">
        <v>9</v>
      </c>
    </row>
    <row r="3122" spans="1:7" x14ac:dyDescent="0.45">
      <c r="A3122" t="s">
        <v>3217</v>
      </c>
      <c r="B3122" s="2" t="s">
        <v>90</v>
      </c>
      <c r="C3122" s="3">
        <f>4906/(60*60*24)</f>
        <v>5.6782407407407406E-2</v>
      </c>
      <c r="D3122" s="4">
        <f>1117/(60*60*24)</f>
        <v>1.292824074074074E-2</v>
      </c>
      <c r="E3122" s="5">
        <f>4922/(60*60*24)</f>
        <v>5.6967592592592591E-2</v>
      </c>
      <c r="F3122" s="6">
        <f>14466/(60*60*24)</f>
        <v>0.16743055555555555</v>
      </c>
      <c r="G3122" s="7" t="s">
        <v>9</v>
      </c>
    </row>
    <row r="3123" spans="1:7" x14ac:dyDescent="0.45">
      <c r="A3123" t="s">
        <v>3218</v>
      </c>
      <c r="B3123" s="2" t="s">
        <v>92</v>
      </c>
      <c r="C3123" s="3">
        <f>3924/(60*60*24)</f>
        <v>4.5416666666666668E-2</v>
      </c>
      <c r="D3123" s="4">
        <f>1249/(60*60*24)</f>
        <v>1.4456018518518519E-2</v>
      </c>
      <c r="E3123" s="5">
        <f>4876/(60*60*24)</f>
        <v>5.6435185185185185E-2</v>
      </c>
      <c r="F3123" s="6">
        <f>14352/(60*60*24)</f>
        <v>0.1661111111111111</v>
      </c>
      <c r="G3123" s="7" t="s">
        <v>9</v>
      </c>
    </row>
    <row r="3124" spans="1:7" x14ac:dyDescent="0.45">
      <c r="A3124" t="s">
        <v>3219</v>
      </c>
      <c r="B3124" s="2" t="s">
        <v>94</v>
      </c>
      <c r="C3124" s="3">
        <f>3282/(60*60*24)</f>
        <v>3.7986111111111109E-2</v>
      </c>
      <c r="D3124" s="4">
        <f>1335/(60*60*24)</f>
        <v>1.545138888888889E-2</v>
      </c>
      <c r="E3124" s="5">
        <f>4139/(60*60*24)</f>
        <v>4.7905092592592589E-2</v>
      </c>
      <c r="F3124" s="6">
        <f>14806/(60*60*24)</f>
        <v>0.17136574074074074</v>
      </c>
      <c r="G3124" s="7" t="s">
        <v>9</v>
      </c>
    </row>
    <row r="3125" spans="1:7" x14ac:dyDescent="0.45">
      <c r="A3125" t="s">
        <v>3220</v>
      </c>
      <c r="B3125" s="2" t="s">
        <v>96</v>
      </c>
      <c r="C3125" s="8" t="s">
        <v>12</v>
      </c>
      <c r="D3125" s="4">
        <f>1416/(60*60*24)</f>
        <v>1.638888888888889E-2</v>
      </c>
      <c r="E3125" s="3">
        <f>3964/(60*60*24)</f>
        <v>4.5879629629629631E-2</v>
      </c>
      <c r="F3125" s="5">
        <f>14722/(60*60*24)</f>
        <v>0.17039351851851853</v>
      </c>
      <c r="G3125" s="7" t="s">
        <v>9</v>
      </c>
    </row>
    <row r="3126" spans="1:7" x14ac:dyDescent="0.45">
      <c r="A3126" t="s">
        <v>3221</v>
      </c>
      <c r="B3126" s="2" t="s">
        <v>98</v>
      </c>
      <c r="C3126" s="8" t="s">
        <v>12</v>
      </c>
      <c r="D3126" s="4">
        <f>1515/(60*60*24)</f>
        <v>1.7534722222222222E-2</v>
      </c>
      <c r="E3126" s="3">
        <f>4005/(60*60*24)</f>
        <v>4.6354166666666669E-2</v>
      </c>
      <c r="F3126" s="5">
        <f>14642/(60*60*24)</f>
        <v>0.16946759259259259</v>
      </c>
      <c r="G3126" s="7" t="s">
        <v>9</v>
      </c>
    </row>
    <row r="3127" spans="1:7" x14ac:dyDescent="0.45">
      <c r="A3127" t="s">
        <v>3222</v>
      </c>
      <c r="B3127" s="2" t="s">
        <v>100</v>
      </c>
      <c r="C3127" s="8" t="s">
        <v>12</v>
      </c>
      <c r="D3127" s="4">
        <f>1559/(60*60*24)</f>
        <v>1.804398148148148E-2</v>
      </c>
      <c r="E3127" s="3">
        <f>4005/(60*60*24)</f>
        <v>4.6354166666666669E-2</v>
      </c>
      <c r="F3127" s="5">
        <f>14788/(60*60*24)</f>
        <v>0.1711574074074074</v>
      </c>
      <c r="G3127" s="7" t="s">
        <v>9</v>
      </c>
    </row>
    <row r="3128" spans="1:7" x14ac:dyDescent="0.45">
      <c r="A3128" t="s">
        <v>3223</v>
      </c>
      <c r="B3128" s="2" t="s">
        <v>104</v>
      </c>
      <c r="C3128" s="5">
        <f>5982/(60*60*24)</f>
        <v>6.9236111111111109E-2</v>
      </c>
      <c r="D3128" s="4">
        <f>1633/(60*60*24)</f>
        <v>1.8900462962962963E-2</v>
      </c>
      <c r="E3128" s="3">
        <f>3944/(60*60*24)</f>
        <v>4.5648148148148146E-2</v>
      </c>
      <c r="F3128" s="6">
        <f>14689/(60*60*24)</f>
        <v>0.17001157407407408</v>
      </c>
      <c r="G3128" s="7" t="s">
        <v>9</v>
      </c>
    </row>
    <row r="3129" spans="1:7" x14ac:dyDescent="0.45">
      <c r="A3129" t="s">
        <v>3224</v>
      </c>
      <c r="B3129" s="2" t="s">
        <v>102</v>
      </c>
      <c r="C3129" s="5">
        <f>5917/(60*60*24)</f>
        <v>6.8483796296296293E-2</v>
      </c>
      <c r="D3129" s="4">
        <f>1806/(60*60*24)</f>
        <v>2.0902777777777777E-2</v>
      </c>
      <c r="E3129" s="3">
        <f>3997/(60*60*24)</f>
        <v>4.6261574074074073E-2</v>
      </c>
      <c r="F3129" s="6">
        <f>14895/(60*60*24)</f>
        <v>0.17239583333333333</v>
      </c>
      <c r="G3129" s="7" t="s">
        <v>9</v>
      </c>
    </row>
    <row r="3130" spans="1:7" x14ac:dyDescent="0.45">
      <c r="A3130" t="s">
        <v>3225</v>
      </c>
      <c r="B3130" s="2" t="s">
        <v>108</v>
      </c>
      <c r="C3130" s="5">
        <f>6105/(60*60*24)</f>
        <v>7.0659722222222221E-2</v>
      </c>
      <c r="D3130" s="4">
        <f>1718/(60*60*24)</f>
        <v>1.9884259259259258E-2</v>
      </c>
      <c r="E3130" s="3">
        <f>4157/(60*60*24)</f>
        <v>4.8113425925925928E-2</v>
      </c>
      <c r="F3130" s="6">
        <f>14548/(60*60*24)</f>
        <v>0.16837962962962963</v>
      </c>
      <c r="G3130" s="7" t="s">
        <v>9</v>
      </c>
    </row>
    <row r="3131" spans="1:7" x14ac:dyDescent="0.45">
      <c r="A3131" t="s">
        <v>3226</v>
      </c>
      <c r="B3131" s="2" t="s">
        <v>106</v>
      </c>
      <c r="C3131" s="8" t="s">
        <v>12</v>
      </c>
      <c r="D3131" s="4">
        <f>1960/(60*60*24)</f>
        <v>2.2685185185185187E-2</v>
      </c>
      <c r="E3131" s="3">
        <f>4081/(60*60*24)</f>
        <v>4.7233796296296295E-2</v>
      </c>
      <c r="F3131" s="5">
        <f>14036/(60*60*24)</f>
        <v>0.16245370370370371</v>
      </c>
      <c r="G3131" s="7" t="s">
        <v>9</v>
      </c>
    </row>
    <row r="3132" spans="1:7" x14ac:dyDescent="0.45">
      <c r="A3132" t="s">
        <v>3227</v>
      </c>
      <c r="B3132" s="2" t="s">
        <v>110</v>
      </c>
      <c r="C3132" s="5">
        <f>5430/(60*60*24)</f>
        <v>6.2847222222222221E-2</v>
      </c>
      <c r="D3132" s="4">
        <f>1636/(60*60*24)</f>
        <v>1.8935185185185187E-2</v>
      </c>
      <c r="E3132" s="3">
        <f>4129/(60*60*24)</f>
        <v>4.7789351851851854E-2</v>
      </c>
      <c r="F3132" s="6">
        <f>14759/(60*60*24)</f>
        <v>0.17082175925925927</v>
      </c>
      <c r="G3132" s="7" t="s">
        <v>9</v>
      </c>
    </row>
    <row r="3133" spans="1:7" x14ac:dyDescent="0.45">
      <c r="A3133" t="s">
        <v>3228</v>
      </c>
      <c r="B3133" s="2" t="s">
        <v>112</v>
      </c>
      <c r="C3133" s="5">
        <f>5750/(60*60*24)</f>
        <v>6.655092592592593E-2</v>
      </c>
      <c r="D3133" s="4">
        <f>1623/(60*60*24)</f>
        <v>1.8784722222222223E-2</v>
      </c>
      <c r="E3133" s="3">
        <f>4278/(60*60*24)</f>
        <v>4.9513888888888892E-2</v>
      </c>
      <c r="F3133" s="6">
        <f>15219/(60*60*24)</f>
        <v>0.17614583333333333</v>
      </c>
      <c r="G3133" s="7" t="s">
        <v>9</v>
      </c>
    </row>
    <row r="3134" spans="1:7" x14ac:dyDescent="0.45">
      <c r="A3134" t="s">
        <v>3229</v>
      </c>
      <c r="B3134" s="2" t="s">
        <v>114</v>
      </c>
      <c r="C3134" s="8" t="s">
        <v>12</v>
      </c>
      <c r="D3134" s="4">
        <f>1877/(60*60*24)</f>
        <v>2.1724537037037039E-2</v>
      </c>
      <c r="E3134" s="3">
        <f>4491/(60*60*24)</f>
        <v>5.1979166666666667E-2</v>
      </c>
      <c r="F3134" s="5">
        <f>15534/(60*60*24)</f>
        <v>0.17979166666666666</v>
      </c>
      <c r="G3134" s="7" t="s">
        <v>9</v>
      </c>
    </row>
    <row r="3135" spans="1:7" x14ac:dyDescent="0.45">
      <c r="A3135" t="s">
        <v>3230</v>
      </c>
      <c r="B3135" s="2" t="s">
        <v>116</v>
      </c>
      <c r="C3135" s="8" t="s">
        <v>12</v>
      </c>
      <c r="D3135" s="4">
        <f>1790/(60*60*24)</f>
        <v>2.0717592592592593E-2</v>
      </c>
      <c r="E3135" s="3">
        <f>4630/(60*60*24)</f>
        <v>5.3587962962962962E-2</v>
      </c>
      <c r="F3135" s="5">
        <f>15343/(60*60*24)</f>
        <v>0.17758101851851851</v>
      </c>
      <c r="G3135" s="7" t="s">
        <v>9</v>
      </c>
    </row>
    <row r="3136" spans="1:7" x14ac:dyDescent="0.45">
      <c r="A3136" t="s">
        <v>3231</v>
      </c>
      <c r="B3136" s="2" t="s">
        <v>118</v>
      </c>
      <c r="C3136" s="8" t="s">
        <v>12</v>
      </c>
      <c r="D3136" s="4">
        <f>1796/(60*60*24)</f>
        <v>2.0787037037037038E-2</v>
      </c>
      <c r="E3136" s="3">
        <f>4565/(60*60*24)</f>
        <v>5.2835648148148145E-2</v>
      </c>
      <c r="F3136" s="5">
        <f>15640/(60*60*24)</f>
        <v>0.18101851851851852</v>
      </c>
      <c r="G3136" s="7" t="s">
        <v>9</v>
      </c>
    </row>
    <row r="3137" spans="1:7" x14ac:dyDescent="0.45">
      <c r="A3137" t="s">
        <v>3232</v>
      </c>
      <c r="B3137" s="2" t="s">
        <v>120</v>
      </c>
      <c r="C3137" s="8" t="s">
        <v>12</v>
      </c>
      <c r="D3137" s="4">
        <f>1729/(60*60*24)</f>
        <v>2.0011574074074074E-2</v>
      </c>
      <c r="E3137" s="3">
        <f>4670/(60*60*24)</f>
        <v>5.4050925925925926E-2</v>
      </c>
      <c r="F3137" s="5">
        <f>16521/(60*60*24)</f>
        <v>0.19121527777777778</v>
      </c>
      <c r="G3137" s="7" t="s">
        <v>9</v>
      </c>
    </row>
    <row r="3138" spans="1:7" x14ac:dyDescent="0.45">
      <c r="A3138" t="s">
        <v>3233</v>
      </c>
      <c r="B3138" s="2" t="s">
        <v>122</v>
      </c>
      <c r="C3138" s="5">
        <f>5139/(60*60*24)</f>
        <v>5.9479166666666666E-2</v>
      </c>
      <c r="D3138" s="4">
        <f>1758/(60*60*24)</f>
        <v>2.0347222222222221E-2</v>
      </c>
      <c r="E3138" s="3">
        <f>4704/(60*60*24)</f>
        <v>5.4444444444444441E-2</v>
      </c>
      <c r="F3138" s="6">
        <f>17192/(60*60*24)</f>
        <v>0.19898148148148148</v>
      </c>
      <c r="G3138" s="7" t="s">
        <v>9</v>
      </c>
    </row>
    <row r="3139" spans="1:7" x14ac:dyDescent="0.45">
      <c r="A3139" t="s">
        <v>3234</v>
      </c>
      <c r="B3139" s="2" t="s">
        <v>124</v>
      </c>
      <c r="C3139" s="8" t="s">
        <v>12</v>
      </c>
      <c r="D3139" s="4">
        <f>1737/(60*60*24)</f>
        <v>2.0104166666666666E-2</v>
      </c>
      <c r="E3139" s="3">
        <f>4807/(60*60*24)</f>
        <v>5.5636574074074074E-2</v>
      </c>
      <c r="F3139" s="5">
        <f>16942/(60*60*24)</f>
        <v>0.19608796296296296</v>
      </c>
      <c r="G3139" s="7" t="s">
        <v>9</v>
      </c>
    </row>
    <row r="3140" spans="1:7" x14ac:dyDescent="0.45">
      <c r="A3140" t="s">
        <v>3235</v>
      </c>
      <c r="B3140" s="2" t="s">
        <v>126</v>
      </c>
      <c r="C3140" s="5">
        <f>5181/(60*60*24)</f>
        <v>5.9965277777777777E-2</v>
      </c>
      <c r="D3140" s="4">
        <f>1834/(60*60*24)</f>
        <v>2.1226851851851851E-2</v>
      </c>
      <c r="E3140" s="3">
        <f>4969/(60*60*24)</f>
        <v>5.7511574074074076E-2</v>
      </c>
      <c r="F3140" s="6">
        <f>17726/(60*60*24)</f>
        <v>0.20516203703703703</v>
      </c>
      <c r="G3140" s="7" t="s">
        <v>9</v>
      </c>
    </row>
    <row r="3141" spans="1:7" x14ac:dyDescent="0.45">
      <c r="A3141" t="s">
        <v>3236</v>
      </c>
      <c r="B3141" s="2" t="s">
        <v>128</v>
      </c>
      <c r="C3141" s="5">
        <f>5265/(60*60*24)</f>
        <v>6.0937499999999999E-2</v>
      </c>
      <c r="D3141" s="4">
        <f>1930/(60*60*24)</f>
        <v>2.2337962962962962E-2</v>
      </c>
      <c r="E3141" s="3">
        <f>5224/(60*60*24)</f>
        <v>6.0462962962962961E-2</v>
      </c>
      <c r="F3141" s="6">
        <f>18119/(60*60*24)</f>
        <v>0.20971064814814816</v>
      </c>
      <c r="G3141" s="7" t="s">
        <v>9</v>
      </c>
    </row>
    <row r="3142" spans="1:7" x14ac:dyDescent="0.45">
      <c r="A3142" t="s">
        <v>3237</v>
      </c>
      <c r="B3142" s="2" t="s">
        <v>130</v>
      </c>
      <c r="C3142" s="3">
        <f>4821/(60*60*24)</f>
        <v>5.5798611111111111E-2</v>
      </c>
      <c r="D3142" s="4">
        <f>1934/(60*60*24)</f>
        <v>2.238425925925926E-2</v>
      </c>
      <c r="E3142" s="5">
        <f>5341/(60*60*24)</f>
        <v>6.1817129629629632E-2</v>
      </c>
      <c r="F3142" s="6">
        <f>18362/(60*60*24)</f>
        <v>0.21252314814814816</v>
      </c>
      <c r="G3142" s="7" t="s">
        <v>9</v>
      </c>
    </row>
    <row r="3143" spans="1:7" x14ac:dyDescent="0.45">
      <c r="A3143" t="s">
        <v>3238</v>
      </c>
      <c r="B3143" s="2" t="s">
        <v>132</v>
      </c>
      <c r="C3143" s="3">
        <f>4878/(60*60*24)</f>
        <v>5.6458333333333333E-2</v>
      </c>
      <c r="D3143" s="4">
        <f>1973/(60*60*24)</f>
        <v>2.2835648148148147E-2</v>
      </c>
      <c r="E3143" s="5">
        <f>5379/(60*60*24)</f>
        <v>6.2256944444444441E-2</v>
      </c>
      <c r="F3143" s="6">
        <f>18584/(60*60*24)</f>
        <v>0.21509259259259259</v>
      </c>
      <c r="G3143" s="7" t="s">
        <v>9</v>
      </c>
    </row>
    <row r="3144" spans="1:7" x14ac:dyDescent="0.45">
      <c r="A3144" t="s">
        <v>3239</v>
      </c>
      <c r="B3144" s="2" t="s">
        <v>136</v>
      </c>
      <c r="C3144" s="3">
        <f>5467/(60*60*24)</f>
        <v>6.3275462962962964E-2</v>
      </c>
      <c r="D3144" s="4">
        <f>2108/(60*60*24)</f>
        <v>2.4398148148148148E-2</v>
      </c>
      <c r="E3144" s="5">
        <f>5623/(60*60*24)</f>
        <v>6.5081018518518524E-2</v>
      </c>
      <c r="F3144" s="6">
        <f>19398/(60*60*24)</f>
        <v>0.2245138888888889</v>
      </c>
      <c r="G3144" s="7" t="s">
        <v>9</v>
      </c>
    </row>
    <row r="3145" spans="1:7" x14ac:dyDescent="0.45">
      <c r="A3145" t="s">
        <v>3240</v>
      </c>
      <c r="B3145" s="2" t="s">
        <v>134</v>
      </c>
      <c r="C3145" s="3">
        <f>5013/(60*60*24)</f>
        <v>5.8020833333333334E-2</v>
      </c>
      <c r="D3145" s="4">
        <f>2324/(60*60*24)</f>
        <v>2.6898148148148147E-2</v>
      </c>
      <c r="E3145" s="5">
        <f>5927/(60*60*24)</f>
        <v>6.8599537037037042E-2</v>
      </c>
      <c r="F3145" s="6">
        <f>20485/(60*60*24)</f>
        <v>0.23709490740740741</v>
      </c>
      <c r="G3145" s="7" t="s">
        <v>9</v>
      </c>
    </row>
    <row r="3146" spans="1:7" x14ac:dyDescent="0.45">
      <c r="A3146" t="s">
        <v>3241</v>
      </c>
      <c r="B3146" s="2" t="s">
        <v>138</v>
      </c>
      <c r="C3146" s="8" t="s">
        <v>12</v>
      </c>
      <c r="D3146" s="4">
        <f>3202/(60*60*24)</f>
        <v>3.7060185185185182E-2</v>
      </c>
      <c r="E3146" s="3">
        <f>5913/(60*60*24)</f>
        <v>6.8437499999999998E-2</v>
      </c>
      <c r="F3146" s="5">
        <f>20437/(60*60*24)</f>
        <v>0.23653935185185185</v>
      </c>
      <c r="G3146" s="7" t="s">
        <v>9</v>
      </c>
    </row>
    <row r="3147" spans="1:7" x14ac:dyDescent="0.45">
      <c r="A3147" t="s">
        <v>3242</v>
      </c>
      <c r="B3147" s="2" t="s">
        <v>140</v>
      </c>
      <c r="C3147" s="8" t="s">
        <v>12</v>
      </c>
      <c r="D3147" s="4">
        <f>2697/(60*60*24)</f>
        <v>3.1215277777777779E-2</v>
      </c>
      <c r="E3147" s="3">
        <f>6418/(60*60*24)</f>
        <v>7.4282407407407408E-2</v>
      </c>
      <c r="F3147" s="5">
        <f>21093/(60*60*24)</f>
        <v>0.24413194444444444</v>
      </c>
      <c r="G3147" s="7" t="s">
        <v>9</v>
      </c>
    </row>
    <row r="3148" spans="1:7" x14ac:dyDescent="0.45">
      <c r="A3148" t="s">
        <v>3243</v>
      </c>
      <c r="B3148" s="2" t="s">
        <v>142</v>
      </c>
      <c r="C3148" s="8" t="s">
        <v>12</v>
      </c>
      <c r="D3148" s="4">
        <f>2493/(60*60*24)</f>
        <v>2.8854166666666667E-2</v>
      </c>
      <c r="E3148" s="3">
        <f>6359/(60*60*24)</f>
        <v>7.3599537037037033E-2</v>
      </c>
      <c r="F3148" s="5">
        <f>21297/(60*60*24)</f>
        <v>0.24649305555555556</v>
      </c>
      <c r="G3148" s="7" t="s">
        <v>9</v>
      </c>
    </row>
    <row r="3149" spans="1:7" x14ac:dyDescent="0.45">
      <c r="A3149" t="s">
        <v>3244</v>
      </c>
      <c r="B3149" s="2" t="s">
        <v>144</v>
      </c>
      <c r="C3149" s="8" t="s">
        <v>12</v>
      </c>
      <c r="D3149" s="4">
        <f>2779/(60*60*24)</f>
        <v>3.2164351851851854E-2</v>
      </c>
      <c r="E3149" s="3">
        <f>6563/(60*60*24)</f>
        <v>7.5960648148148152E-2</v>
      </c>
      <c r="F3149" s="5">
        <f>21787/(60*60*24)</f>
        <v>0.25216435185185188</v>
      </c>
      <c r="G3149" s="7" t="s">
        <v>9</v>
      </c>
    </row>
    <row r="3150" spans="1:7" x14ac:dyDescent="0.45">
      <c r="A3150" t="s">
        <v>3245</v>
      </c>
      <c r="B3150" s="2" t="s">
        <v>146</v>
      </c>
      <c r="C3150" s="5">
        <f>7887/(60*60*24)</f>
        <v>9.1284722222222225E-2</v>
      </c>
      <c r="D3150" s="4">
        <f>2761/(60*60*24)</f>
        <v>3.1956018518518516E-2</v>
      </c>
      <c r="E3150" s="3">
        <f>6868/(60*60*24)</f>
        <v>7.9490740740740737E-2</v>
      </c>
      <c r="F3150" s="6">
        <f>22656/(60*60*24)</f>
        <v>0.26222222222222225</v>
      </c>
      <c r="G3150" s="7" t="s">
        <v>9</v>
      </c>
    </row>
    <row r="3151" spans="1:7" x14ac:dyDescent="0.45">
      <c r="A3151" t="s">
        <v>3246</v>
      </c>
      <c r="B3151" s="2" t="s">
        <v>148</v>
      </c>
      <c r="C3151" s="3">
        <f>5557/(60*60*24)</f>
        <v>6.4317129629629627E-2</v>
      </c>
      <c r="D3151" s="4">
        <f>2696/(60*60*24)</f>
        <v>3.1203703703703702E-2</v>
      </c>
      <c r="E3151" s="5">
        <f>7095/(60*60*24)</f>
        <v>8.2118055555555555E-2</v>
      </c>
      <c r="F3151" s="6">
        <f>23358/(60*60*24)</f>
        <v>0.27034722222222224</v>
      </c>
      <c r="G3151" s="7" t="s">
        <v>9</v>
      </c>
    </row>
    <row r="3152" spans="1:7" x14ac:dyDescent="0.45">
      <c r="A3152" t="s">
        <v>3247</v>
      </c>
      <c r="B3152" s="2" t="s">
        <v>150</v>
      </c>
      <c r="C3152" s="3">
        <f>5667/(60*60*24)</f>
        <v>6.5590277777777775E-2</v>
      </c>
      <c r="D3152" s="4">
        <f>2711/(60*60*24)</f>
        <v>3.1377314814814816E-2</v>
      </c>
      <c r="E3152" s="5">
        <f>7106/(60*60*24)</f>
        <v>8.2245370370370371E-2</v>
      </c>
      <c r="F3152" s="6">
        <f>24064/(60*60*24)</f>
        <v>0.2785185185185185</v>
      </c>
      <c r="G3152" s="7" t="s">
        <v>9</v>
      </c>
    </row>
    <row r="3153" spans="1:7" x14ac:dyDescent="0.45">
      <c r="A3153" t="s">
        <v>3248</v>
      </c>
      <c r="B3153" s="2" t="s">
        <v>152</v>
      </c>
      <c r="C3153" s="8" t="s">
        <v>12</v>
      </c>
      <c r="D3153" s="4">
        <f>2694/(60*60*24)</f>
        <v>3.1180555555555555E-2</v>
      </c>
      <c r="E3153" s="3">
        <f>7132/(60*60*24)</f>
        <v>8.2546296296296298E-2</v>
      </c>
      <c r="F3153" s="5">
        <f>24741/(60*60*24)</f>
        <v>0.28635416666666669</v>
      </c>
      <c r="G3153" s="7" t="s">
        <v>9</v>
      </c>
    </row>
    <row r="3154" spans="1:7" x14ac:dyDescent="0.45">
      <c r="A3154" t="s">
        <v>3249</v>
      </c>
      <c r="B3154" s="2" t="s">
        <v>154</v>
      </c>
      <c r="C3154" s="8" t="s">
        <v>12</v>
      </c>
      <c r="D3154" s="4">
        <f>2914/(60*60*24)</f>
        <v>3.3726851851851855E-2</v>
      </c>
      <c r="E3154" s="3">
        <f>7558/(60*60*24)</f>
        <v>8.7476851851851847E-2</v>
      </c>
      <c r="F3154" s="5">
        <f>25878/(60*60*24)</f>
        <v>0.29951388888888891</v>
      </c>
      <c r="G3154" s="7" t="s">
        <v>9</v>
      </c>
    </row>
    <row r="3155" spans="1:7" x14ac:dyDescent="0.45">
      <c r="A3155" t="s">
        <v>3250</v>
      </c>
      <c r="B3155" s="2" t="s">
        <v>156</v>
      </c>
      <c r="C3155" s="8" t="s">
        <v>12</v>
      </c>
      <c r="D3155" s="4">
        <f>2972/(60*60*24)</f>
        <v>3.439814814814815E-2</v>
      </c>
      <c r="E3155" s="3">
        <f>7770/(60*60*24)</f>
        <v>8.9930555555555555E-2</v>
      </c>
      <c r="F3155" s="5">
        <f>26805/(60*60*24)</f>
        <v>0.31024305555555554</v>
      </c>
      <c r="G3155" s="7" t="s">
        <v>9</v>
      </c>
    </row>
    <row r="3156" spans="1:7" x14ac:dyDescent="0.45">
      <c r="A3156" t="s">
        <v>3251</v>
      </c>
      <c r="B3156" s="2" t="s">
        <v>158</v>
      </c>
      <c r="C3156" s="5">
        <f>10491/(60*60*24)</f>
        <v>0.12142361111111111</v>
      </c>
      <c r="D3156" s="4">
        <f>3025/(60*60*24)</f>
        <v>3.5011574074074077E-2</v>
      </c>
      <c r="E3156" s="3">
        <f>7990/(60*60*24)</f>
        <v>9.2476851851851852E-2</v>
      </c>
      <c r="F3156" s="6">
        <f>28321/(60*60*24)</f>
        <v>0.32778935185185187</v>
      </c>
      <c r="G3156" s="7" t="s">
        <v>9</v>
      </c>
    </row>
    <row r="3157" spans="1:7" x14ac:dyDescent="0.45">
      <c r="A3157" t="s">
        <v>3252</v>
      </c>
      <c r="B3157" s="2" t="s">
        <v>160</v>
      </c>
      <c r="C3157" s="8" t="s">
        <v>12</v>
      </c>
      <c r="D3157" s="4">
        <f>2984/(60*60*24)</f>
        <v>3.453703703703704E-2</v>
      </c>
      <c r="E3157" s="3">
        <f>7940/(60*60*24)</f>
        <v>9.1898148148148145E-2</v>
      </c>
      <c r="F3157" s="5">
        <f>28314/(60*60*24)</f>
        <v>0.32770833333333332</v>
      </c>
      <c r="G3157" s="7" t="s">
        <v>9</v>
      </c>
    </row>
    <row r="3158" spans="1:7" x14ac:dyDescent="0.45">
      <c r="A3158" t="s">
        <v>3253</v>
      </c>
      <c r="B3158" s="2" t="s">
        <v>162</v>
      </c>
      <c r="C3158" s="5">
        <f>10365/(60*60*24)</f>
        <v>0.11996527777777778</v>
      </c>
      <c r="D3158" s="4">
        <f>3012/(60*60*24)</f>
        <v>3.4861111111111114E-2</v>
      </c>
      <c r="E3158" s="3">
        <f>8483/(60*60*24)</f>
        <v>9.8182870370370365E-2</v>
      </c>
      <c r="F3158" s="6">
        <f>29337/(60*60*24)</f>
        <v>0.33954861111111112</v>
      </c>
      <c r="G3158" s="7" t="s">
        <v>9</v>
      </c>
    </row>
    <row r="3159" spans="1:7" x14ac:dyDescent="0.45">
      <c r="A3159" t="s">
        <v>3254</v>
      </c>
      <c r="B3159" s="2" t="s">
        <v>164</v>
      </c>
      <c r="C3159" s="5">
        <f>10547/(60*60*24)</f>
        <v>0.12207175925925925</v>
      </c>
      <c r="D3159" s="4">
        <f>3137/(60*60*24)</f>
        <v>3.6307870370370372E-2</v>
      </c>
      <c r="E3159" s="3">
        <f>8777/(60*60*24)</f>
        <v>0.10158564814814815</v>
      </c>
      <c r="F3159" s="6">
        <f>30468/(60*60*24)</f>
        <v>0.35263888888888889</v>
      </c>
      <c r="G3159" s="7" t="s">
        <v>9</v>
      </c>
    </row>
    <row r="3160" spans="1:7" x14ac:dyDescent="0.45">
      <c r="A3160" t="s">
        <v>3255</v>
      </c>
      <c r="B3160" s="2" t="s">
        <v>166</v>
      </c>
      <c r="C3160" s="3">
        <f>6699/(60*60*24)</f>
        <v>7.7534722222222227E-2</v>
      </c>
      <c r="D3160" s="4">
        <f>3211/(60*60*24)</f>
        <v>3.7164351851851851E-2</v>
      </c>
      <c r="E3160" s="5">
        <f>9077/(60*60*24)</f>
        <v>0.10505787037037037</v>
      </c>
      <c r="F3160" s="6">
        <f>30329/(60*60*24)</f>
        <v>0.3510300925925926</v>
      </c>
      <c r="G3160" s="7" t="s">
        <v>9</v>
      </c>
    </row>
    <row r="3161" spans="1:7" x14ac:dyDescent="0.45">
      <c r="A3161" t="s">
        <v>3256</v>
      </c>
      <c r="B3161" s="2" t="s">
        <v>168</v>
      </c>
      <c r="C3161" s="8" t="s">
        <v>12</v>
      </c>
      <c r="D3161" s="4">
        <f>3074/(60*60*24)</f>
        <v>3.5578703703703703E-2</v>
      </c>
      <c r="E3161" s="3">
        <f>8707/(60*60*24)</f>
        <v>0.10077546296296297</v>
      </c>
      <c r="F3161" s="5">
        <f>30211/(60*60*24)</f>
        <v>0.34966435185185185</v>
      </c>
      <c r="G3161" s="7" t="s">
        <v>9</v>
      </c>
    </row>
    <row r="3162" spans="1:7" x14ac:dyDescent="0.45">
      <c r="A3162" t="s">
        <v>3257</v>
      </c>
      <c r="B3162" s="2" t="s">
        <v>170</v>
      </c>
      <c r="C3162" s="8" t="s">
        <v>12</v>
      </c>
      <c r="D3162" s="4">
        <f>3188/(60*60*24)</f>
        <v>3.6898148148148145E-2</v>
      </c>
      <c r="E3162" s="3">
        <f>9081/(60*60*24)</f>
        <v>0.10510416666666667</v>
      </c>
      <c r="F3162" s="5">
        <f>30787/(60*60*24)</f>
        <v>0.35633101851851851</v>
      </c>
      <c r="G3162" s="7" t="s">
        <v>9</v>
      </c>
    </row>
    <row r="3163" spans="1:7" x14ac:dyDescent="0.45">
      <c r="A3163" t="s">
        <v>3258</v>
      </c>
      <c r="B3163" s="2" t="s">
        <v>172</v>
      </c>
      <c r="C3163" s="8" t="s">
        <v>12</v>
      </c>
      <c r="D3163" s="4">
        <f>3178/(60*60*24)</f>
        <v>3.6782407407407409E-2</v>
      </c>
      <c r="E3163" s="3">
        <f>9160/(60*60*24)</f>
        <v>0.10601851851851851</v>
      </c>
      <c r="F3163" s="5">
        <f>31681/(60*60*24)</f>
        <v>0.36667824074074074</v>
      </c>
      <c r="G3163" s="7" t="s">
        <v>9</v>
      </c>
    </row>
    <row r="3164" spans="1:7" x14ac:dyDescent="0.45">
      <c r="A3164" t="s">
        <v>3259</v>
      </c>
      <c r="B3164" s="2" t="s">
        <v>176</v>
      </c>
      <c r="C3164" s="8" t="s">
        <v>12</v>
      </c>
      <c r="D3164" s="4">
        <f>3726/(60*60*24)</f>
        <v>4.3124999999999997E-2</v>
      </c>
      <c r="E3164" s="3">
        <f>11144/(60*60*24)</f>
        <v>0.12898148148148147</v>
      </c>
      <c r="F3164" s="5">
        <f>36829/(60*60*24)</f>
        <v>0.42626157407407406</v>
      </c>
      <c r="G3164" s="7" t="s">
        <v>9</v>
      </c>
    </row>
    <row r="3165" spans="1:7" x14ac:dyDescent="0.45">
      <c r="A3165" t="s">
        <v>3260</v>
      </c>
      <c r="B3165" s="2" t="s">
        <v>174</v>
      </c>
      <c r="C3165" s="8" t="s">
        <v>12</v>
      </c>
      <c r="D3165" s="4">
        <f>3580/(60*60*24)</f>
        <v>4.1435185185185186E-2</v>
      </c>
      <c r="E3165" s="3">
        <f>11159/(60*60*24)</f>
        <v>0.12915509259259259</v>
      </c>
      <c r="F3165" s="5">
        <f>36465/(60*60*24)</f>
        <v>0.42204861111111114</v>
      </c>
      <c r="G3165" s="7" t="s">
        <v>9</v>
      </c>
    </row>
    <row r="3166" spans="1:7" x14ac:dyDescent="0.45">
      <c r="A3166" t="s">
        <v>3261</v>
      </c>
      <c r="B3166" s="2" t="s">
        <v>180</v>
      </c>
      <c r="C3166" s="3">
        <f>8923/(60*60*24)</f>
        <v>0.10327546296296296</v>
      </c>
      <c r="D3166" s="4">
        <f>3623/(60*60*24)</f>
        <v>4.193287037037037E-2</v>
      </c>
      <c r="E3166" s="5">
        <f>10902/(60*60*24)</f>
        <v>0.12618055555555555</v>
      </c>
      <c r="F3166" s="6">
        <f>37431/(60*60*24)</f>
        <v>0.43322916666666667</v>
      </c>
      <c r="G3166" s="7" t="s">
        <v>9</v>
      </c>
    </row>
    <row r="3167" spans="1:7" x14ac:dyDescent="0.45">
      <c r="A3167" t="s">
        <v>3262</v>
      </c>
      <c r="B3167" s="2" t="s">
        <v>178</v>
      </c>
      <c r="C3167" s="8" t="s">
        <v>12</v>
      </c>
      <c r="D3167" s="4">
        <f>3587/(60*60*24)</f>
        <v>4.1516203703703701E-2</v>
      </c>
      <c r="E3167" s="3">
        <f>11387/(60*60*24)</f>
        <v>0.13179398148148147</v>
      </c>
      <c r="F3167" s="5">
        <f>37909/(60*60*24)</f>
        <v>0.43876157407407407</v>
      </c>
      <c r="G3167" s="7" t="s">
        <v>9</v>
      </c>
    </row>
    <row r="3168" spans="1:7" x14ac:dyDescent="0.45">
      <c r="A3168" t="s">
        <v>3263</v>
      </c>
      <c r="B3168" s="2" t="s">
        <v>182</v>
      </c>
      <c r="C3168" s="3">
        <f>7871/(60*60*24)</f>
        <v>9.1099537037037034E-2</v>
      </c>
      <c r="D3168" s="4">
        <f>3587/(60*60*24)</f>
        <v>4.1516203703703701E-2</v>
      </c>
      <c r="E3168" s="5">
        <f>11239/(60*60*24)</f>
        <v>0.13008101851851853</v>
      </c>
      <c r="F3168" s="6">
        <f>37419/(60*60*24)</f>
        <v>0.43309027777777775</v>
      </c>
      <c r="G3168" s="7" t="s">
        <v>9</v>
      </c>
    </row>
    <row r="3169" spans="1:7" x14ac:dyDescent="0.45">
      <c r="A3169" t="s">
        <v>3264</v>
      </c>
      <c r="B3169" s="2" t="s">
        <v>184</v>
      </c>
      <c r="C3169" s="3">
        <f>7310/(60*60*24)</f>
        <v>8.4606481481481477E-2</v>
      </c>
      <c r="D3169" s="4">
        <f>3584/(60*60*24)</f>
        <v>4.148148148148148E-2</v>
      </c>
      <c r="E3169" s="5">
        <f>10880/(60*60*24)</f>
        <v>0.12592592592592591</v>
      </c>
      <c r="F3169" s="6">
        <f>37188/(60*60*24)</f>
        <v>0.43041666666666667</v>
      </c>
      <c r="G3169" s="7" t="s">
        <v>9</v>
      </c>
    </row>
    <row r="3170" spans="1:7" x14ac:dyDescent="0.45">
      <c r="A3170" t="s">
        <v>3265</v>
      </c>
      <c r="B3170" s="2" t="s">
        <v>8</v>
      </c>
      <c r="C3170" s="8" t="s">
        <v>12</v>
      </c>
      <c r="D3170" s="4">
        <f>2751/(60*60*24)</f>
        <v>3.184027777777778E-2</v>
      </c>
      <c r="E3170" s="3">
        <f>10297/(60*60*24)</f>
        <v>0.11917824074074074</v>
      </c>
      <c r="F3170" s="5">
        <f>35013/(60*60*24)</f>
        <v>0.40524305555555556</v>
      </c>
      <c r="G3170" s="7" t="s">
        <v>9</v>
      </c>
    </row>
    <row r="3171" spans="1:7" x14ac:dyDescent="0.45">
      <c r="A3171" t="s">
        <v>3266</v>
      </c>
      <c r="B3171" s="2" t="s">
        <v>11</v>
      </c>
      <c r="C3171" s="8" t="s">
        <v>12</v>
      </c>
      <c r="D3171" s="4">
        <f>2602/(60*60*24)</f>
        <v>3.0115740740740742E-2</v>
      </c>
      <c r="E3171" s="3">
        <f>10026/(60*60*24)</f>
        <v>0.11604166666666667</v>
      </c>
      <c r="F3171" s="5">
        <f>34174/(60*60*24)</f>
        <v>0.39553240740740742</v>
      </c>
      <c r="G3171" s="7" t="s">
        <v>9</v>
      </c>
    </row>
    <row r="3172" spans="1:7" x14ac:dyDescent="0.45">
      <c r="A3172" t="s">
        <v>3267</v>
      </c>
      <c r="B3172" s="2" t="s">
        <v>14</v>
      </c>
      <c r="C3172" s="8" t="s">
        <v>12</v>
      </c>
      <c r="D3172" s="4">
        <f>2595/(60*60*24)</f>
        <v>3.0034722222222223E-2</v>
      </c>
      <c r="E3172" s="3">
        <f>10059/(60*60*24)</f>
        <v>0.11642361111111112</v>
      </c>
      <c r="F3172" s="5">
        <f>33719/(60*60*24)</f>
        <v>0.39026620370370368</v>
      </c>
      <c r="G3172" s="7" t="s">
        <v>9</v>
      </c>
    </row>
    <row r="3173" spans="1:7" x14ac:dyDescent="0.45">
      <c r="A3173" t="s">
        <v>3268</v>
      </c>
      <c r="B3173" s="2" t="s">
        <v>16</v>
      </c>
      <c r="C3173" s="8" t="s">
        <v>12</v>
      </c>
      <c r="D3173" s="4">
        <f>2587/(60*60*24)</f>
        <v>2.9942129629629631E-2</v>
      </c>
      <c r="E3173" s="3">
        <f>9903/(60*60*24)</f>
        <v>0.11461805555555556</v>
      </c>
      <c r="F3173" s="5">
        <f>32709/(60*60*24)</f>
        <v>0.37857638888888889</v>
      </c>
      <c r="G3173" s="7" t="s">
        <v>9</v>
      </c>
    </row>
    <row r="3174" spans="1:7" x14ac:dyDescent="0.45">
      <c r="A3174" t="s">
        <v>3269</v>
      </c>
      <c r="B3174" s="2" t="s">
        <v>18</v>
      </c>
      <c r="C3174" s="3">
        <f>6503/(60*60*24)</f>
        <v>7.526620370370371E-2</v>
      </c>
      <c r="D3174" s="4">
        <f>2413/(60*60*24)</f>
        <v>2.792824074074074E-2</v>
      </c>
      <c r="E3174" s="5">
        <f>9359/(60*60*24)</f>
        <v>0.10832175925925926</v>
      </c>
      <c r="F3174" s="6">
        <f>32016/(60*60*24)</f>
        <v>0.37055555555555558</v>
      </c>
      <c r="G3174" s="7" t="s">
        <v>9</v>
      </c>
    </row>
    <row r="3175" spans="1:7" x14ac:dyDescent="0.45">
      <c r="A3175" t="s">
        <v>3270</v>
      </c>
      <c r="B3175" s="2" t="s">
        <v>20</v>
      </c>
      <c r="C3175" s="3">
        <f>7000/(60*60*24)</f>
        <v>8.1018518518518517E-2</v>
      </c>
      <c r="D3175" s="4">
        <f>2350/(60*60*24)</f>
        <v>2.7199074074074073E-2</v>
      </c>
      <c r="E3175" s="5">
        <f>9410/(60*60*24)</f>
        <v>0.10891203703703704</v>
      </c>
      <c r="F3175" s="6">
        <f>31446/(60*60*24)</f>
        <v>0.36395833333333333</v>
      </c>
      <c r="G3175" s="7" t="s">
        <v>9</v>
      </c>
    </row>
    <row r="3176" spans="1:7" x14ac:dyDescent="0.45">
      <c r="A3176" t="s">
        <v>3271</v>
      </c>
      <c r="B3176" s="2" t="s">
        <v>22</v>
      </c>
      <c r="C3176" s="8" t="s">
        <v>12</v>
      </c>
      <c r="D3176" s="4">
        <f>2471/(60*60*24)</f>
        <v>2.8599537037037038E-2</v>
      </c>
      <c r="E3176" s="3">
        <f>9547/(60*60*24)</f>
        <v>0.11049768518518518</v>
      </c>
      <c r="F3176" s="5">
        <f>31278/(60*60*24)</f>
        <v>0.36201388888888891</v>
      </c>
      <c r="G3176" s="7" t="s">
        <v>9</v>
      </c>
    </row>
    <row r="3177" spans="1:7" x14ac:dyDescent="0.45">
      <c r="A3177" t="s">
        <v>3272</v>
      </c>
      <c r="B3177" s="2" t="s">
        <v>24</v>
      </c>
      <c r="C3177" s="8" t="s">
        <v>12</v>
      </c>
      <c r="D3177" s="4">
        <f>2619/(60*60*24)</f>
        <v>3.0312499999999999E-2</v>
      </c>
      <c r="E3177" s="3">
        <f>9335/(60*60*24)</f>
        <v>0.10804398148148148</v>
      </c>
      <c r="F3177" s="5">
        <f>30790/(60*60*24)</f>
        <v>0.35636574074074073</v>
      </c>
      <c r="G3177" s="7" t="s">
        <v>9</v>
      </c>
    </row>
    <row r="3178" spans="1:7" x14ac:dyDescent="0.45">
      <c r="A3178" t="s">
        <v>3273</v>
      </c>
      <c r="B3178" s="2" t="s">
        <v>26</v>
      </c>
      <c r="C3178" s="3">
        <f>5515/(60*60*24)</f>
        <v>6.3831018518518523E-2</v>
      </c>
      <c r="D3178" s="4">
        <f>2430/(60*60*24)</f>
        <v>2.8125000000000001E-2</v>
      </c>
      <c r="E3178" s="5">
        <f>9215/(60*60*24)</f>
        <v>0.10665509259259259</v>
      </c>
      <c r="F3178" s="6">
        <f>29790/(60*60*24)</f>
        <v>0.34479166666666666</v>
      </c>
      <c r="G3178" s="7" t="s">
        <v>9</v>
      </c>
    </row>
    <row r="3179" spans="1:7" x14ac:dyDescent="0.45">
      <c r="A3179" t="s">
        <v>3274</v>
      </c>
      <c r="B3179" s="2" t="s">
        <v>28</v>
      </c>
      <c r="C3179" s="3">
        <f>5334/(60*60*24)</f>
        <v>6.173611111111111E-2</v>
      </c>
      <c r="D3179" s="4">
        <f>2653/(60*60*24)</f>
        <v>3.0706018518518518E-2</v>
      </c>
      <c r="E3179" s="5">
        <f>9019/(60*60*24)</f>
        <v>0.10438657407407408</v>
      </c>
      <c r="F3179" s="6">
        <f>29586/(60*60*24)</f>
        <v>0.34243055555555557</v>
      </c>
      <c r="G3179" s="7" t="s">
        <v>9</v>
      </c>
    </row>
    <row r="3180" spans="1:7" x14ac:dyDescent="0.45">
      <c r="A3180" t="s">
        <v>3275</v>
      </c>
      <c r="B3180" s="2" t="s">
        <v>30</v>
      </c>
      <c r="C3180" s="3">
        <f>6587/(60*60*24)</f>
        <v>7.6238425925925932E-2</v>
      </c>
      <c r="D3180" s="4">
        <f>2767/(60*60*24)</f>
        <v>3.2025462962962964E-2</v>
      </c>
      <c r="E3180" s="5">
        <f>8678/(60*60*24)</f>
        <v>0.10043981481481482</v>
      </c>
      <c r="F3180" s="6">
        <f>28876/(60*60*24)</f>
        <v>0.33421296296296299</v>
      </c>
      <c r="G3180" s="7" t="s">
        <v>9</v>
      </c>
    </row>
    <row r="3181" spans="1:7" x14ac:dyDescent="0.45">
      <c r="A3181" t="s">
        <v>3276</v>
      </c>
      <c r="B3181" s="2" t="s">
        <v>32</v>
      </c>
      <c r="C3181" s="8" t="s">
        <v>12</v>
      </c>
      <c r="D3181" s="4">
        <f>2787/(60*60*24)</f>
        <v>3.2256944444444442E-2</v>
      </c>
      <c r="E3181" s="3">
        <f>9255/(60*60*24)</f>
        <v>0.10711805555555555</v>
      </c>
      <c r="F3181" s="5">
        <f>30117/(60*60*24)</f>
        <v>0.34857638888888887</v>
      </c>
      <c r="G3181" s="7" t="s">
        <v>9</v>
      </c>
    </row>
    <row r="3182" spans="1:7" x14ac:dyDescent="0.45">
      <c r="A3182" t="s">
        <v>3277</v>
      </c>
      <c r="B3182" s="2" t="s">
        <v>36</v>
      </c>
      <c r="C3182" s="8" t="s">
        <v>12</v>
      </c>
      <c r="D3182" s="4">
        <f>3000/(60*60*24)</f>
        <v>3.4722222222222224E-2</v>
      </c>
      <c r="E3182" s="3">
        <f>8538/(60*60*24)</f>
        <v>9.8819444444444446E-2</v>
      </c>
      <c r="F3182" s="5">
        <f>27783/(60*60*24)</f>
        <v>0.32156249999999997</v>
      </c>
      <c r="G3182" s="7" t="s">
        <v>9</v>
      </c>
    </row>
    <row r="3183" spans="1:7" x14ac:dyDescent="0.45">
      <c r="A3183" t="s">
        <v>3278</v>
      </c>
      <c r="B3183" s="2" t="s">
        <v>34</v>
      </c>
      <c r="C3183" s="8" t="s">
        <v>12</v>
      </c>
      <c r="D3183" s="4">
        <f>3114/(60*60*24)</f>
        <v>3.6041666666666666E-2</v>
      </c>
      <c r="E3183" s="3">
        <f>8495/(60*60*24)</f>
        <v>9.8321759259259262E-2</v>
      </c>
      <c r="F3183" s="5">
        <f>27423/(60*60*24)</f>
        <v>0.31739583333333332</v>
      </c>
      <c r="G3183" s="7" t="s">
        <v>9</v>
      </c>
    </row>
    <row r="3184" spans="1:7" x14ac:dyDescent="0.45">
      <c r="A3184" t="s">
        <v>3279</v>
      </c>
      <c r="B3184" s="2" t="s">
        <v>38</v>
      </c>
      <c r="C3184" s="3">
        <f>7529/(60*60*24)</f>
        <v>8.7141203703703707E-2</v>
      </c>
      <c r="D3184" s="4">
        <f>3104/(60*60*24)</f>
        <v>3.5925925925925924E-2</v>
      </c>
      <c r="E3184" s="5">
        <f>7798/(60*60*24)</f>
        <v>9.0254629629629629E-2</v>
      </c>
      <c r="F3184" s="6">
        <f>26415/(60*60*24)</f>
        <v>0.30572916666666666</v>
      </c>
      <c r="G3184" s="7" t="s">
        <v>9</v>
      </c>
    </row>
    <row r="3185" spans="1:7" x14ac:dyDescent="0.45">
      <c r="A3185" t="s">
        <v>3280</v>
      </c>
      <c r="B3185" s="2" t="s">
        <v>40</v>
      </c>
      <c r="C3185" s="3">
        <f>5806/(60*60*24)</f>
        <v>6.7199074074074078E-2</v>
      </c>
      <c r="D3185" s="4">
        <f>2930/(60*60*24)</f>
        <v>3.3912037037037039E-2</v>
      </c>
      <c r="E3185" s="5">
        <f>7673/(60*60*24)</f>
        <v>8.880787037037037E-2</v>
      </c>
      <c r="F3185" s="6">
        <f>25775/(60*60*24)</f>
        <v>0.29832175925925924</v>
      </c>
      <c r="G3185" s="7" t="s">
        <v>9</v>
      </c>
    </row>
    <row r="3186" spans="1:7" x14ac:dyDescent="0.45">
      <c r="A3186" t="s">
        <v>3281</v>
      </c>
      <c r="B3186" s="2" t="s">
        <v>44</v>
      </c>
      <c r="C3186" s="8" t="s">
        <v>12</v>
      </c>
      <c r="D3186" s="4">
        <f>3021/(60*60*24)</f>
        <v>3.4965277777777776E-2</v>
      </c>
      <c r="E3186" s="3">
        <f>7705/(60*60*24)</f>
        <v>8.9178240740740738E-2</v>
      </c>
      <c r="F3186" s="5">
        <f>25124/(60*60*24)</f>
        <v>0.29078703703703701</v>
      </c>
      <c r="G3186" s="7" t="s">
        <v>9</v>
      </c>
    </row>
    <row r="3187" spans="1:7" x14ac:dyDescent="0.45">
      <c r="A3187" t="s">
        <v>3282</v>
      </c>
      <c r="B3187" s="2" t="s">
        <v>42</v>
      </c>
      <c r="C3187" s="8" t="s">
        <v>12</v>
      </c>
      <c r="D3187" s="4">
        <f>2935/(60*60*24)</f>
        <v>3.3969907407407407E-2</v>
      </c>
      <c r="E3187" s="3">
        <f>7650/(60*60*24)</f>
        <v>8.8541666666666671E-2</v>
      </c>
      <c r="F3187" s="5">
        <f>24595/(60*60*24)</f>
        <v>0.28466435185185185</v>
      </c>
      <c r="G3187" s="7" t="s">
        <v>9</v>
      </c>
    </row>
    <row r="3188" spans="1:7" x14ac:dyDescent="0.45">
      <c r="A3188" t="s">
        <v>3283</v>
      </c>
      <c r="B3188" s="2" t="s">
        <v>46</v>
      </c>
      <c r="C3188" s="8" t="s">
        <v>12</v>
      </c>
      <c r="D3188" s="4">
        <f>3285/(60*60*24)</f>
        <v>3.802083333333333E-2</v>
      </c>
      <c r="E3188" s="3">
        <f>7949/(60*60*24)</f>
        <v>9.2002314814814815E-2</v>
      </c>
      <c r="F3188" s="5">
        <f>24965/(60*60*24)</f>
        <v>0.28894675925925928</v>
      </c>
      <c r="G3188" s="7" t="s">
        <v>9</v>
      </c>
    </row>
    <row r="3189" spans="1:7" x14ac:dyDescent="0.45">
      <c r="A3189" t="s">
        <v>3284</v>
      </c>
      <c r="B3189" s="2" t="s">
        <v>48</v>
      </c>
      <c r="C3189" s="8" t="s">
        <v>12</v>
      </c>
      <c r="D3189" s="4">
        <f>3325/(60*60*24)</f>
        <v>3.8483796296296294E-2</v>
      </c>
      <c r="E3189" s="3">
        <f>7388/(60*60*24)</f>
        <v>8.5509259259259257E-2</v>
      </c>
      <c r="F3189" s="5">
        <f>24091/(60*60*24)</f>
        <v>0.27883101851851849</v>
      </c>
      <c r="G3189" s="7" t="s">
        <v>9</v>
      </c>
    </row>
    <row r="3190" spans="1:7" x14ac:dyDescent="0.45">
      <c r="A3190" t="s">
        <v>3285</v>
      </c>
      <c r="B3190" s="2" t="s">
        <v>50</v>
      </c>
      <c r="C3190" s="8" t="s">
        <v>12</v>
      </c>
      <c r="D3190" s="4">
        <f>2572/(60*60*24)</f>
        <v>2.9768518518518517E-2</v>
      </c>
      <c r="E3190" s="3">
        <f>7095/(60*60*24)</f>
        <v>8.2118055555555555E-2</v>
      </c>
      <c r="F3190" s="5">
        <f>23460/(60*60*24)</f>
        <v>0.27152777777777776</v>
      </c>
      <c r="G3190" s="7" t="s">
        <v>9</v>
      </c>
    </row>
    <row r="3191" spans="1:7" x14ac:dyDescent="0.45">
      <c r="A3191" t="s">
        <v>3286</v>
      </c>
      <c r="B3191" s="2" t="s">
        <v>52</v>
      </c>
      <c r="C3191" s="8" t="s">
        <v>12</v>
      </c>
      <c r="D3191" s="4">
        <f>2542/(60*60*24)</f>
        <v>2.9421296296296296E-2</v>
      </c>
      <c r="E3191" s="3">
        <f>6741/(60*60*24)</f>
        <v>7.8020833333333331E-2</v>
      </c>
      <c r="F3191" s="5">
        <f>22411/(60*60*24)</f>
        <v>0.25938657407407406</v>
      </c>
      <c r="G3191" s="7" t="s">
        <v>9</v>
      </c>
    </row>
    <row r="3192" spans="1:7" x14ac:dyDescent="0.45">
      <c r="A3192" t="s">
        <v>3287</v>
      </c>
      <c r="B3192" s="2" t="s">
        <v>56</v>
      </c>
      <c r="C3192" s="3">
        <f>6156/(60*60*24)</f>
        <v>7.1249999999999994E-2</v>
      </c>
      <c r="D3192" s="4">
        <f>2360/(60*60*24)</f>
        <v>2.7314814814814816E-2</v>
      </c>
      <c r="E3192" s="5">
        <f>6646/(60*60*24)</f>
        <v>7.6921296296296293E-2</v>
      </c>
      <c r="F3192" s="6">
        <f>20893/(60*60*24)</f>
        <v>0.24181712962962962</v>
      </c>
      <c r="G3192" s="7" t="s">
        <v>9</v>
      </c>
    </row>
    <row r="3193" spans="1:7" x14ac:dyDescent="0.45">
      <c r="A3193" t="s">
        <v>3288</v>
      </c>
      <c r="B3193" s="2" t="s">
        <v>54</v>
      </c>
      <c r="C3193" s="8" t="s">
        <v>12</v>
      </c>
      <c r="D3193" s="4">
        <f>3014/(60*60*24)</f>
        <v>3.4884259259259261E-2</v>
      </c>
      <c r="E3193" s="3">
        <f>7171/(60*60*24)</f>
        <v>8.2997685185185188E-2</v>
      </c>
      <c r="F3193" s="5">
        <f>21512/(60*60*24)</f>
        <v>0.24898148148148147</v>
      </c>
      <c r="G3193" s="7" t="s">
        <v>9</v>
      </c>
    </row>
    <row r="3194" spans="1:7" x14ac:dyDescent="0.45">
      <c r="A3194" t="s">
        <v>3289</v>
      </c>
      <c r="B3194" s="2" t="s">
        <v>58</v>
      </c>
      <c r="C3194" s="3">
        <f>5631/(60*60*24)</f>
        <v>6.5173611111111113E-2</v>
      </c>
      <c r="D3194" s="4">
        <f>2152/(60*60*24)</f>
        <v>2.4907407407407406E-2</v>
      </c>
      <c r="E3194" s="5">
        <f>6346/(60*60*24)</f>
        <v>7.3449074074074069E-2</v>
      </c>
      <c r="F3194" s="6">
        <f>20626/(60*60*24)</f>
        <v>0.23872685185185186</v>
      </c>
      <c r="G3194" s="7" t="s">
        <v>9</v>
      </c>
    </row>
    <row r="3195" spans="1:7" x14ac:dyDescent="0.45">
      <c r="A3195" t="s">
        <v>3290</v>
      </c>
      <c r="B3195" s="2" t="s">
        <v>60</v>
      </c>
      <c r="C3195" s="3">
        <f>5837/(60*60*24)</f>
        <v>6.7557870370370365E-2</v>
      </c>
      <c r="D3195" s="4">
        <f>2211/(60*60*24)</f>
        <v>2.5590277777777778E-2</v>
      </c>
      <c r="E3195" s="5">
        <f>6474/(60*60*24)</f>
        <v>7.4930555555555556E-2</v>
      </c>
      <c r="F3195" s="6">
        <f>20429/(60*60*24)</f>
        <v>0.23644675925925926</v>
      </c>
      <c r="G3195" s="7" t="s">
        <v>9</v>
      </c>
    </row>
    <row r="3196" spans="1:7" x14ac:dyDescent="0.45">
      <c r="A3196" t="s">
        <v>3291</v>
      </c>
      <c r="B3196" s="2" t="s">
        <v>62</v>
      </c>
      <c r="C3196" s="8" t="s">
        <v>12</v>
      </c>
      <c r="D3196" s="4">
        <f>2104/(60*60*24)</f>
        <v>2.435185185185185E-2</v>
      </c>
      <c r="E3196" s="3">
        <f>6048/(60*60*24)</f>
        <v>7.0000000000000007E-2</v>
      </c>
      <c r="F3196" s="5">
        <f>19799/(60*60*24)</f>
        <v>0.22915509259259259</v>
      </c>
      <c r="G3196" s="7" t="s">
        <v>9</v>
      </c>
    </row>
    <row r="3197" spans="1:7" x14ac:dyDescent="0.45">
      <c r="A3197" t="s">
        <v>3292</v>
      </c>
      <c r="B3197" s="2" t="s">
        <v>64</v>
      </c>
      <c r="C3197" s="8" t="s">
        <v>12</v>
      </c>
      <c r="D3197" s="4">
        <f>2111/(60*60*24)</f>
        <v>2.4432870370370369E-2</v>
      </c>
      <c r="E3197" s="3">
        <f>5864/(60*60*24)</f>
        <v>6.7870370370370373E-2</v>
      </c>
      <c r="F3197" s="5">
        <f>19708/(60*60*24)</f>
        <v>0.22810185185185186</v>
      </c>
      <c r="G3197" s="7" t="s">
        <v>9</v>
      </c>
    </row>
    <row r="3198" spans="1:7" x14ac:dyDescent="0.45">
      <c r="A3198" t="s">
        <v>3293</v>
      </c>
      <c r="B3198" s="2" t="s">
        <v>66</v>
      </c>
      <c r="C3198" s="8" t="s">
        <v>12</v>
      </c>
      <c r="D3198" s="4">
        <f>2068/(60*60*24)</f>
        <v>2.3935185185185184E-2</v>
      </c>
      <c r="E3198" s="3">
        <f>5691/(60*60*24)</f>
        <v>6.5868055555555555E-2</v>
      </c>
      <c r="F3198" s="5">
        <f>19344/(60*60*24)</f>
        <v>0.22388888888888889</v>
      </c>
      <c r="G3198" s="7" t="s">
        <v>9</v>
      </c>
    </row>
    <row r="3199" spans="1:7" x14ac:dyDescent="0.45">
      <c r="A3199" t="s">
        <v>3294</v>
      </c>
      <c r="B3199" s="2" t="s">
        <v>68</v>
      </c>
      <c r="C3199" s="8" t="s">
        <v>12</v>
      </c>
      <c r="D3199" s="4">
        <f>2136/(60*60*24)</f>
        <v>2.4722222222222222E-2</v>
      </c>
      <c r="E3199" s="3">
        <f>5729/(60*60*24)</f>
        <v>6.6307870370370364E-2</v>
      </c>
      <c r="F3199" s="5">
        <f>18680/(60*60*24)</f>
        <v>0.2162037037037037</v>
      </c>
      <c r="G3199" s="7" t="s">
        <v>9</v>
      </c>
    </row>
    <row r="3200" spans="1:7" x14ac:dyDescent="0.45">
      <c r="A3200" t="s">
        <v>3295</v>
      </c>
      <c r="B3200" s="2" t="s">
        <v>70</v>
      </c>
      <c r="C3200" s="3">
        <f>4695/(60*60*24)</f>
        <v>5.4340277777777779E-2</v>
      </c>
      <c r="D3200" s="4">
        <f>1739/(60*60*24)</f>
        <v>2.0127314814814813E-2</v>
      </c>
      <c r="E3200" s="5">
        <f>5473/(60*60*24)</f>
        <v>6.3344907407407405E-2</v>
      </c>
      <c r="F3200" s="6">
        <f>18230/(60*60*24)</f>
        <v>0.21099537037037036</v>
      </c>
      <c r="G3200" s="7" t="s">
        <v>9</v>
      </c>
    </row>
    <row r="3201" spans="1:7" x14ac:dyDescent="0.45">
      <c r="A3201" t="s">
        <v>3296</v>
      </c>
      <c r="B3201" s="2" t="s">
        <v>72</v>
      </c>
      <c r="C3201" s="5">
        <f>6715/(60*60*24)</f>
        <v>7.7719907407407404E-2</v>
      </c>
      <c r="D3201" s="4">
        <f>1464/(60*60*24)</f>
        <v>1.6944444444444446E-2</v>
      </c>
      <c r="E3201" s="3">
        <f>5533/(60*60*24)</f>
        <v>6.4039351851851847E-2</v>
      </c>
      <c r="F3201" s="6">
        <f>18039/(60*60*24)</f>
        <v>0.20878472222222222</v>
      </c>
      <c r="G3201" s="7" t="s">
        <v>9</v>
      </c>
    </row>
    <row r="3202" spans="1:7" x14ac:dyDescent="0.45">
      <c r="A3202" t="s">
        <v>3297</v>
      </c>
      <c r="B3202" s="2" t="s">
        <v>74</v>
      </c>
      <c r="C3202" s="8" t="s">
        <v>12</v>
      </c>
      <c r="D3202" s="4">
        <f>1493/(60*60*24)</f>
        <v>1.7280092592592593E-2</v>
      </c>
      <c r="E3202" s="3">
        <f>5407/(60*60*24)</f>
        <v>6.2581018518518522E-2</v>
      </c>
      <c r="F3202" s="5">
        <f>17909/(60*60*24)</f>
        <v>0.20728009259259259</v>
      </c>
      <c r="G3202" s="7" t="s">
        <v>9</v>
      </c>
    </row>
    <row r="3203" spans="1:7" x14ac:dyDescent="0.45">
      <c r="A3203" t="s">
        <v>3298</v>
      </c>
      <c r="B3203" s="2" t="s">
        <v>76</v>
      </c>
      <c r="C3203" s="8" t="s">
        <v>12</v>
      </c>
      <c r="D3203" s="4">
        <f>1348/(60*60*24)</f>
        <v>1.5601851851851851E-2</v>
      </c>
      <c r="E3203" s="3">
        <f>5385/(60*60*24)</f>
        <v>6.232638888888889E-2</v>
      </c>
      <c r="F3203" s="5">
        <f>17916/(60*60*24)</f>
        <v>0.20736111111111111</v>
      </c>
      <c r="G3203" s="7" t="s">
        <v>9</v>
      </c>
    </row>
    <row r="3204" spans="1:7" x14ac:dyDescent="0.45">
      <c r="A3204" t="s">
        <v>3299</v>
      </c>
      <c r="B3204" s="2" t="s">
        <v>78</v>
      </c>
      <c r="C3204" s="8" t="s">
        <v>12</v>
      </c>
      <c r="D3204" s="4">
        <f>1364/(60*60*24)</f>
        <v>1.5787037037037037E-2</v>
      </c>
      <c r="E3204" s="3">
        <f>5264/(60*60*24)</f>
        <v>6.0925925925925925E-2</v>
      </c>
      <c r="F3204" s="5">
        <f>17475/(60*60*24)</f>
        <v>0.20225694444444445</v>
      </c>
      <c r="G3204" s="7" t="s">
        <v>9</v>
      </c>
    </row>
    <row r="3205" spans="1:7" x14ac:dyDescent="0.45">
      <c r="A3205" t="s">
        <v>3300</v>
      </c>
      <c r="B3205" s="2" t="s">
        <v>80</v>
      </c>
      <c r="C3205" s="8" t="s">
        <v>12</v>
      </c>
      <c r="D3205" s="4">
        <f>1204/(60*60*24)</f>
        <v>1.3935185185185186E-2</v>
      </c>
      <c r="E3205" s="3">
        <f>5502/(60*60*24)</f>
        <v>6.368055555555556E-2</v>
      </c>
      <c r="F3205" s="5">
        <f>17517/(60*60*24)</f>
        <v>0.20274305555555555</v>
      </c>
      <c r="G3205" s="7" t="s">
        <v>9</v>
      </c>
    </row>
    <row r="3206" spans="1:7" x14ac:dyDescent="0.45">
      <c r="A3206" t="s">
        <v>3301</v>
      </c>
      <c r="B3206" s="2" t="s">
        <v>84</v>
      </c>
      <c r="C3206" s="8" t="s">
        <v>12</v>
      </c>
      <c r="D3206" s="4">
        <f>1535/(60*60*24)</f>
        <v>1.7766203703703704E-2</v>
      </c>
      <c r="E3206" s="3">
        <f>5729/(60*60*24)</f>
        <v>6.6307870370370364E-2</v>
      </c>
      <c r="F3206" s="5">
        <f>18129/(60*60*24)</f>
        <v>0.20982638888888888</v>
      </c>
      <c r="G3206" s="7" t="s">
        <v>9</v>
      </c>
    </row>
    <row r="3207" spans="1:7" x14ac:dyDescent="0.45">
      <c r="A3207" t="s">
        <v>3302</v>
      </c>
      <c r="B3207" s="2" t="s">
        <v>82</v>
      </c>
      <c r="C3207" s="8" t="s">
        <v>12</v>
      </c>
      <c r="D3207" s="4">
        <f>941/(60*60*24)</f>
        <v>1.0891203703703703E-2</v>
      </c>
      <c r="E3207" s="3">
        <f>5666/(60*60*24)</f>
        <v>6.5578703703703708E-2</v>
      </c>
      <c r="F3207" s="5">
        <f>17668/(60*60*24)</f>
        <v>0.20449074074074075</v>
      </c>
      <c r="G3207" s="7" t="s">
        <v>9</v>
      </c>
    </row>
    <row r="3208" spans="1:7" x14ac:dyDescent="0.45">
      <c r="A3208" t="s">
        <v>3303</v>
      </c>
      <c r="B3208" s="2" t="s">
        <v>88</v>
      </c>
      <c r="C3208" s="3">
        <f>4792/(60*60*24)</f>
        <v>5.5462962962962964E-2</v>
      </c>
      <c r="D3208" s="4">
        <f>1267/(60*60*24)</f>
        <v>1.4664351851851852E-2</v>
      </c>
      <c r="E3208" s="5">
        <f>5131/(60*60*24)</f>
        <v>5.9386574074074071E-2</v>
      </c>
      <c r="F3208" s="6">
        <f>16044/(60*60*24)</f>
        <v>0.18569444444444444</v>
      </c>
      <c r="G3208" s="7" t="s">
        <v>9</v>
      </c>
    </row>
    <row r="3209" spans="1:7" x14ac:dyDescent="0.45">
      <c r="A3209" t="s">
        <v>3304</v>
      </c>
      <c r="B3209" s="2" t="s">
        <v>86</v>
      </c>
      <c r="C3209" s="3">
        <f>4349/(60*60*24)</f>
        <v>5.033564814814815E-2</v>
      </c>
      <c r="D3209" s="4">
        <f>1187/(60*60*24)</f>
        <v>1.3738425925925926E-2</v>
      </c>
      <c r="E3209" s="5">
        <f>4916/(60*60*24)</f>
        <v>5.6898148148148149E-2</v>
      </c>
      <c r="F3209" s="6">
        <f>15427/(60*60*24)</f>
        <v>0.17855324074074075</v>
      </c>
      <c r="G3209" s="7" t="s">
        <v>9</v>
      </c>
    </row>
    <row r="3210" spans="1:7" x14ac:dyDescent="0.45">
      <c r="A3210" t="s">
        <v>3305</v>
      </c>
      <c r="B3210" s="2" t="s">
        <v>90</v>
      </c>
      <c r="C3210" s="3">
        <f>4613/(60*60*24)</f>
        <v>5.3391203703703705E-2</v>
      </c>
      <c r="D3210" s="4">
        <f>1218/(60*60*24)</f>
        <v>1.4097222222222223E-2</v>
      </c>
      <c r="E3210" s="5">
        <f>5174/(60*60*24)</f>
        <v>5.9884259259259262E-2</v>
      </c>
      <c r="F3210" s="6">
        <f>15097/(60*60*24)</f>
        <v>0.17473379629629629</v>
      </c>
      <c r="G3210" s="7" t="s">
        <v>9</v>
      </c>
    </row>
    <row r="3211" spans="1:7" x14ac:dyDescent="0.45">
      <c r="A3211" t="s">
        <v>3306</v>
      </c>
      <c r="B3211" s="2" t="s">
        <v>92</v>
      </c>
      <c r="C3211" s="3">
        <f>4515/(60*60*24)</f>
        <v>5.2256944444444446E-2</v>
      </c>
      <c r="D3211" s="4">
        <f>1346/(60*60*24)</f>
        <v>1.5578703703703704E-2</v>
      </c>
      <c r="E3211" s="5">
        <f>5105/(60*60*24)</f>
        <v>5.9085648148148151E-2</v>
      </c>
      <c r="F3211" s="6">
        <f>15214/(60*60*24)</f>
        <v>0.17608796296296297</v>
      </c>
      <c r="G3211" s="7" t="s">
        <v>9</v>
      </c>
    </row>
    <row r="3212" spans="1:7" x14ac:dyDescent="0.45">
      <c r="A3212" t="s">
        <v>3307</v>
      </c>
      <c r="B3212" s="2" t="s">
        <v>94</v>
      </c>
      <c r="C3212" s="3">
        <f>4073/(60*60*24)</f>
        <v>4.7141203703703706E-2</v>
      </c>
      <c r="D3212" s="4">
        <f>1340/(60*60*24)</f>
        <v>1.5509259259259259E-2</v>
      </c>
      <c r="E3212" s="5">
        <f>5108/(60*60*24)</f>
        <v>5.9120370370370372E-2</v>
      </c>
      <c r="F3212" s="6">
        <f>15327/(60*60*24)</f>
        <v>0.17739583333333334</v>
      </c>
      <c r="G3212" s="7" t="s">
        <v>9</v>
      </c>
    </row>
    <row r="3213" spans="1:7" x14ac:dyDescent="0.45">
      <c r="A3213" t="s">
        <v>3308</v>
      </c>
      <c r="B3213" s="2" t="s">
        <v>96</v>
      </c>
      <c r="C3213" s="8" t="s">
        <v>12</v>
      </c>
      <c r="D3213" s="4">
        <f>1526/(60*60*24)</f>
        <v>1.7662037037037039E-2</v>
      </c>
      <c r="E3213" s="3">
        <f>4158/(60*60*24)</f>
        <v>4.8125000000000001E-2</v>
      </c>
      <c r="F3213" s="5">
        <f>15272/(60*60*24)</f>
        <v>0.17675925925925925</v>
      </c>
      <c r="G3213" s="7" t="s">
        <v>9</v>
      </c>
    </row>
    <row r="3214" spans="1:7" x14ac:dyDescent="0.45">
      <c r="A3214" t="s">
        <v>3309</v>
      </c>
      <c r="B3214" s="2" t="s">
        <v>98</v>
      </c>
      <c r="C3214" s="8" t="s">
        <v>12</v>
      </c>
      <c r="D3214" s="4">
        <f>1606/(60*60*24)</f>
        <v>1.8587962962962962E-2</v>
      </c>
      <c r="E3214" s="3">
        <f>4275/(60*60*24)</f>
        <v>4.9479166666666664E-2</v>
      </c>
      <c r="F3214" s="5">
        <f>15498/(60*60*24)</f>
        <v>0.17937500000000001</v>
      </c>
      <c r="G3214" s="7" t="s">
        <v>9</v>
      </c>
    </row>
    <row r="3215" spans="1:7" x14ac:dyDescent="0.45">
      <c r="A3215" t="s">
        <v>3310</v>
      </c>
      <c r="B3215" s="2" t="s">
        <v>100</v>
      </c>
      <c r="C3215" s="8" t="s">
        <v>12</v>
      </c>
      <c r="D3215" s="4">
        <f>1712/(60*60*24)</f>
        <v>1.9814814814814816E-2</v>
      </c>
      <c r="E3215" s="3">
        <f>4136/(60*60*24)</f>
        <v>4.7870370370370369E-2</v>
      </c>
      <c r="F3215" s="5">
        <f>15099/(60*60*24)</f>
        <v>0.17475694444444445</v>
      </c>
      <c r="G3215" s="7" t="s">
        <v>9</v>
      </c>
    </row>
    <row r="3216" spans="1:7" x14ac:dyDescent="0.45">
      <c r="A3216" t="s">
        <v>3311</v>
      </c>
      <c r="B3216" s="2" t="s">
        <v>104</v>
      </c>
      <c r="C3216" s="5">
        <f>5995/(60*60*24)</f>
        <v>6.9386574074074073E-2</v>
      </c>
      <c r="D3216" s="4">
        <f>1563/(60*60*24)</f>
        <v>1.8090277777777778E-2</v>
      </c>
      <c r="E3216" s="3">
        <f>4170/(60*60*24)</f>
        <v>4.8263888888888891E-2</v>
      </c>
      <c r="F3216" s="6">
        <f>15324/(60*60*24)</f>
        <v>0.17736111111111111</v>
      </c>
      <c r="G3216" s="7" t="s">
        <v>9</v>
      </c>
    </row>
    <row r="3217" spans="1:7" x14ac:dyDescent="0.45">
      <c r="A3217" t="s">
        <v>3312</v>
      </c>
      <c r="B3217" s="2" t="s">
        <v>102</v>
      </c>
      <c r="C3217" s="5">
        <f>5683/(60*60*24)</f>
        <v>6.5775462962962966E-2</v>
      </c>
      <c r="D3217" s="4">
        <f>1679/(60*60*24)</f>
        <v>1.9432870370370371E-2</v>
      </c>
      <c r="E3217" s="3">
        <f>4095/(60*60*24)</f>
        <v>4.7395833333333331E-2</v>
      </c>
      <c r="F3217" s="6">
        <f>15488/(60*60*24)</f>
        <v>0.17925925925925926</v>
      </c>
      <c r="G3217" s="7" t="s">
        <v>9</v>
      </c>
    </row>
    <row r="3218" spans="1:7" x14ac:dyDescent="0.45">
      <c r="A3218" t="s">
        <v>3313</v>
      </c>
      <c r="B3218" s="2" t="s">
        <v>106</v>
      </c>
      <c r="C3218" s="5">
        <f>6077/(60*60*24)</f>
        <v>7.0335648148148147E-2</v>
      </c>
      <c r="D3218" s="4">
        <f>1777/(60*60*24)</f>
        <v>2.056712962962963E-2</v>
      </c>
      <c r="E3218" s="3">
        <f>4230/(60*60*24)</f>
        <v>4.8958333333333333E-2</v>
      </c>
      <c r="F3218" s="6">
        <f>14652/(60*60*24)</f>
        <v>0.16958333333333334</v>
      </c>
      <c r="G3218" s="7" t="s">
        <v>9</v>
      </c>
    </row>
    <row r="3219" spans="1:7" x14ac:dyDescent="0.45">
      <c r="A3219" t="s">
        <v>3314</v>
      </c>
      <c r="B3219" s="2" t="s">
        <v>108</v>
      </c>
      <c r="C3219" s="5">
        <f>5729/(60*60*24)</f>
        <v>6.6307870370370364E-2</v>
      </c>
      <c r="D3219" s="4">
        <f>1734/(60*60*24)</f>
        <v>2.0069444444444445E-2</v>
      </c>
      <c r="E3219" s="3">
        <f>4398/(60*60*24)</f>
        <v>5.0902777777777776E-2</v>
      </c>
      <c r="F3219" s="6">
        <f>15104/(60*60*24)</f>
        <v>0.17481481481481481</v>
      </c>
      <c r="G3219" s="7" t="s">
        <v>9</v>
      </c>
    </row>
    <row r="3220" spans="1:7" x14ac:dyDescent="0.45">
      <c r="A3220" t="s">
        <v>3315</v>
      </c>
      <c r="B3220" s="2" t="s">
        <v>110</v>
      </c>
      <c r="C3220" s="5">
        <f>6187/(60*60*24)</f>
        <v>7.1608796296296295E-2</v>
      </c>
      <c r="D3220" s="4">
        <f>1741/(60*60*24)</f>
        <v>2.0150462962962964E-2</v>
      </c>
      <c r="E3220" s="3">
        <f>4326/(60*60*24)</f>
        <v>5.0069444444444444E-2</v>
      </c>
      <c r="F3220" s="6">
        <f>15390/(60*60*24)</f>
        <v>0.17812500000000001</v>
      </c>
      <c r="G3220" s="7" t="s">
        <v>9</v>
      </c>
    </row>
    <row r="3221" spans="1:7" x14ac:dyDescent="0.45">
      <c r="A3221" t="s">
        <v>3316</v>
      </c>
      <c r="B3221" s="2" t="s">
        <v>112</v>
      </c>
      <c r="C3221" s="8" t="s">
        <v>12</v>
      </c>
      <c r="D3221" s="4">
        <f>1760/(60*60*24)</f>
        <v>2.0370370370370372E-2</v>
      </c>
      <c r="E3221" s="3">
        <f>4385/(60*60*24)</f>
        <v>5.0752314814814813E-2</v>
      </c>
      <c r="F3221" s="5">
        <f>15625/(60*60*24)</f>
        <v>0.18084490740740741</v>
      </c>
      <c r="G3221" s="7" t="s">
        <v>9</v>
      </c>
    </row>
    <row r="3222" spans="1:7" x14ac:dyDescent="0.45">
      <c r="A3222" t="s">
        <v>3317</v>
      </c>
      <c r="B3222" s="2" t="s">
        <v>114</v>
      </c>
      <c r="C3222" s="8" t="s">
        <v>12</v>
      </c>
      <c r="D3222" s="4">
        <f>1672/(60*60*24)</f>
        <v>1.9351851851851853E-2</v>
      </c>
      <c r="E3222" s="3">
        <f>4536/(60*60*24)</f>
        <v>5.2499999999999998E-2</v>
      </c>
      <c r="F3222" s="5">
        <f>15759/(60*60*24)</f>
        <v>0.18239583333333334</v>
      </c>
      <c r="G3222" s="7" t="s">
        <v>9</v>
      </c>
    </row>
    <row r="3223" spans="1:7" x14ac:dyDescent="0.45">
      <c r="A3223" t="s">
        <v>3318</v>
      </c>
      <c r="B3223" s="2" t="s">
        <v>116</v>
      </c>
      <c r="C3223" s="8" t="s">
        <v>12</v>
      </c>
      <c r="D3223" s="4">
        <f>1739/(60*60*24)</f>
        <v>2.0127314814814813E-2</v>
      </c>
      <c r="E3223" s="3">
        <f>4703/(60*60*24)</f>
        <v>5.4432870370370368E-2</v>
      </c>
      <c r="F3223" s="5">
        <f>16335/(60*60*24)</f>
        <v>0.18906249999999999</v>
      </c>
      <c r="G3223" s="7" t="s">
        <v>9</v>
      </c>
    </row>
    <row r="3224" spans="1:7" x14ac:dyDescent="0.45">
      <c r="A3224" t="s">
        <v>3319</v>
      </c>
      <c r="B3224" s="2" t="s">
        <v>118</v>
      </c>
      <c r="C3224" s="8" t="s">
        <v>12</v>
      </c>
      <c r="D3224" s="4">
        <f>1922/(60*60*24)</f>
        <v>2.224537037037037E-2</v>
      </c>
      <c r="E3224" s="3">
        <f>4800/(60*60*24)</f>
        <v>5.5555555555555552E-2</v>
      </c>
      <c r="F3224" s="5">
        <f>16322/(60*60*24)</f>
        <v>0.18891203703703704</v>
      </c>
      <c r="G3224" s="7" t="s">
        <v>9</v>
      </c>
    </row>
    <row r="3225" spans="1:7" x14ac:dyDescent="0.45">
      <c r="A3225" t="s">
        <v>3320</v>
      </c>
      <c r="B3225" s="2" t="s">
        <v>120</v>
      </c>
      <c r="C3225" s="8" t="s">
        <v>12</v>
      </c>
      <c r="D3225" s="4">
        <f>1929/(60*60*24)</f>
        <v>2.2326388888888889E-2</v>
      </c>
      <c r="E3225" s="3">
        <f>5185/(60*60*24)</f>
        <v>6.0011574074074071E-2</v>
      </c>
      <c r="F3225" s="5">
        <f>17319/(60*60*24)</f>
        <v>0.20045138888888889</v>
      </c>
      <c r="G3225" s="7" t="s">
        <v>9</v>
      </c>
    </row>
    <row r="3226" spans="1:7" x14ac:dyDescent="0.45">
      <c r="A3226" t="s">
        <v>3321</v>
      </c>
      <c r="B3226" s="2" t="s">
        <v>122</v>
      </c>
      <c r="C3226" s="5">
        <f>5382/(60*60*24)</f>
        <v>6.2291666666666669E-2</v>
      </c>
      <c r="D3226" s="4">
        <f>1790/(60*60*24)</f>
        <v>2.0717592592592593E-2</v>
      </c>
      <c r="E3226" s="3">
        <f>4865/(60*60*24)</f>
        <v>5.6307870370370369E-2</v>
      </c>
      <c r="F3226" s="6">
        <f>17963/(60*60*24)</f>
        <v>0.2079050925925926</v>
      </c>
      <c r="G3226" s="7" t="s">
        <v>9</v>
      </c>
    </row>
    <row r="3227" spans="1:7" x14ac:dyDescent="0.45">
      <c r="A3227" t="s">
        <v>3322</v>
      </c>
      <c r="B3227" s="2" t="s">
        <v>124</v>
      </c>
      <c r="C3227" s="8" t="s">
        <v>12</v>
      </c>
      <c r="D3227" s="4">
        <f>1733/(60*60*24)</f>
        <v>2.0057870370370372E-2</v>
      </c>
      <c r="E3227" s="3">
        <f>4778/(60*60*24)</f>
        <v>5.5300925925925927E-2</v>
      </c>
      <c r="F3227" s="5">
        <f>17479/(60*60*24)</f>
        <v>0.20230324074074074</v>
      </c>
      <c r="G3227" s="7" t="s">
        <v>9</v>
      </c>
    </row>
    <row r="3228" spans="1:7" x14ac:dyDescent="0.45">
      <c r="A3228" t="s">
        <v>3323</v>
      </c>
      <c r="B3228" s="2" t="s">
        <v>126</v>
      </c>
      <c r="C3228" s="8" t="s">
        <v>12</v>
      </c>
      <c r="D3228" s="4">
        <f>1904/(60*60*24)</f>
        <v>2.2037037037037036E-2</v>
      </c>
      <c r="E3228" s="3">
        <f>5067/(60*60*24)</f>
        <v>5.8645833333333335E-2</v>
      </c>
      <c r="F3228" s="5">
        <f>18273/(60*60*24)</f>
        <v>0.21149305555555556</v>
      </c>
      <c r="G3228" s="7" t="s">
        <v>9</v>
      </c>
    </row>
    <row r="3229" spans="1:7" x14ac:dyDescent="0.45">
      <c r="A3229" t="s">
        <v>3324</v>
      </c>
      <c r="B3229" s="2" t="s">
        <v>128</v>
      </c>
      <c r="C3229" s="8" t="s">
        <v>12</v>
      </c>
      <c r="D3229" s="4">
        <f>2011/(60*60*24)</f>
        <v>2.3275462962962963E-2</v>
      </c>
      <c r="E3229" s="3">
        <f>5664/(60*60*24)</f>
        <v>6.5555555555555561E-2</v>
      </c>
      <c r="F3229" s="5">
        <f>18831/(60*60*24)</f>
        <v>0.21795138888888888</v>
      </c>
      <c r="G3229" s="7" t="s">
        <v>9</v>
      </c>
    </row>
    <row r="3230" spans="1:7" x14ac:dyDescent="0.45">
      <c r="A3230" t="s">
        <v>3325</v>
      </c>
      <c r="B3230" s="2" t="s">
        <v>130</v>
      </c>
      <c r="C3230" s="8" t="s">
        <v>12</v>
      </c>
      <c r="D3230" s="4">
        <f>2231/(60*60*24)</f>
        <v>2.582175925925926E-2</v>
      </c>
      <c r="E3230" s="3">
        <f>5826/(60*60*24)</f>
        <v>6.7430555555555549E-2</v>
      </c>
      <c r="F3230" s="5">
        <f>19465/(60*60*24)</f>
        <v>0.22528935185185187</v>
      </c>
      <c r="G3230" s="7" t="s">
        <v>9</v>
      </c>
    </row>
    <row r="3231" spans="1:7" x14ac:dyDescent="0.45">
      <c r="A3231" t="s">
        <v>3326</v>
      </c>
      <c r="B3231" s="2" t="s">
        <v>132</v>
      </c>
      <c r="C3231" s="8" t="s">
        <v>12</v>
      </c>
      <c r="D3231" s="4">
        <f>2080/(60*60*24)</f>
        <v>2.4074074074074074E-2</v>
      </c>
      <c r="E3231" s="3">
        <f>5620/(60*60*24)</f>
        <v>6.5046296296296297E-2</v>
      </c>
      <c r="F3231" s="5">
        <f>19227/(60*60*24)</f>
        <v>0.22253472222222223</v>
      </c>
      <c r="G3231" s="7" t="s">
        <v>9</v>
      </c>
    </row>
    <row r="3232" spans="1:7" x14ac:dyDescent="0.45">
      <c r="A3232" t="s">
        <v>3327</v>
      </c>
      <c r="B3232" s="2" t="s">
        <v>134</v>
      </c>
      <c r="C3232" s="3">
        <f>5041/(60*60*24)</f>
        <v>5.8344907407407408E-2</v>
      </c>
      <c r="D3232" s="4">
        <f>2339/(60*60*24)</f>
        <v>2.7071759259259261E-2</v>
      </c>
      <c r="E3232" s="5">
        <f>5932/(60*60*24)</f>
        <v>6.8657407407407403E-2</v>
      </c>
      <c r="F3232" s="6">
        <f>20228/(60*60*24)</f>
        <v>0.23412037037037037</v>
      </c>
      <c r="G3232" s="7" t="s">
        <v>9</v>
      </c>
    </row>
    <row r="3233" spans="1:7" x14ac:dyDescent="0.45">
      <c r="A3233" t="s">
        <v>3328</v>
      </c>
      <c r="B3233" s="2" t="s">
        <v>136</v>
      </c>
      <c r="C3233" s="8" t="s">
        <v>12</v>
      </c>
      <c r="D3233" s="4">
        <f>2113/(60*60*24)</f>
        <v>2.4456018518518519E-2</v>
      </c>
      <c r="E3233" s="3">
        <f>5613/(60*60*24)</f>
        <v>6.4965277777777775E-2</v>
      </c>
      <c r="F3233" s="5">
        <f>19425/(60*60*24)</f>
        <v>0.2248263888888889</v>
      </c>
      <c r="G3233" s="7" t="s">
        <v>9</v>
      </c>
    </row>
    <row r="3234" spans="1:7" x14ac:dyDescent="0.45">
      <c r="A3234" t="s">
        <v>3329</v>
      </c>
      <c r="B3234" s="2" t="s">
        <v>138</v>
      </c>
      <c r="C3234" s="3">
        <f>4694/(60*60*24)</f>
        <v>5.4328703703703705E-2</v>
      </c>
      <c r="D3234" s="4">
        <f>2381/(60*60*24)</f>
        <v>2.7557870370370371E-2</v>
      </c>
      <c r="E3234" s="5">
        <f>6258/(60*60*24)</f>
        <v>7.2430555555555554E-2</v>
      </c>
      <c r="F3234" s="6">
        <f>21192/(60*60*24)</f>
        <v>0.24527777777777779</v>
      </c>
      <c r="G3234" s="7" t="s">
        <v>9</v>
      </c>
    </row>
    <row r="3235" spans="1:7" x14ac:dyDescent="0.45">
      <c r="A3235" t="s">
        <v>3330</v>
      </c>
      <c r="B3235" s="2" t="s">
        <v>140</v>
      </c>
      <c r="C3235" s="8" t="s">
        <v>12</v>
      </c>
      <c r="D3235" s="4">
        <f>2654/(60*60*24)</f>
        <v>3.0717592592592591E-2</v>
      </c>
      <c r="E3235" s="3">
        <f>6708/(60*60*24)</f>
        <v>7.7638888888888882E-2</v>
      </c>
      <c r="F3235" s="5">
        <f>21780/(60*60*24)</f>
        <v>0.25208333333333333</v>
      </c>
      <c r="G3235" s="7" t="s">
        <v>9</v>
      </c>
    </row>
    <row r="3236" spans="1:7" x14ac:dyDescent="0.45">
      <c r="A3236" t="s">
        <v>3331</v>
      </c>
      <c r="B3236" s="2" t="s">
        <v>142</v>
      </c>
      <c r="C3236" s="5">
        <f>6568/(60*60*24)</f>
        <v>7.6018518518518513E-2</v>
      </c>
      <c r="D3236" s="4">
        <f>2528/(60*60*24)</f>
        <v>2.9259259259259259E-2</v>
      </c>
      <c r="E3236" s="3">
        <f>6498/(60*60*24)</f>
        <v>7.5208333333333335E-2</v>
      </c>
      <c r="F3236" s="6">
        <f>22709/(60*60*24)</f>
        <v>0.26283564814814814</v>
      </c>
      <c r="G3236" s="7" t="s">
        <v>9</v>
      </c>
    </row>
    <row r="3237" spans="1:7" x14ac:dyDescent="0.45">
      <c r="A3237" t="s">
        <v>3332</v>
      </c>
      <c r="B3237" s="2" t="s">
        <v>144</v>
      </c>
      <c r="C3237" s="5">
        <f>7096/(60*60*24)</f>
        <v>8.2129629629629636E-2</v>
      </c>
      <c r="D3237" s="4">
        <f>2646/(60*60*24)</f>
        <v>3.0624999999999999E-2</v>
      </c>
      <c r="E3237" s="3">
        <f>6806/(60*60*24)</f>
        <v>7.8773148148148148E-2</v>
      </c>
      <c r="F3237" s="6">
        <f>22432/(60*60*24)</f>
        <v>0.25962962962962965</v>
      </c>
      <c r="G3237" s="7" t="s">
        <v>9</v>
      </c>
    </row>
    <row r="3238" spans="1:7" x14ac:dyDescent="0.45">
      <c r="A3238" t="s">
        <v>3333</v>
      </c>
      <c r="B3238" s="2" t="s">
        <v>146</v>
      </c>
      <c r="C3238" s="3">
        <f>5993/(60*60*24)</f>
        <v>6.9363425925925926E-2</v>
      </c>
      <c r="D3238" s="4">
        <f>2763/(60*60*24)</f>
        <v>3.197916666666667E-2</v>
      </c>
      <c r="E3238" s="5">
        <f>7020/(60*60*24)</f>
        <v>8.1250000000000003E-2</v>
      </c>
      <c r="F3238" s="6">
        <f>22991/(60*60*24)</f>
        <v>0.26609953703703704</v>
      </c>
      <c r="G3238" s="7" t="s">
        <v>9</v>
      </c>
    </row>
    <row r="3239" spans="1:7" x14ac:dyDescent="0.45">
      <c r="A3239" t="s">
        <v>3334</v>
      </c>
      <c r="B3239" s="2" t="s">
        <v>148</v>
      </c>
      <c r="C3239" s="3">
        <f>6007/(60*60*24)</f>
        <v>6.9525462962962969E-2</v>
      </c>
      <c r="D3239" s="4">
        <f>2715/(60*60*24)</f>
        <v>3.142361111111111E-2</v>
      </c>
      <c r="E3239" s="5">
        <f>7146/(60*60*24)</f>
        <v>8.2708333333333328E-2</v>
      </c>
      <c r="F3239" s="6">
        <f>23546/(60*60*24)</f>
        <v>0.27252314814814815</v>
      </c>
      <c r="G3239" s="7" t="s">
        <v>9</v>
      </c>
    </row>
    <row r="3240" spans="1:7" x14ac:dyDescent="0.45">
      <c r="A3240" t="s">
        <v>3335</v>
      </c>
      <c r="B3240" s="2" t="s">
        <v>152</v>
      </c>
      <c r="C3240" s="3">
        <f>5187/(60*60*24)</f>
        <v>6.0034722222222225E-2</v>
      </c>
      <c r="D3240" s="4">
        <f>2780/(60*60*24)</f>
        <v>3.2175925925925927E-2</v>
      </c>
      <c r="E3240" s="5">
        <f>7359/(60*60*24)</f>
        <v>8.5173611111111117E-2</v>
      </c>
      <c r="F3240" s="6">
        <f>26154/(60*60*24)</f>
        <v>0.30270833333333336</v>
      </c>
      <c r="G3240" s="7" t="s">
        <v>9</v>
      </c>
    </row>
    <row r="3241" spans="1:7" x14ac:dyDescent="0.45">
      <c r="A3241" t="s">
        <v>3336</v>
      </c>
      <c r="B3241" s="2" t="s">
        <v>150</v>
      </c>
      <c r="C3241" s="8" t="s">
        <v>12</v>
      </c>
      <c r="D3241" s="4">
        <f>2809/(60*60*24)</f>
        <v>3.2511574074074075E-2</v>
      </c>
      <c r="E3241" s="3">
        <f>7244/(60*60*24)</f>
        <v>8.3842592592592594E-2</v>
      </c>
      <c r="F3241" s="5">
        <f>24429/(60*60*24)</f>
        <v>0.28274305555555557</v>
      </c>
      <c r="G3241" s="7" t="s">
        <v>9</v>
      </c>
    </row>
    <row r="3242" spans="1:7" x14ac:dyDescent="0.45">
      <c r="A3242" t="s">
        <v>3337</v>
      </c>
      <c r="B3242" s="2" t="s">
        <v>154</v>
      </c>
      <c r="C3242" s="3">
        <f>5260/(60*60*24)</f>
        <v>6.0879629629629631E-2</v>
      </c>
      <c r="D3242" s="4">
        <f>2850/(60*60*24)</f>
        <v>3.2986111111111112E-2</v>
      </c>
      <c r="E3242" s="5">
        <f>7483/(60*60*24)</f>
        <v>8.6608796296296295E-2</v>
      </c>
      <c r="F3242" s="6">
        <f>26213/(60*60*24)</f>
        <v>0.3033912037037037</v>
      </c>
      <c r="G3242" s="7" t="s">
        <v>9</v>
      </c>
    </row>
    <row r="3243" spans="1:7" x14ac:dyDescent="0.45">
      <c r="A3243" t="s">
        <v>3338</v>
      </c>
      <c r="B3243" s="2" t="s">
        <v>156</v>
      </c>
      <c r="C3243" s="8" t="s">
        <v>12</v>
      </c>
      <c r="D3243" s="4">
        <f>3262/(60*60*24)</f>
        <v>3.7754629629629631E-2</v>
      </c>
      <c r="E3243" s="3">
        <f>7993/(60*60*24)</f>
        <v>9.2511574074074079E-2</v>
      </c>
      <c r="F3243" s="5">
        <f>27476/(60*60*24)</f>
        <v>0.31800925925925927</v>
      </c>
      <c r="G3243" s="7" t="s">
        <v>9</v>
      </c>
    </row>
    <row r="3244" spans="1:7" x14ac:dyDescent="0.45">
      <c r="A3244" t="s">
        <v>3339</v>
      </c>
      <c r="B3244" s="2" t="s">
        <v>160</v>
      </c>
      <c r="C3244" s="8" t="s">
        <v>12</v>
      </c>
      <c r="D3244" s="4">
        <f>3188/(60*60*24)</f>
        <v>3.6898148148148145E-2</v>
      </c>
      <c r="E3244" s="3">
        <f>8288/(60*60*24)</f>
        <v>9.5925925925925928E-2</v>
      </c>
      <c r="F3244" s="5">
        <f>28179/(60*60*24)</f>
        <v>0.32614583333333336</v>
      </c>
      <c r="G3244" s="7" t="s">
        <v>9</v>
      </c>
    </row>
    <row r="3245" spans="1:7" x14ac:dyDescent="0.45">
      <c r="A3245" t="s">
        <v>3340</v>
      </c>
      <c r="B3245" s="2" t="s">
        <v>158</v>
      </c>
      <c r="C3245" s="8" t="s">
        <v>12</v>
      </c>
      <c r="D3245" s="4">
        <f>3116/(60*60*24)</f>
        <v>3.6064814814814813E-2</v>
      </c>
      <c r="E3245" s="3">
        <f>8204/(60*60*24)</f>
        <v>9.4953703703703707E-2</v>
      </c>
      <c r="F3245" s="5">
        <f>28935/(60*60*24)</f>
        <v>0.33489583333333334</v>
      </c>
      <c r="G3245" s="7" t="s">
        <v>9</v>
      </c>
    </row>
    <row r="3246" spans="1:7" x14ac:dyDescent="0.45">
      <c r="A3246" t="s">
        <v>3341</v>
      </c>
      <c r="B3246" s="2" t="s">
        <v>162</v>
      </c>
      <c r="C3246" s="5">
        <f>9854/(60*60*24)</f>
        <v>0.11405092592592593</v>
      </c>
      <c r="D3246" s="4">
        <f>3024/(60*60*24)</f>
        <v>3.5000000000000003E-2</v>
      </c>
      <c r="E3246" s="3">
        <f>8621/(60*60*24)</f>
        <v>9.9780092592592587E-2</v>
      </c>
      <c r="F3246" s="6">
        <f>29906/(60*60*24)</f>
        <v>0.34613425925925928</v>
      </c>
      <c r="G3246" s="7" t="s">
        <v>9</v>
      </c>
    </row>
    <row r="3247" spans="1:7" x14ac:dyDescent="0.45">
      <c r="A3247" t="s">
        <v>3342</v>
      </c>
      <c r="B3247" s="2" t="s">
        <v>164</v>
      </c>
      <c r="C3247" s="8" t="s">
        <v>12</v>
      </c>
      <c r="D3247" s="4">
        <f>3301/(60*60*24)</f>
        <v>3.8206018518518521E-2</v>
      </c>
      <c r="E3247" s="3">
        <f>9141/(60*60*24)</f>
        <v>0.10579861111111111</v>
      </c>
      <c r="F3247" s="5">
        <f>31217/(60*60*24)</f>
        <v>0.36130787037037038</v>
      </c>
      <c r="G3247" s="7" t="s">
        <v>9</v>
      </c>
    </row>
    <row r="3248" spans="1:7" x14ac:dyDescent="0.45">
      <c r="A3248" t="s">
        <v>3343</v>
      </c>
      <c r="B3248" s="2" t="s">
        <v>168</v>
      </c>
      <c r="C3248" s="8" t="s">
        <v>12</v>
      </c>
      <c r="D3248" s="4">
        <f>3137/(60*60*24)</f>
        <v>3.6307870370370372E-2</v>
      </c>
      <c r="E3248" s="3">
        <f>8903/(60*60*24)</f>
        <v>0.10304398148148149</v>
      </c>
      <c r="F3248" s="5">
        <f>32087/(60*60*24)</f>
        <v>0.37137731481481484</v>
      </c>
      <c r="G3248" s="7" t="s">
        <v>9</v>
      </c>
    </row>
    <row r="3249" spans="1:7" x14ac:dyDescent="0.45">
      <c r="A3249" t="s">
        <v>3344</v>
      </c>
      <c r="B3249" s="2" t="s">
        <v>166</v>
      </c>
      <c r="C3249" s="8" t="s">
        <v>12</v>
      </c>
      <c r="D3249" s="4">
        <f>3250/(60*60*24)</f>
        <v>3.7615740740740741E-2</v>
      </c>
      <c r="E3249" s="3">
        <f>9090/(60*60*24)</f>
        <v>0.10520833333333333</v>
      </c>
      <c r="F3249" s="5">
        <f>31260/(60*60*24)</f>
        <v>0.36180555555555555</v>
      </c>
      <c r="G3249" s="7" t="s">
        <v>9</v>
      </c>
    </row>
    <row r="3250" spans="1:7" x14ac:dyDescent="0.45">
      <c r="A3250" t="s">
        <v>3345</v>
      </c>
      <c r="B3250" s="2" t="s">
        <v>170</v>
      </c>
      <c r="C3250" s="8" t="s">
        <v>12</v>
      </c>
      <c r="D3250" s="4">
        <f>3232/(60*60*24)</f>
        <v>3.740740740740741E-2</v>
      </c>
      <c r="E3250" s="3">
        <f>9454/(60*60*24)</f>
        <v>0.10942129629629629</v>
      </c>
      <c r="F3250" s="5">
        <f>31981/(60*60*24)</f>
        <v>0.37015046296296295</v>
      </c>
      <c r="G3250" s="7" t="s">
        <v>9</v>
      </c>
    </row>
    <row r="3251" spans="1:7" x14ac:dyDescent="0.45">
      <c r="A3251" t="s">
        <v>3346</v>
      </c>
      <c r="B3251" s="2" t="s">
        <v>172</v>
      </c>
      <c r="C3251" s="8" t="s">
        <v>12</v>
      </c>
      <c r="D3251" s="4">
        <f>3170/(60*60*24)</f>
        <v>3.6689814814814814E-2</v>
      </c>
      <c r="E3251" s="3">
        <f>9566/(60*60*24)</f>
        <v>0.11071759259259259</v>
      </c>
      <c r="F3251" s="5">
        <f>32161/(60*60*24)</f>
        <v>0.37223379629629627</v>
      </c>
      <c r="G3251" s="7" t="s">
        <v>9</v>
      </c>
    </row>
    <row r="3252" spans="1:7" x14ac:dyDescent="0.45">
      <c r="A3252" t="s">
        <v>3347</v>
      </c>
      <c r="B3252" s="2" t="s">
        <v>176</v>
      </c>
      <c r="C3252" s="8" t="s">
        <v>12</v>
      </c>
      <c r="D3252" s="4">
        <f>3454/(60*60*24)</f>
        <v>3.9976851851851854E-2</v>
      </c>
      <c r="E3252" s="3">
        <f>10818/(60*60*24)</f>
        <v>0.12520833333333334</v>
      </c>
      <c r="F3252" s="5">
        <f>36217/(60*60*24)</f>
        <v>0.41917824074074073</v>
      </c>
      <c r="G3252" s="7" t="s">
        <v>9</v>
      </c>
    </row>
    <row r="3253" spans="1:7" x14ac:dyDescent="0.45">
      <c r="A3253" t="s">
        <v>3348</v>
      </c>
      <c r="B3253" s="2" t="s">
        <v>174</v>
      </c>
      <c r="C3253" s="8" t="s">
        <v>12</v>
      </c>
      <c r="D3253" s="4">
        <f>3553/(60*60*24)</f>
        <v>4.1122685185185186E-2</v>
      </c>
      <c r="E3253" s="3">
        <f>11026/(60*60*24)</f>
        <v>0.12761574074074075</v>
      </c>
      <c r="F3253" s="5">
        <f>36439/(60*60*24)</f>
        <v>0.42174768518518518</v>
      </c>
      <c r="G3253" s="7" t="s">
        <v>9</v>
      </c>
    </row>
    <row r="3254" spans="1:7" x14ac:dyDescent="0.45">
      <c r="A3254" t="s">
        <v>3349</v>
      </c>
      <c r="B3254" s="2" t="s">
        <v>180</v>
      </c>
      <c r="C3254" s="8" t="s">
        <v>12</v>
      </c>
      <c r="D3254" s="4">
        <f>3572/(60*60*24)</f>
        <v>4.1342592592592591E-2</v>
      </c>
      <c r="E3254" s="3">
        <f>11059/(60*60*24)</f>
        <v>0.12799768518518517</v>
      </c>
      <c r="F3254" s="5">
        <f>36964/(60*60*24)</f>
        <v>0.42782407407407408</v>
      </c>
      <c r="G3254" s="7" t="s">
        <v>9</v>
      </c>
    </row>
    <row r="3255" spans="1:7" x14ac:dyDescent="0.45">
      <c r="A3255" t="s">
        <v>3350</v>
      </c>
      <c r="B3255" s="2" t="s">
        <v>178</v>
      </c>
      <c r="C3255" s="8" t="s">
        <v>12</v>
      </c>
      <c r="D3255" s="4">
        <f>3625/(60*60*24)</f>
        <v>4.1956018518518517E-2</v>
      </c>
      <c r="E3255" s="3">
        <f>11337/(60*60*24)</f>
        <v>0.13121527777777778</v>
      </c>
      <c r="F3255" s="5">
        <f>37499/(60*60*24)</f>
        <v>0.4340162037037037</v>
      </c>
      <c r="G3255" s="7" t="s">
        <v>9</v>
      </c>
    </row>
    <row r="3256" spans="1:7" x14ac:dyDescent="0.45">
      <c r="A3256" t="s">
        <v>3351</v>
      </c>
      <c r="B3256" s="2" t="s">
        <v>184</v>
      </c>
      <c r="C3256" s="3">
        <f>7493/(60*60*24)</f>
        <v>8.6724537037037031E-2</v>
      </c>
      <c r="D3256" s="4">
        <f>3665/(60*60*24)</f>
        <v>4.2418981481481481E-2</v>
      </c>
      <c r="E3256" s="5">
        <f>11041/(60*60*24)</f>
        <v>0.12778935185185186</v>
      </c>
      <c r="F3256" s="6">
        <f>37868/(60*60*24)</f>
        <v>0.43828703703703703</v>
      </c>
      <c r="G3256" s="7" t="s">
        <v>9</v>
      </c>
    </row>
    <row r="3257" spans="1:7" x14ac:dyDescent="0.45">
      <c r="A3257" t="s">
        <v>3352</v>
      </c>
      <c r="B3257" s="2" t="s">
        <v>182</v>
      </c>
      <c r="C3257" s="8" t="s">
        <v>12</v>
      </c>
      <c r="D3257" s="4">
        <f>3697/(60*60*24)</f>
        <v>4.2789351851851849E-2</v>
      </c>
      <c r="E3257" s="3">
        <f>11093/(60*60*24)</f>
        <v>0.12839120370370372</v>
      </c>
      <c r="F3257" s="5">
        <f>38004/(60*60*24)</f>
        <v>0.43986111111111109</v>
      </c>
      <c r="G3257" s="7" t="s">
        <v>9</v>
      </c>
    </row>
    <row r="3258" spans="1:7" x14ac:dyDescent="0.45">
      <c r="A3258" t="s">
        <v>3353</v>
      </c>
      <c r="B3258" s="2" t="s">
        <v>8</v>
      </c>
      <c r="C3258" s="8" t="s">
        <v>12</v>
      </c>
      <c r="D3258" s="4">
        <f>2837/(60*60*24)</f>
        <v>3.2835648148148149E-2</v>
      </c>
      <c r="E3258" s="3">
        <f>10750/(60*60*24)</f>
        <v>0.12442129629629629</v>
      </c>
      <c r="F3258" s="5">
        <f>35974/(60*60*24)</f>
        <v>0.41636574074074073</v>
      </c>
      <c r="G3258" s="7" t="s">
        <v>9</v>
      </c>
    </row>
    <row r="3259" spans="1:7" x14ac:dyDescent="0.45">
      <c r="A3259" t="s">
        <v>3354</v>
      </c>
      <c r="B3259" s="2" t="s">
        <v>11</v>
      </c>
      <c r="C3259" s="8" t="s">
        <v>12</v>
      </c>
      <c r="D3259" s="4">
        <f>2899/(60*60*24)</f>
        <v>3.3553240740740738E-2</v>
      </c>
      <c r="E3259" s="3">
        <f>10355/(60*60*24)</f>
        <v>0.11984953703703703</v>
      </c>
      <c r="F3259" s="5">
        <f>35371/(60*60*24)</f>
        <v>0.40938657407407408</v>
      </c>
      <c r="G3259" s="7" t="s">
        <v>9</v>
      </c>
    </row>
    <row r="3260" spans="1:7" x14ac:dyDescent="0.45">
      <c r="A3260" t="s">
        <v>3355</v>
      </c>
      <c r="B3260" s="2" t="s">
        <v>16</v>
      </c>
      <c r="C3260" s="3">
        <f>7086/(60*60*24)</f>
        <v>8.2013888888888886E-2</v>
      </c>
      <c r="D3260" s="4">
        <f>2581/(60*60*24)</f>
        <v>2.9872685185185186E-2</v>
      </c>
      <c r="E3260" s="5">
        <f>9694/(60*60*24)</f>
        <v>0.11219907407407408</v>
      </c>
      <c r="F3260" s="6">
        <f>33654/(60*60*24)</f>
        <v>0.38951388888888888</v>
      </c>
      <c r="G3260" s="7" t="s">
        <v>9</v>
      </c>
    </row>
    <row r="3261" spans="1:7" x14ac:dyDescent="0.45">
      <c r="A3261" t="s">
        <v>3356</v>
      </c>
      <c r="B3261" s="2" t="s">
        <v>14</v>
      </c>
      <c r="C3261" s="8" t="s">
        <v>12</v>
      </c>
      <c r="D3261" s="4">
        <f>2608/(60*60*24)</f>
        <v>3.0185185185185186E-2</v>
      </c>
      <c r="E3261" s="3">
        <f>10145/(60*60*24)</f>
        <v>0.11741898148148149</v>
      </c>
      <c r="F3261" s="5">
        <f>34822/(60*60*24)</f>
        <v>0.40303240740740742</v>
      </c>
      <c r="G3261" s="7" t="s">
        <v>9</v>
      </c>
    </row>
    <row r="3262" spans="1:7" x14ac:dyDescent="0.45">
      <c r="A3262" t="s">
        <v>3357</v>
      </c>
      <c r="B3262" s="2" t="s">
        <v>18</v>
      </c>
      <c r="C3262" s="3">
        <f>6980/(60*60*24)</f>
        <v>8.0787037037037032E-2</v>
      </c>
      <c r="D3262" s="4">
        <f>2570/(60*60*24)</f>
        <v>2.974537037037037E-2</v>
      </c>
      <c r="E3262" s="5">
        <f>9701/(60*60*24)</f>
        <v>0.1122800925925926</v>
      </c>
      <c r="F3262" s="6">
        <f>32815/(60*60*24)</f>
        <v>0.37980324074074073</v>
      </c>
      <c r="G3262" s="7" t="s">
        <v>9</v>
      </c>
    </row>
    <row r="3263" spans="1:7" x14ac:dyDescent="0.45">
      <c r="A3263" t="s">
        <v>3358</v>
      </c>
      <c r="B3263" s="2" t="s">
        <v>20</v>
      </c>
      <c r="C3263" s="8" t="s">
        <v>12</v>
      </c>
      <c r="D3263" s="4">
        <f>2382/(60*60*24)</f>
        <v>2.7569444444444445E-2</v>
      </c>
      <c r="E3263" s="3">
        <f>9656/(60*60*24)</f>
        <v>0.11175925925925925</v>
      </c>
      <c r="F3263" s="5">
        <f>32688/(60*60*24)</f>
        <v>0.37833333333333335</v>
      </c>
      <c r="G3263" s="7" t="s">
        <v>9</v>
      </c>
    </row>
    <row r="3264" spans="1:7" x14ac:dyDescent="0.45">
      <c r="A3264" t="s">
        <v>3359</v>
      </c>
      <c r="B3264" s="2" t="s">
        <v>22</v>
      </c>
      <c r="C3264" s="3">
        <f>6292/(60*60*24)</f>
        <v>7.2824074074074069E-2</v>
      </c>
      <c r="D3264" s="4">
        <f>2556/(60*60*24)</f>
        <v>2.9583333333333333E-2</v>
      </c>
      <c r="E3264" s="5">
        <f>9571/(60*60*24)</f>
        <v>0.11077546296296296</v>
      </c>
      <c r="F3264" s="6">
        <f>31432/(60*60*24)</f>
        <v>0.36379629629629628</v>
      </c>
      <c r="G3264" s="7" t="s">
        <v>9</v>
      </c>
    </row>
    <row r="3265" spans="1:7" x14ac:dyDescent="0.45">
      <c r="A3265" t="s">
        <v>3360</v>
      </c>
      <c r="B3265" s="2" t="s">
        <v>24</v>
      </c>
      <c r="C3265" s="3">
        <f>5770/(60*60*24)</f>
        <v>6.6782407407407401E-2</v>
      </c>
      <c r="D3265" s="4">
        <f>2460/(60*60*24)</f>
        <v>2.8472222222222222E-2</v>
      </c>
      <c r="E3265" s="5">
        <f>9348/(60*60*24)</f>
        <v>0.10819444444444444</v>
      </c>
      <c r="F3265" s="6">
        <f>30766/(60*60*24)</f>
        <v>0.35608796296296297</v>
      </c>
      <c r="G3265" s="7" t="s">
        <v>9</v>
      </c>
    </row>
    <row r="3266" spans="1:7" x14ac:dyDescent="0.45">
      <c r="A3266" t="s">
        <v>3361</v>
      </c>
      <c r="B3266" s="2" t="s">
        <v>26</v>
      </c>
      <c r="C3266" s="3">
        <f>5703/(60*60*24)</f>
        <v>6.6006944444444438E-2</v>
      </c>
      <c r="D3266" s="4">
        <f>2638/(60*60*24)</f>
        <v>3.0532407407407407E-2</v>
      </c>
      <c r="E3266" s="5">
        <f>9043/(60*60*24)</f>
        <v>0.10466435185185186</v>
      </c>
      <c r="F3266" s="6">
        <f>30502/(60*60*24)</f>
        <v>0.35303240740740743</v>
      </c>
      <c r="G3266" s="7" t="s">
        <v>9</v>
      </c>
    </row>
    <row r="3267" spans="1:7" x14ac:dyDescent="0.45">
      <c r="A3267" t="s">
        <v>3362</v>
      </c>
      <c r="B3267" s="2" t="s">
        <v>28</v>
      </c>
      <c r="C3267" s="3">
        <f>4905/(60*60*24)</f>
        <v>5.6770833333333333E-2</v>
      </c>
      <c r="D3267" s="4">
        <f>2473/(60*60*24)</f>
        <v>2.8622685185185185E-2</v>
      </c>
      <c r="E3267" s="5">
        <f>8810/(60*60*24)</f>
        <v>0.1019675925925926</v>
      </c>
      <c r="F3267" s="6">
        <f>29834/(60*60*24)</f>
        <v>0.34530092592592593</v>
      </c>
      <c r="G3267" s="7" t="s">
        <v>9</v>
      </c>
    </row>
    <row r="3268" spans="1:7" x14ac:dyDescent="0.45">
      <c r="A3268" t="s">
        <v>3363</v>
      </c>
      <c r="B3268" s="2" t="s">
        <v>30</v>
      </c>
      <c r="C3268" s="3">
        <f>4750/(60*60*24)</f>
        <v>5.4976851851851853E-2</v>
      </c>
      <c r="D3268" s="4">
        <f>2648/(60*60*24)</f>
        <v>3.0648148148148147E-2</v>
      </c>
      <c r="E3268" s="5">
        <f>8663/(60*60*24)</f>
        <v>0.1002662037037037</v>
      </c>
      <c r="F3268" s="6">
        <f>29222/(60*60*24)</f>
        <v>0.3382175925925926</v>
      </c>
      <c r="G3268" s="7" t="s">
        <v>9</v>
      </c>
    </row>
    <row r="3269" spans="1:7" x14ac:dyDescent="0.45">
      <c r="A3269" t="s">
        <v>3364</v>
      </c>
      <c r="B3269" s="2" t="s">
        <v>32</v>
      </c>
      <c r="C3269" s="3">
        <f>5614/(60*60*24)</f>
        <v>6.4976851851851855E-2</v>
      </c>
      <c r="D3269" s="4">
        <f>2814/(60*60*24)</f>
        <v>3.2569444444444443E-2</v>
      </c>
      <c r="E3269" s="5">
        <f>8481/(60*60*24)</f>
        <v>9.8159722222222218E-2</v>
      </c>
      <c r="F3269" s="6">
        <f>28326/(60*60*24)</f>
        <v>0.32784722222222223</v>
      </c>
      <c r="G3269" s="7" t="s">
        <v>9</v>
      </c>
    </row>
    <row r="3270" spans="1:7" x14ac:dyDescent="0.45">
      <c r="A3270" t="s">
        <v>3365</v>
      </c>
      <c r="B3270" s="2" t="s">
        <v>36</v>
      </c>
      <c r="C3270" s="3">
        <f>8046/(60*60*24)</f>
        <v>9.3124999999999999E-2</v>
      </c>
      <c r="D3270" s="4">
        <f>2997/(60*60*24)</f>
        <v>3.4687500000000003E-2</v>
      </c>
      <c r="E3270" s="5">
        <f>8282/(60*60*24)</f>
        <v>9.5856481481481487E-2</v>
      </c>
      <c r="F3270" s="6">
        <f>27584/(60*60*24)</f>
        <v>0.31925925925925924</v>
      </c>
      <c r="G3270" s="7" t="s">
        <v>9</v>
      </c>
    </row>
    <row r="3271" spans="1:7" x14ac:dyDescent="0.45">
      <c r="A3271" t="s">
        <v>3366</v>
      </c>
      <c r="B3271" s="2" t="s">
        <v>34</v>
      </c>
      <c r="C3271" s="3">
        <f>5873/(60*60*24)</f>
        <v>6.7974537037037042E-2</v>
      </c>
      <c r="D3271" s="4">
        <f>2988/(60*60*24)</f>
        <v>3.4583333333333334E-2</v>
      </c>
      <c r="E3271" s="5">
        <f>8128/(60*60*24)</f>
        <v>9.4074074074074074E-2</v>
      </c>
      <c r="F3271" s="6">
        <f>27374/(60*60*24)</f>
        <v>0.3168287037037037</v>
      </c>
      <c r="G3271" s="7" t="s">
        <v>9</v>
      </c>
    </row>
    <row r="3272" spans="1:7" x14ac:dyDescent="0.45">
      <c r="A3272" t="s">
        <v>3367</v>
      </c>
      <c r="B3272" s="2" t="s">
        <v>38</v>
      </c>
      <c r="C3272" s="3">
        <f>6384/(60*60*24)</f>
        <v>7.3888888888888893E-2</v>
      </c>
      <c r="D3272" s="4">
        <f>2969/(60*60*24)</f>
        <v>3.4363425925925929E-2</v>
      </c>
      <c r="E3272" s="5">
        <f>7850/(60*60*24)</f>
        <v>9.0856481481481483E-2</v>
      </c>
      <c r="F3272" s="6">
        <f>26642/(60*60*24)</f>
        <v>0.30835648148148148</v>
      </c>
      <c r="G3272" s="7" t="s">
        <v>9</v>
      </c>
    </row>
    <row r="3273" spans="1:7" x14ac:dyDescent="0.45">
      <c r="A3273" t="s">
        <v>3368</v>
      </c>
      <c r="B3273" s="2" t="s">
        <v>40</v>
      </c>
      <c r="C3273" s="3">
        <f>6087/(60*60*24)</f>
        <v>7.0451388888888883E-2</v>
      </c>
      <c r="D3273" s="4">
        <f>2953/(60*60*24)</f>
        <v>3.4178240740740738E-2</v>
      </c>
      <c r="E3273" s="5">
        <f>7944/(60*60*24)</f>
        <v>9.194444444444444E-2</v>
      </c>
      <c r="F3273" s="6">
        <f>26230/(60*60*24)</f>
        <v>0.30358796296296298</v>
      </c>
      <c r="G3273" s="7" t="s">
        <v>9</v>
      </c>
    </row>
    <row r="3274" spans="1:7" x14ac:dyDescent="0.45">
      <c r="A3274" t="s">
        <v>3369</v>
      </c>
      <c r="B3274" s="2" t="s">
        <v>44</v>
      </c>
      <c r="C3274" s="3">
        <f>6569/(60*60*24)</f>
        <v>7.6030092592592594E-2</v>
      </c>
      <c r="D3274" s="4">
        <f>2645/(60*60*24)</f>
        <v>3.0613425925925926E-2</v>
      </c>
      <c r="E3274" s="5">
        <f>8080/(60*60*24)</f>
        <v>9.3518518518518515E-2</v>
      </c>
      <c r="F3274" s="6">
        <f>26196/(60*60*24)</f>
        <v>0.30319444444444443</v>
      </c>
      <c r="G3274" s="7" t="s">
        <v>9</v>
      </c>
    </row>
    <row r="3275" spans="1:7" x14ac:dyDescent="0.45">
      <c r="A3275" t="s">
        <v>3370</v>
      </c>
      <c r="B3275" s="2" t="s">
        <v>42</v>
      </c>
      <c r="C3275" s="8" t="s">
        <v>12</v>
      </c>
      <c r="D3275" s="4">
        <f>2846/(60*60*24)</f>
        <v>3.2939814814814818E-2</v>
      </c>
      <c r="E3275" s="3">
        <f>7841/(60*60*24)</f>
        <v>9.0752314814814813E-2</v>
      </c>
      <c r="F3275" s="5">
        <f>25499/(60*60*24)</f>
        <v>0.2951273148148148</v>
      </c>
      <c r="G3275" s="7" t="s">
        <v>9</v>
      </c>
    </row>
    <row r="3276" spans="1:7" x14ac:dyDescent="0.45">
      <c r="A3276" t="s">
        <v>3371</v>
      </c>
      <c r="B3276" s="2" t="s">
        <v>46</v>
      </c>
      <c r="C3276" s="8" t="s">
        <v>12</v>
      </c>
      <c r="D3276" s="4">
        <f>3218/(60*60*24)</f>
        <v>3.7245370370370373E-2</v>
      </c>
      <c r="E3276" s="3">
        <f>7650/(60*60*24)</f>
        <v>8.8541666666666671E-2</v>
      </c>
      <c r="F3276" s="5">
        <f>24672/(60*60*24)</f>
        <v>0.28555555555555556</v>
      </c>
      <c r="G3276" s="7" t="s">
        <v>9</v>
      </c>
    </row>
    <row r="3277" spans="1:7" x14ac:dyDescent="0.45">
      <c r="A3277" t="s">
        <v>3372</v>
      </c>
      <c r="B3277" s="2" t="s">
        <v>48</v>
      </c>
      <c r="C3277" s="8" t="s">
        <v>12</v>
      </c>
      <c r="D3277" s="4">
        <f>3243/(60*60*24)</f>
        <v>3.7534722222222219E-2</v>
      </c>
      <c r="E3277" s="3">
        <f>7346/(60*60*24)</f>
        <v>8.5023148148148153E-2</v>
      </c>
      <c r="F3277" s="5">
        <f>24055/(60*60*24)</f>
        <v>0.27841435185185187</v>
      </c>
      <c r="G3277" s="7" t="s">
        <v>9</v>
      </c>
    </row>
    <row r="3278" spans="1:7" x14ac:dyDescent="0.45">
      <c r="A3278" t="s">
        <v>3373</v>
      </c>
      <c r="B3278" s="2" t="s">
        <v>50</v>
      </c>
      <c r="C3278" s="8" t="s">
        <v>12</v>
      </c>
      <c r="D3278" s="4">
        <f>2607/(60*60*24)</f>
        <v>3.0173611111111109E-2</v>
      </c>
      <c r="E3278" s="3">
        <f>7064/(60*60*24)</f>
        <v>8.1759259259259254E-2</v>
      </c>
      <c r="F3278" s="5">
        <f>23535/(60*60*24)</f>
        <v>0.27239583333333334</v>
      </c>
      <c r="G3278" s="7" t="s">
        <v>9</v>
      </c>
    </row>
    <row r="3279" spans="1:7" x14ac:dyDescent="0.45">
      <c r="A3279" t="s">
        <v>3374</v>
      </c>
      <c r="B3279" s="2" t="s">
        <v>52</v>
      </c>
      <c r="C3279" s="8" t="s">
        <v>12</v>
      </c>
      <c r="D3279" s="4">
        <f>2846/(60*60*24)</f>
        <v>3.2939814814814818E-2</v>
      </c>
      <c r="E3279" s="3">
        <f>7224/(60*60*24)</f>
        <v>8.3611111111111108E-2</v>
      </c>
      <c r="F3279" s="5">
        <f>23046/(60*60*24)</f>
        <v>0.26673611111111112</v>
      </c>
      <c r="G3279" s="7" t="s">
        <v>9</v>
      </c>
    </row>
    <row r="3280" spans="1:7" x14ac:dyDescent="0.45">
      <c r="A3280" t="s">
        <v>3375</v>
      </c>
      <c r="B3280" s="2" t="s">
        <v>56</v>
      </c>
      <c r="C3280" s="3">
        <f>6219/(60*60*24)</f>
        <v>7.1979166666666664E-2</v>
      </c>
      <c r="D3280" s="4">
        <f>2572/(60*60*24)</f>
        <v>2.9768518518518517E-2</v>
      </c>
      <c r="E3280" s="5">
        <f>6915/(60*60*24)</f>
        <v>8.0034722222222215E-2</v>
      </c>
      <c r="F3280" s="6">
        <f>21551/(60*60*24)</f>
        <v>0.24943287037037037</v>
      </c>
      <c r="G3280" s="7" t="s">
        <v>9</v>
      </c>
    </row>
    <row r="3281" spans="1:7" x14ac:dyDescent="0.45">
      <c r="A3281" t="s">
        <v>3376</v>
      </c>
      <c r="B3281" s="2" t="s">
        <v>54</v>
      </c>
      <c r="C3281" s="8" t="s">
        <v>12</v>
      </c>
      <c r="D3281" s="4">
        <f>2558/(60*60*24)</f>
        <v>2.960648148148148E-2</v>
      </c>
      <c r="E3281" s="3">
        <f>7070/(60*60*24)</f>
        <v>8.1828703703703709E-2</v>
      </c>
      <c r="F3281" s="5">
        <f>22192/(60*60*24)</f>
        <v>0.25685185185185183</v>
      </c>
      <c r="G3281" s="7" t="s">
        <v>9</v>
      </c>
    </row>
    <row r="3282" spans="1:7" x14ac:dyDescent="0.45">
      <c r="A3282" t="s">
        <v>3377</v>
      </c>
      <c r="B3282" s="2" t="s">
        <v>58</v>
      </c>
      <c r="C3282" s="3">
        <f>5568/(60*60*24)</f>
        <v>6.4444444444444443E-2</v>
      </c>
      <c r="D3282" s="4">
        <f>2209/(60*60*24)</f>
        <v>2.5567129629629631E-2</v>
      </c>
      <c r="E3282" s="5">
        <f>6527/(60*60*24)</f>
        <v>7.5543981481481476E-2</v>
      </c>
      <c r="F3282" s="6">
        <f>21172/(60*60*24)</f>
        <v>0.24504629629629629</v>
      </c>
      <c r="G3282" s="7" t="s">
        <v>9</v>
      </c>
    </row>
    <row r="3283" spans="1:7" x14ac:dyDescent="0.45">
      <c r="A3283" t="s">
        <v>3378</v>
      </c>
      <c r="B3283" s="2" t="s">
        <v>60</v>
      </c>
      <c r="C3283" s="3">
        <f>6202/(60*60*24)</f>
        <v>7.1782407407407406E-2</v>
      </c>
      <c r="D3283" s="4">
        <f>2259/(60*60*24)</f>
        <v>2.6145833333333333E-2</v>
      </c>
      <c r="E3283" s="5">
        <f>6714/(60*60*24)</f>
        <v>7.7708333333333338E-2</v>
      </c>
      <c r="F3283" s="6">
        <f>20985/(60*60*24)</f>
        <v>0.24288194444444444</v>
      </c>
      <c r="G3283" s="7" t="s">
        <v>9</v>
      </c>
    </row>
    <row r="3284" spans="1:7" x14ac:dyDescent="0.45">
      <c r="A3284" t="s">
        <v>3379</v>
      </c>
      <c r="B3284" s="2" t="s">
        <v>62</v>
      </c>
      <c r="C3284" s="8" t="s">
        <v>12</v>
      </c>
      <c r="D3284" s="4">
        <f>2227/(60*60*24)</f>
        <v>2.5775462962962962E-2</v>
      </c>
      <c r="E3284" s="3">
        <f>6244/(60*60*24)</f>
        <v>7.2268518518518524E-2</v>
      </c>
      <c r="F3284" s="5">
        <f>20544/(60*60*24)</f>
        <v>0.23777777777777778</v>
      </c>
      <c r="G3284" s="7" t="s">
        <v>9</v>
      </c>
    </row>
    <row r="3285" spans="1:7" x14ac:dyDescent="0.45">
      <c r="A3285" t="s">
        <v>3380</v>
      </c>
      <c r="B3285" s="2" t="s">
        <v>64</v>
      </c>
      <c r="C3285" s="8" t="s">
        <v>12</v>
      </c>
      <c r="D3285" s="4">
        <f>2127/(60*60*24)</f>
        <v>2.4618055555555556E-2</v>
      </c>
      <c r="E3285" s="3">
        <f>6059/(60*60*24)</f>
        <v>7.0127314814814809E-2</v>
      </c>
      <c r="F3285" s="5">
        <f>20116/(60*60*24)</f>
        <v>0.23282407407407407</v>
      </c>
      <c r="G3285" s="7" t="s">
        <v>9</v>
      </c>
    </row>
    <row r="3286" spans="1:7" x14ac:dyDescent="0.45">
      <c r="A3286" t="s">
        <v>3381</v>
      </c>
      <c r="B3286" s="2" t="s">
        <v>66</v>
      </c>
      <c r="C3286" s="8" t="s">
        <v>12</v>
      </c>
      <c r="D3286" s="4">
        <f>2062/(60*60*24)</f>
        <v>2.3865740740740739E-2</v>
      </c>
      <c r="E3286" s="3">
        <f>5830/(60*60*24)</f>
        <v>6.7476851851851857E-2</v>
      </c>
      <c r="F3286" s="5">
        <f>19680/(60*60*24)</f>
        <v>0.22777777777777777</v>
      </c>
      <c r="G3286" s="7" t="s">
        <v>9</v>
      </c>
    </row>
    <row r="3287" spans="1:7" x14ac:dyDescent="0.45">
      <c r="A3287" t="s">
        <v>3382</v>
      </c>
      <c r="B3287" s="2" t="s">
        <v>68</v>
      </c>
      <c r="C3287" s="8" t="s">
        <v>12</v>
      </c>
      <c r="D3287" s="4">
        <f>2078/(60*60*24)</f>
        <v>2.4050925925925927E-2</v>
      </c>
      <c r="E3287" s="3">
        <f>5791/(60*60*24)</f>
        <v>6.7025462962962967E-2</v>
      </c>
      <c r="F3287" s="5">
        <f>19199/(60*60*24)</f>
        <v>0.22221064814814814</v>
      </c>
      <c r="G3287" s="7" t="s">
        <v>9</v>
      </c>
    </row>
    <row r="3288" spans="1:7" x14ac:dyDescent="0.45">
      <c r="A3288" t="s">
        <v>3383</v>
      </c>
      <c r="B3288" s="2" t="s">
        <v>72</v>
      </c>
      <c r="C3288" s="5">
        <f>7467/(60*60*24)</f>
        <v>8.6423611111111118E-2</v>
      </c>
      <c r="D3288" s="4">
        <f>1696/(60*60*24)</f>
        <v>1.9629629629629629E-2</v>
      </c>
      <c r="E3288" s="3">
        <f>5721/(60*60*24)</f>
        <v>6.6215277777777776E-2</v>
      </c>
      <c r="F3288" s="6">
        <f>18651/(60*60*24)</f>
        <v>0.21586805555555555</v>
      </c>
      <c r="G3288" s="7" t="s">
        <v>9</v>
      </c>
    </row>
    <row r="3289" spans="1:7" x14ac:dyDescent="0.45">
      <c r="A3289" t="s">
        <v>3384</v>
      </c>
      <c r="B3289" s="2" t="s">
        <v>70</v>
      </c>
      <c r="C3289" s="8" t="s">
        <v>12</v>
      </c>
      <c r="D3289" s="4">
        <f>1552/(60*60*24)</f>
        <v>1.7962962962962962E-2</v>
      </c>
      <c r="E3289" s="3">
        <f>5750/(60*60*24)</f>
        <v>6.655092592592593E-2</v>
      </c>
      <c r="F3289" s="5">
        <f>18752/(60*60*24)</f>
        <v>0.21703703703703703</v>
      </c>
      <c r="G3289" s="7" t="s">
        <v>9</v>
      </c>
    </row>
    <row r="3290" spans="1:7" x14ac:dyDescent="0.45">
      <c r="A3290" t="s">
        <v>3385</v>
      </c>
      <c r="B3290" s="2" t="s">
        <v>74</v>
      </c>
      <c r="C3290" s="8" t="s">
        <v>12</v>
      </c>
      <c r="D3290" s="4">
        <f>1658/(60*60*24)</f>
        <v>1.9189814814814816E-2</v>
      </c>
      <c r="E3290" s="3">
        <f>5977/(60*60*24)</f>
        <v>6.9178240740740735E-2</v>
      </c>
      <c r="F3290" s="5">
        <f>18604/(60*60*24)</f>
        <v>0.21532407407407408</v>
      </c>
      <c r="G3290" s="7" t="s">
        <v>9</v>
      </c>
    </row>
    <row r="3291" spans="1:7" x14ac:dyDescent="0.45">
      <c r="A3291" t="s">
        <v>3386</v>
      </c>
      <c r="B3291" s="2" t="s">
        <v>76</v>
      </c>
      <c r="C3291" s="8" t="s">
        <v>12</v>
      </c>
      <c r="D3291" s="4">
        <f>1779/(60*60*24)</f>
        <v>2.0590277777777777E-2</v>
      </c>
      <c r="E3291" s="3">
        <f>5942/(60*60*24)</f>
        <v>6.8773148148148153E-2</v>
      </c>
      <c r="F3291" s="5">
        <f>18733/(60*60*24)</f>
        <v>0.21681712962962962</v>
      </c>
      <c r="G3291" s="7" t="s">
        <v>9</v>
      </c>
    </row>
    <row r="3292" spans="1:7" x14ac:dyDescent="0.45">
      <c r="A3292" t="s">
        <v>3387</v>
      </c>
      <c r="B3292" s="2" t="s">
        <v>80</v>
      </c>
      <c r="C3292" s="5">
        <f>6220/(60*60*24)</f>
        <v>7.1990740740740744E-2</v>
      </c>
      <c r="D3292" s="4">
        <f>1245/(60*60*24)</f>
        <v>1.4409722222222223E-2</v>
      </c>
      <c r="E3292" s="3">
        <f>5717/(60*60*24)</f>
        <v>6.6168981481481481E-2</v>
      </c>
      <c r="F3292" s="6">
        <f>18319/(60*60*24)</f>
        <v>0.21202546296296296</v>
      </c>
      <c r="G3292" s="7" t="s">
        <v>9</v>
      </c>
    </row>
    <row r="3293" spans="1:7" x14ac:dyDescent="0.45">
      <c r="A3293" t="s">
        <v>3388</v>
      </c>
      <c r="B3293" s="2" t="s">
        <v>78</v>
      </c>
      <c r="C3293" s="8" t="s">
        <v>12</v>
      </c>
      <c r="D3293" s="4">
        <f>1314/(60*60*24)</f>
        <v>1.5208333333333334E-2</v>
      </c>
      <c r="E3293" s="3">
        <f>5538/(60*60*24)</f>
        <v>6.4097222222222222E-2</v>
      </c>
      <c r="F3293" s="5">
        <f>18155/(60*60*24)</f>
        <v>0.21012731481481481</v>
      </c>
      <c r="G3293" s="7" t="s">
        <v>9</v>
      </c>
    </row>
    <row r="3294" spans="1:7" x14ac:dyDescent="0.45">
      <c r="A3294" t="s">
        <v>3389</v>
      </c>
      <c r="B3294" s="2" t="s">
        <v>82</v>
      </c>
      <c r="C3294" s="5">
        <f>6288/(60*60*24)</f>
        <v>7.2777777777777775E-2</v>
      </c>
      <c r="D3294" s="4">
        <f>1637/(60*60*24)</f>
        <v>1.894675925925926E-2</v>
      </c>
      <c r="E3294" s="3">
        <f>5500/(60*60*24)</f>
        <v>6.3657407407407413E-2</v>
      </c>
      <c r="F3294" s="6">
        <f>17121/(60*60*24)</f>
        <v>0.19815972222222222</v>
      </c>
      <c r="G3294" s="7" t="s">
        <v>9</v>
      </c>
    </row>
    <row r="3295" spans="1:7" x14ac:dyDescent="0.45">
      <c r="A3295" t="s">
        <v>3390</v>
      </c>
      <c r="B3295" s="2" t="s">
        <v>84</v>
      </c>
      <c r="C3295" s="8" t="s">
        <v>12</v>
      </c>
      <c r="D3295" s="4">
        <f>1486/(60*60*24)</f>
        <v>1.7199074074074075E-2</v>
      </c>
      <c r="E3295" s="3">
        <f>5844/(60*60*24)</f>
        <v>6.7638888888888887E-2</v>
      </c>
      <c r="F3295" s="5">
        <f>17726/(60*60*24)</f>
        <v>0.20516203703703703</v>
      </c>
      <c r="G3295" s="7" t="s">
        <v>9</v>
      </c>
    </row>
    <row r="3296" spans="1:7" x14ac:dyDescent="0.45">
      <c r="A3296" t="s">
        <v>3391</v>
      </c>
      <c r="B3296" s="2" t="s">
        <v>88</v>
      </c>
      <c r="C3296" s="3">
        <f>4785/(60*60*24)</f>
        <v>5.5381944444444442E-2</v>
      </c>
      <c r="D3296" s="4">
        <f>1360/(60*60*24)</f>
        <v>1.5740740740740739E-2</v>
      </c>
      <c r="E3296" s="5">
        <f>5150/(60*60*24)</f>
        <v>5.9606481481481483E-2</v>
      </c>
      <c r="F3296" s="6">
        <f>16298/(60*60*24)</f>
        <v>0.18863425925925925</v>
      </c>
      <c r="G3296" s="7" t="s">
        <v>9</v>
      </c>
    </row>
    <row r="3297" spans="1:7" x14ac:dyDescent="0.45">
      <c r="A3297" t="s">
        <v>3392</v>
      </c>
      <c r="B3297" s="2" t="s">
        <v>86</v>
      </c>
      <c r="C3297" s="3">
        <f>4346/(60*60*24)</f>
        <v>5.0300925925925923E-2</v>
      </c>
      <c r="D3297" s="4">
        <f>1309/(60*60*24)</f>
        <v>1.5150462962962963E-2</v>
      </c>
      <c r="E3297" s="5">
        <f>5059/(60*60*24)</f>
        <v>5.8553240740740739E-2</v>
      </c>
      <c r="F3297" s="6">
        <f>15944/(60*60*24)</f>
        <v>0.18453703703703703</v>
      </c>
      <c r="G3297" s="7" t="s">
        <v>9</v>
      </c>
    </row>
    <row r="3298" spans="1:7" x14ac:dyDescent="0.45">
      <c r="A3298" t="s">
        <v>3393</v>
      </c>
      <c r="B3298" s="2" t="s">
        <v>90</v>
      </c>
      <c r="C3298" s="8" t="s">
        <v>12</v>
      </c>
      <c r="D3298" s="4">
        <f>1447/(60*60*24)</f>
        <v>1.6747685185185185E-2</v>
      </c>
      <c r="E3298" s="3">
        <f>5450/(60*60*24)</f>
        <v>6.3078703703703706E-2</v>
      </c>
      <c r="F3298" s="5">
        <f>15926/(60*60*24)</f>
        <v>0.18432870370370372</v>
      </c>
      <c r="G3298" s="7" t="s">
        <v>9</v>
      </c>
    </row>
    <row r="3299" spans="1:7" x14ac:dyDescent="0.45">
      <c r="A3299" t="s">
        <v>3394</v>
      </c>
      <c r="B3299" s="2" t="s">
        <v>92</v>
      </c>
      <c r="C3299" s="8" t="s">
        <v>12</v>
      </c>
      <c r="D3299" s="4">
        <f>1379/(60*60*24)</f>
        <v>1.5960648148148147E-2</v>
      </c>
      <c r="E3299" s="3">
        <f>5458/(60*60*24)</f>
        <v>6.3171296296296295E-2</v>
      </c>
      <c r="F3299" s="5">
        <f>15908/(60*60*24)</f>
        <v>0.18412037037037038</v>
      </c>
      <c r="G3299" s="7" t="s">
        <v>9</v>
      </c>
    </row>
    <row r="3300" spans="1:7" x14ac:dyDescent="0.45">
      <c r="A3300" t="s">
        <v>3395</v>
      </c>
      <c r="B3300" s="2" t="s">
        <v>94</v>
      </c>
      <c r="C3300" s="8" t="s">
        <v>12</v>
      </c>
      <c r="D3300" s="4">
        <f>1439/(60*60*24)</f>
        <v>1.6655092592592593E-2</v>
      </c>
      <c r="E3300" s="3">
        <f>5453/(60*60*24)</f>
        <v>6.311342592592592E-2</v>
      </c>
      <c r="F3300" s="5">
        <f>16362/(60*60*24)</f>
        <v>0.18937499999999999</v>
      </c>
      <c r="G3300" s="7" t="s">
        <v>9</v>
      </c>
    </row>
    <row r="3301" spans="1:7" x14ac:dyDescent="0.45">
      <c r="A3301" t="s">
        <v>3396</v>
      </c>
      <c r="B3301" s="2" t="s">
        <v>96</v>
      </c>
      <c r="C3301" s="8" t="s">
        <v>12</v>
      </c>
      <c r="D3301" s="4">
        <f>1655/(60*60*24)</f>
        <v>1.9155092592592592E-2</v>
      </c>
      <c r="E3301" s="3">
        <f>4429/(60*60*24)</f>
        <v>5.1261574074074077E-2</v>
      </c>
      <c r="F3301" s="5">
        <f>15920/(60*60*24)</f>
        <v>0.18425925925925926</v>
      </c>
      <c r="G3301" s="7" t="s">
        <v>9</v>
      </c>
    </row>
    <row r="3302" spans="1:7" x14ac:dyDescent="0.45">
      <c r="A3302" t="s">
        <v>3397</v>
      </c>
      <c r="B3302" s="2" t="s">
        <v>98</v>
      </c>
      <c r="C3302" s="8" t="s">
        <v>12</v>
      </c>
      <c r="D3302" s="4">
        <f>1678/(60*60*24)</f>
        <v>1.9421296296296298E-2</v>
      </c>
      <c r="E3302" s="3">
        <f>4566/(60*60*24)</f>
        <v>5.2847222222222219E-2</v>
      </c>
      <c r="F3302" s="5">
        <f>16249/(60*60*24)</f>
        <v>0.18806712962962963</v>
      </c>
      <c r="G3302" s="7" t="s">
        <v>9</v>
      </c>
    </row>
    <row r="3303" spans="1:7" x14ac:dyDescent="0.45">
      <c r="A3303" t="s">
        <v>3398</v>
      </c>
      <c r="B3303" s="2" t="s">
        <v>100</v>
      </c>
      <c r="C3303" s="8" t="s">
        <v>12</v>
      </c>
      <c r="D3303" s="4">
        <f>1581/(60*60*24)</f>
        <v>1.8298611111111113E-2</v>
      </c>
      <c r="E3303" s="3">
        <f>4324/(60*60*24)</f>
        <v>5.0046296296296297E-2</v>
      </c>
      <c r="F3303" s="5">
        <f>15703/(60*60*24)</f>
        <v>0.18174768518518519</v>
      </c>
      <c r="G3303" s="7" t="s">
        <v>9</v>
      </c>
    </row>
    <row r="3304" spans="1:7" x14ac:dyDescent="0.45">
      <c r="A3304" t="s">
        <v>3399</v>
      </c>
      <c r="B3304" s="2" t="s">
        <v>104</v>
      </c>
      <c r="C3304" s="8" t="s">
        <v>12</v>
      </c>
      <c r="D3304" s="4">
        <f>1934/(60*60*24)</f>
        <v>2.238425925925926E-2</v>
      </c>
      <c r="E3304" s="3">
        <f>4371/(60*60*24)</f>
        <v>5.0590277777777776E-2</v>
      </c>
      <c r="F3304" s="5">
        <f>15997/(60*60*24)</f>
        <v>0.18515046296296298</v>
      </c>
      <c r="G3304" s="7" t="s">
        <v>9</v>
      </c>
    </row>
    <row r="3305" spans="1:7" x14ac:dyDescent="0.45">
      <c r="A3305" t="s">
        <v>3400</v>
      </c>
      <c r="B3305" s="2" t="s">
        <v>102</v>
      </c>
      <c r="C3305" s="8" t="s">
        <v>12</v>
      </c>
      <c r="D3305" s="4">
        <f>1838/(60*60*24)</f>
        <v>2.1273148148148149E-2</v>
      </c>
      <c r="E3305" s="3">
        <f>4367/(60*60*24)</f>
        <v>5.0543981481481481E-2</v>
      </c>
      <c r="F3305" s="5">
        <f>16193/(60*60*24)</f>
        <v>0.18741898148148148</v>
      </c>
      <c r="G3305" s="7" t="s">
        <v>9</v>
      </c>
    </row>
    <row r="3306" spans="1:7" x14ac:dyDescent="0.45">
      <c r="A3306" t="s">
        <v>3401</v>
      </c>
      <c r="B3306" s="2" t="s">
        <v>108</v>
      </c>
      <c r="C3306" s="5">
        <f>6228/(60*60*24)</f>
        <v>7.2083333333333333E-2</v>
      </c>
      <c r="D3306" s="4">
        <f>1776/(60*60*24)</f>
        <v>2.0555555555555556E-2</v>
      </c>
      <c r="E3306" s="3">
        <f>4595/(60*60*24)</f>
        <v>5.3182870370370373E-2</v>
      </c>
      <c r="F3306" s="6">
        <f>15679/(60*60*24)</f>
        <v>0.1814699074074074</v>
      </c>
      <c r="G3306" s="7" t="s">
        <v>9</v>
      </c>
    </row>
    <row r="3307" spans="1:7" x14ac:dyDescent="0.45">
      <c r="A3307" t="s">
        <v>3402</v>
      </c>
      <c r="B3307" s="2" t="s">
        <v>106</v>
      </c>
      <c r="C3307" s="8" t="s">
        <v>12</v>
      </c>
      <c r="D3307" s="4">
        <f>1805/(60*60*24)</f>
        <v>2.0891203703703703E-2</v>
      </c>
      <c r="E3307" s="3">
        <f>4723/(60*60*24)</f>
        <v>5.4664351851851853E-2</v>
      </c>
      <c r="F3307" s="5">
        <f>15673/(60*60*24)</f>
        <v>0.18140046296296297</v>
      </c>
      <c r="G3307" s="7" t="s">
        <v>9</v>
      </c>
    </row>
    <row r="3308" spans="1:7" x14ac:dyDescent="0.45">
      <c r="A3308" t="s">
        <v>3403</v>
      </c>
      <c r="B3308" s="2" t="s">
        <v>110</v>
      </c>
      <c r="C3308" s="8" t="s">
        <v>12</v>
      </c>
      <c r="D3308" s="4">
        <f>1806/(60*60*24)</f>
        <v>2.0902777777777777E-2</v>
      </c>
      <c r="E3308" s="3">
        <f>4559/(60*60*24)</f>
        <v>5.2766203703703704E-2</v>
      </c>
      <c r="F3308" s="5">
        <f>16115/(60*60*24)</f>
        <v>0.1865162037037037</v>
      </c>
      <c r="G3308" s="7" t="s">
        <v>9</v>
      </c>
    </row>
    <row r="3309" spans="1:7" x14ac:dyDescent="0.45">
      <c r="A3309" t="s">
        <v>3404</v>
      </c>
      <c r="B3309" s="2" t="s">
        <v>112</v>
      </c>
      <c r="C3309" s="8" t="s">
        <v>12</v>
      </c>
      <c r="D3309" s="4">
        <f>1876/(60*60*24)</f>
        <v>2.1712962962962962E-2</v>
      </c>
      <c r="E3309" s="3">
        <f>4784/(60*60*24)</f>
        <v>5.5370370370370368E-2</v>
      </c>
      <c r="F3309" s="5">
        <f>16475/(60*60*24)</f>
        <v>0.19068287037037038</v>
      </c>
      <c r="G3309" s="7" t="s">
        <v>9</v>
      </c>
    </row>
    <row r="3310" spans="1:7" x14ac:dyDescent="0.45">
      <c r="A3310" t="s">
        <v>3405</v>
      </c>
      <c r="B3310" s="2" t="s">
        <v>116</v>
      </c>
      <c r="C3310" s="5">
        <f>5407/(60*60*24)</f>
        <v>6.2581018518518522E-2</v>
      </c>
      <c r="D3310" s="4">
        <f>1756/(60*60*24)</f>
        <v>2.0324074074074074E-2</v>
      </c>
      <c r="E3310" s="3">
        <f>4910/(60*60*24)</f>
        <v>5.6828703703703701E-2</v>
      </c>
      <c r="F3310" s="6">
        <f>16379/(60*60*24)</f>
        <v>0.18957175925925926</v>
      </c>
      <c r="G3310" s="7" t="s">
        <v>9</v>
      </c>
    </row>
    <row r="3311" spans="1:7" x14ac:dyDescent="0.45">
      <c r="A3311" t="s">
        <v>3406</v>
      </c>
      <c r="B3311" s="2" t="s">
        <v>114</v>
      </c>
      <c r="C3311" s="8" t="s">
        <v>12</v>
      </c>
      <c r="D3311" s="4">
        <f>1828/(60*60*24)</f>
        <v>2.1157407407407406E-2</v>
      </c>
      <c r="E3311" s="3">
        <f>4830/(60*60*24)</f>
        <v>5.590277777777778E-2</v>
      </c>
      <c r="F3311" s="5">
        <f>16823/(60*60*24)</f>
        <v>0.19471064814814815</v>
      </c>
      <c r="G3311" s="7" t="s">
        <v>9</v>
      </c>
    </row>
    <row r="3312" spans="1:7" x14ac:dyDescent="0.45">
      <c r="A3312" t="s">
        <v>3407</v>
      </c>
      <c r="B3312" s="2" t="s">
        <v>118</v>
      </c>
      <c r="C3312" s="8" t="s">
        <v>12</v>
      </c>
      <c r="D3312" s="4">
        <f>1899/(60*60*24)</f>
        <v>2.1979166666666668E-2</v>
      </c>
      <c r="E3312" s="3">
        <f>5097/(60*60*24)</f>
        <v>5.8993055555555556E-2</v>
      </c>
      <c r="F3312" s="5">
        <f>17036/(60*60*24)</f>
        <v>0.19717592592592592</v>
      </c>
      <c r="G3312" s="7" t="s">
        <v>9</v>
      </c>
    </row>
    <row r="3313" spans="1:7" x14ac:dyDescent="0.45">
      <c r="A3313" t="s">
        <v>3408</v>
      </c>
      <c r="B3313" s="2" t="s">
        <v>120</v>
      </c>
      <c r="C3313" s="8" t="s">
        <v>12</v>
      </c>
      <c r="D3313" s="4">
        <f>1967/(60*60*24)</f>
        <v>2.2766203703703705E-2</v>
      </c>
      <c r="E3313" s="3">
        <f>5207/(60*60*24)</f>
        <v>6.0266203703703704E-2</v>
      </c>
      <c r="F3313" s="5">
        <f>17257/(60*60*24)</f>
        <v>0.19973379629629628</v>
      </c>
      <c r="G3313" s="7" t="s">
        <v>9</v>
      </c>
    </row>
    <row r="3314" spans="1:7" x14ac:dyDescent="0.45">
      <c r="A3314" t="s">
        <v>3409</v>
      </c>
      <c r="B3314" s="2" t="s">
        <v>124</v>
      </c>
      <c r="C3314" s="5">
        <f>5979/(60*60*24)</f>
        <v>6.9201388888888896E-2</v>
      </c>
      <c r="D3314" s="4">
        <f>1994/(60*60*24)</f>
        <v>2.3078703703703702E-2</v>
      </c>
      <c r="E3314" s="3">
        <f>5350/(60*60*24)</f>
        <v>6.1921296296296294E-2</v>
      </c>
      <c r="F3314" s="6">
        <f>17774/(60*60*24)</f>
        <v>0.20571759259259259</v>
      </c>
      <c r="G3314" s="7" t="s">
        <v>9</v>
      </c>
    </row>
    <row r="3315" spans="1:7" x14ac:dyDescent="0.45">
      <c r="A3315" t="s">
        <v>3410</v>
      </c>
      <c r="B3315" s="2" t="s">
        <v>122</v>
      </c>
      <c r="C3315" s="5">
        <f>5862/(60*60*24)</f>
        <v>6.7847222222222225E-2</v>
      </c>
      <c r="D3315" s="4">
        <f>1826/(60*60*24)</f>
        <v>2.1134259259259259E-2</v>
      </c>
      <c r="E3315" s="3">
        <f>5161/(60*60*24)</f>
        <v>5.9733796296296299E-2</v>
      </c>
      <c r="F3315" s="6">
        <f>18464/(60*60*24)</f>
        <v>0.2137037037037037</v>
      </c>
      <c r="G3315" s="7" t="s">
        <v>9</v>
      </c>
    </row>
    <row r="3316" spans="1:7" x14ac:dyDescent="0.45">
      <c r="A3316" t="s">
        <v>3411</v>
      </c>
      <c r="B3316" s="2" t="s">
        <v>126</v>
      </c>
      <c r="C3316" s="8" t="s">
        <v>12</v>
      </c>
      <c r="D3316" s="4">
        <f>1854/(60*60*24)</f>
        <v>2.1458333333333333E-2</v>
      </c>
      <c r="E3316" s="3">
        <f>5408/(60*60*24)</f>
        <v>6.2592592592592589E-2</v>
      </c>
      <c r="F3316" s="5">
        <f>18989/(60*60*24)</f>
        <v>0.2197800925925926</v>
      </c>
      <c r="G3316" s="7" t="s">
        <v>9</v>
      </c>
    </row>
    <row r="3317" spans="1:7" x14ac:dyDescent="0.45">
      <c r="A3317" t="s">
        <v>3412</v>
      </c>
      <c r="B3317" s="2" t="s">
        <v>128</v>
      </c>
      <c r="C3317" s="8" t="s">
        <v>12</v>
      </c>
      <c r="D3317" s="4">
        <f>2103/(60*60*24)</f>
        <v>2.4340277777777777E-2</v>
      </c>
      <c r="E3317" s="3">
        <f>5515/(60*60*24)</f>
        <v>6.3831018518518523E-2</v>
      </c>
      <c r="F3317" s="5">
        <f>19508/(60*60*24)</f>
        <v>0.22578703703703704</v>
      </c>
      <c r="G3317" s="7" t="s">
        <v>9</v>
      </c>
    </row>
    <row r="3318" spans="1:7" x14ac:dyDescent="0.45">
      <c r="A3318" t="s">
        <v>3413</v>
      </c>
      <c r="B3318" s="2" t="s">
        <v>130</v>
      </c>
      <c r="C3318" s="8" t="s">
        <v>12</v>
      </c>
      <c r="D3318" s="4">
        <f>2234/(60*60*24)</f>
        <v>2.585648148148148E-2</v>
      </c>
      <c r="E3318" s="3">
        <f>5994/(60*60*24)</f>
        <v>6.9375000000000006E-2</v>
      </c>
      <c r="F3318" s="5">
        <f>19917/(60*60*24)</f>
        <v>0.23052083333333334</v>
      </c>
      <c r="G3318" s="7" t="s">
        <v>9</v>
      </c>
    </row>
    <row r="3319" spans="1:7" x14ac:dyDescent="0.45">
      <c r="A3319" t="s">
        <v>3414</v>
      </c>
      <c r="B3319" s="2" t="s">
        <v>132</v>
      </c>
      <c r="C3319" s="8" t="s">
        <v>12</v>
      </c>
      <c r="D3319" s="4">
        <f>2407/(60*60*24)</f>
        <v>2.7858796296296295E-2</v>
      </c>
      <c r="E3319" s="3">
        <f>5937/(60*60*24)</f>
        <v>6.8715277777777778E-2</v>
      </c>
      <c r="F3319" s="5">
        <f>20289/(60*60*24)</f>
        <v>0.23482638888888888</v>
      </c>
      <c r="G3319" s="7" t="s">
        <v>9</v>
      </c>
    </row>
    <row r="3320" spans="1:7" x14ac:dyDescent="0.45">
      <c r="A3320" t="s">
        <v>3415</v>
      </c>
      <c r="B3320" s="2" t="s">
        <v>136</v>
      </c>
      <c r="C3320" s="8" t="s">
        <v>12</v>
      </c>
      <c r="D3320" s="4">
        <f>2229/(60*60*24)</f>
        <v>2.5798611111111112E-2</v>
      </c>
      <c r="E3320" s="3">
        <f>5814/(60*60*24)</f>
        <v>6.7291666666666666E-2</v>
      </c>
      <c r="F3320" s="5">
        <f>20119/(60*60*24)</f>
        <v>0.2328587962962963</v>
      </c>
      <c r="G3320" s="7" t="s">
        <v>9</v>
      </c>
    </row>
    <row r="3321" spans="1:7" x14ac:dyDescent="0.45">
      <c r="A3321" t="s">
        <v>3416</v>
      </c>
      <c r="B3321" s="2" t="s">
        <v>134</v>
      </c>
      <c r="C3321" s="8" t="s">
        <v>12</v>
      </c>
      <c r="D3321" s="4">
        <f>2332/(60*60*24)</f>
        <v>2.6990740740740742E-2</v>
      </c>
      <c r="E3321" s="3">
        <f>6051/(60*60*24)</f>
        <v>7.003472222222222E-2</v>
      </c>
      <c r="F3321" s="5">
        <f>20494/(60*60*24)</f>
        <v>0.23719907407407406</v>
      </c>
      <c r="G3321" s="7" t="s">
        <v>9</v>
      </c>
    </row>
    <row r="3322" spans="1:7" x14ac:dyDescent="0.45">
      <c r="A3322" t="s">
        <v>3417</v>
      </c>
      <c r="B3322" s="2" t="s">
        <v>138</v>
      </c>
      <c r="C3322" s="3">
        <f>4766/(60*60*24)</f>
        <v>5.5162037037037037E-2</v>
      </c>
      <c r="D3322" s="4">
        <f>2449/(60*60*24)</f>
        <v>2.8344907407407409E-2</v>
      </c>
      <c r="E3322" s="5">
        <f>6234/(60*60*24)</f>
        <v>7.2152777777777774E-2</v>
      </c>
      <c r="F3322" s="6">
        <f>22263/(60*60*24)</f>
        <v>0.25767361111111109</v>
      </c>
      <c r="G3322" s="7" t="s">
        <v>9</v>
      </c>
    </row>
    <row r="3323" spans="1:7" x14ac:dyDescent="0.45">
      <c r="A3323" t="s">
        <v>3418</v>
      </c>
      <c r="B3323" s="2" t="s">
        <v>140</v>
      </c>
      <c r="C3323" s="8" t="s">
        <v>12</v>
      </c>
      <c r="D3323" s="4">
        <f>2625/(60*60*24)</f>
        <v>3.0381944444444444E-2</v>
      </c>
      <c r="E3323" s="3">
        <f>6550/(60*60*24)</f>
        <v>7.5810185185185189E-2</v>
      </c>
      <c r="F3323" s="5">
        <f>22215/(60*60*24)</f>
        <v>0.25711805555555556</v>
      </c>
      <c r="G3323" s="7" t="s">
        <v>9</v>
      </c>
    </row>
    <row r="3324" spans="1:7" x14ac:dyDescent="0.45">
      <c r="A3324" t="s">
        <v>3419</v>
      </c>
      <c r="B3324" s="2" t="s">
        <v>144</v>
      </c>
      <c r="C3324" s="3">
        <f>5216/(60*60*24)</f>
        <v>6.0370370370370373E-2</v>
      </c>
      <c r="D3324" s="4">
        <f>2778/(60*60*24)</f>
        <v>3.215277777777778E-2</v>
      </c>
      <c r="E3324" s="5">
        <f>7066/(60*60*24)</f>
        <v>8.1782407407407401E-2</v>
      </c>
      <c r="F3324" s="6">
        <f>23061/(60*60*24)</f>
        <v>0.2669097222222222</v>
      </c>
      <c r="G3324" s="7" t="s">
        <v>9</v>
      </c>
    </row>
    <row r="3325" spans="1:7" x14ac:dyDescent="0.45">
      <c r="A3325" t="s">
        <v>3420</v>
      </c>
      <c r="B3325" s="2" t="s">
        <v>142</v>
      </c>
      <c r="C3325" s="8" t="s">
        <v>12</v>
      </c>
      <c r="D3325" s="4">
        <f>2597/(60*60*24)</f>
        <v>3.005787037037037E-2</v>
      </c>
      <c r="E3325" s="3">
        <f>7092/(60*60*24)</f>
        <v>8.2083333333333328E-2</v>
      </c>
      <c r="F3325" s="5">
        <f>22745/(60*60*24)</f>
        <v>0.26325231481481481</v>
      </c>
      <c r="G3325" s="7" t="s">
        <v>9</v>
      </c>
    </row>
    <row r="3326" spans="1:7" x14ac:dyDescent="0.45">
      <c r="A3326" t="s">
        <v>3421</v>
      </c>
      <c r="B3326" s="2" t="s">
        <v>146</v>
      </c>
      <c r="C3326" s="3">
        <f>5638/(60*60*24)</f>
        <v>6.5254629629629635E-2</v>
      </c>
      <c r="D3326" s="4">
        <f>2734/(60*60*24)</f>
        <v>3.1643518518518515E-2</v>
      </c>
      <c r="E3326" s="5">
        <f>7182/(60*60*24)</f>
        <v>8.3125000000000004E-2</v>
      </c>
      <c r="F3326" s="6">
        <f>23689/(60*60*24)</f>
        <v>0.27417824074074076</v>
      </c>
      <c r="G3326" s="7" t="s">
        <v>9</v>
      </c>
    </row>
    <row r="3327" spans="1:7" x14ac:dyDescent="0.45">
      <c r="A3327" t="s">
        <v>3422</v>
      </c>
      <c r="B3327" s="2" t="s">
        <v>148</v>
      </c>
      <c r="C3327" s="3">
        <f>5782/(60*60*24)</f>
        <v>6.6921296296296298E-2</v>
      </c>
      <c r="D3327" s="4">
        <f>2834/(60*60*24)</f>
        <v>3.2800925925925928E-2</v>
      </c>
      <c r="E3327" s="5">
        <f>7271/(60*60*24)</f>
        <v>8.4155092592592587E-2</v>
      </c>
      <c r="F3327" s="6">
        <f>23864/(60*60*24)</f>
        <v>0.27620370370370373</v>
      </c>
      <c r="G3327" s="7" t="s">
        <v>9</v>
      </c>
    </row>
    <row r="3328" spans="1:7" x14ac:dyDescent="0.45">
      <c r="A3328" t="s">
        <v>3423</v>
      </c>
      <c r="B3328" s="2" t="s">
        <v>152</v>
      </c>
      <c r="C3328" s="3">
        <f>4926/(60*60*24)</f>
        <v>5.7013888888888892E-2</v>
      </c>
      <c r="D3328" s="4">
        <f>2863/(60*60*24)</f>
        <v>3.3136574074074075E-2</v>
      </c>
      <c r="E3328" s="5">
        <f>7518/(60*60*24)</f>
        <v>8.7013888888888891E-2</v>
      </c>
      <c r="F3328" s="6">
        <f>25489/(60*60*24)</f>
        <v>0.29501157407407408</v>
      </c>
      <c r="G3328" s="7" t="s">
        <v>9</v>
      </c>
    </row>
    <row r="3329" spans="1:7" x14ac:dyDescent="0.45">
      <c r="A3329" t="s">
        <v>3424</v>
      </c>
      <c r="B3329" s="2" t="s">
        <v>150</v>
      </c>
      <c r="C3329" s="8" t="s">
        <v>12</v>
      </c>
      <c r="D3329" s="4">
        <f>2952/(60*60*24)</f>
        <v>3.4166666666666665E-2</v>
      </c>
      <c r="E3329" s="3">
        <f>7435/(60*60*24)</f>
        <v>8.6053240740740736E-2</v>
      </c>
      <c r="F3329" s="5">
        <f>24756/(60*60*24)</f>
        <v>0.28652777777777777</v>
      </c>
      <c r="G3329" s="7" t="s">
        <v>9</v>
      </c>
    </row>
    <row r="3330" spans="1:7" x14ac:dyDescent="0.45">
      <c r="A3330" t="s">
        <v>3425</v>
      </c>
      <c r="B3330" s="2" t="s">
        <v>154</v>
      </c>
      <c r="C3330" s="3">
        <f>5084/(60*60*24)</f>
        <v>5.8842592592592592E-2</v>
      </c>
      <c r="D3330" s="4">
        <f>2897/(60*60*24)</f>
        <v>3.3530092592592591E-2</v>
      </c>
      <c r="E3330" s="5">
        <f>7561/(60*60*24)</f>
        <v>8.7511574074074075E-2</v>
      </c>
      <c r="F3330" s="6">
        <f>26304/(60*60*24)</f>
        <v>0.30444444444444446</v>
      </c>
      <c r="G3330" s="7" t="s">
        <v>9</v>
      </c>
    </row>
    <row r="3331" spans="1:7" x14ac:dyDescent="0.45">
      <c r="A3331" t="s">
        <v>3426</v>
      </c>
      <c r="B3331" s="2" t="s">
        <v>156</v>
      </c>
      <c r="C3331" s="8" t="s">
        <v>12</v>
      </c>
      <c r="D3331" s="4">
        <f>3182/(60*60*24)</f>
        <v>3.6828703703703704E-2</v>
      </c>
      <c r="E3331" s="3">
        <f>8235/(60*60*24)</f>
        <v>9.5312499999999994E-2</v>
      </c>
      <c r="F3331" s="5">
        <f>28180/(60*60*24)</f>
        <v>0.3261574074074074</v>
      </c>
      <c r="G3331" s="7" t="s">
        <v>9</v>
      </c>
    </row>
    <row r="3332" spans="1:7" x14ac:dyDescent="0.45">
      <c r="A3332" t="s">
        <v>3427</v>
      </c>
      <c r="B3332" s="2" t="s">
        <v>160</v>
      </c>
      <c r="C3332" s="3">
        <f>5800/(60*60*24)</f>
        <v>6.7129629629629636E-2</v>
      </c>
      <c r="D3332" s="4">
        <f>3113/(60*60*24)</f>
        <v>3.6030092592592593E-2</v>
      </c>
      <c r="E3332" s="5">
        <f>8141/(60*60*24)</f>
        <v>9.4224537037037037E-2</v>
      </c>
      <c r="F3332" s="6">
        <f>28084/(60*60*24)</f>
        <v>0.32504629629629628</v>
      </c>
      <c r="G3332" s="7" t="s">
        <v>9</v>
      </c>
    </row>
    <row r="3333" spans="1:7" x14ac:dyDescent="0.45">
      <c r="A3333" t="s">
        <v>3428</v>
      </c>
      <c r="B3333" s="2" t="s">
        <v>158</v>
      </c>
      <c r="C3333" s="8" t="s">
        <v>12</v>
      </c>
      <c r="D3333" s="4">
        <f>3258/(60*60*24)</f>
        <v>3.7708333333333337E-2</v>
      </c>
      <c r="E3333" s="3">
        <f>8295/(60*60*24)</f>
        <v>9.600694444444445E-2</v>
      </c>
      <c r="F3333" s="5">
        <f>29313/(60*60*24)</f>
        <v>0.33927083333333335</v>
      </c>
      <c r="G3333" s="7" t="s">
        <v>9</v>
      </c>
    </row>
    <row r="3334" spans="1:7" x14ac:dyDescent="0.45">
      <c r="A3334" t="s">
        <v>3429</v>
      </c>
      <c r="B3334" s="2" t="s">
        <v>164</v>
      </c>
      <c r="C3334" s="5">
        <f>10332/(60*60*24)</f>
        <v>0.11958333333333333</v>
      </c>
      <c r="D3334" s="4">
        <f>3076/(60*60*24)</f>
        <v>3.560185185185185E-2</v>
      </c>
      <c r="E3334" s="3">
        <f>8879/(60*60*24)</f>
        <v>0.10276620370370371</v>
      </c>
      <c r="F3334" s="6">
        <f>30618/(60*60*24)</f>
        <v>0.354375</v>
      </c>
      <c r="G3334" s="7" t="s">
        <v>9</v>
      </c>
    </row>
    <row r="3335" spans="1:7" x14ac:dyDescent="0.45">
      <c r="A3335" t="s">
        <v>3430</v>
      </c>
      <c r="B3335" s="2" t="s">
        <v>162</v>
      </c>
      <c r="C3335" s="8" t="s">
        <v>12</v>
      </c>
      <c r="D3335" s="4">
        <f>3278/(60*60*24)</f>
        <v>3.7939814814814815E-2</v>
      </c>
      <c r="E3335" s="3">
        <f>8631/(60*60*24)</f>
        <v>9.9895833333333336E-2</v>
      </c>
      <c r="F3335" s="5">
        <f>30133/(60*60*24)</f>
        <v>0.3487615740740741</v>
      </c>
      <c r="G3335" s="7" t="s">
        <v>9</v>
      </c>
    </row>
    <row r="3336" spans="1:7" x14ac:dyDescent="0.45">
      <c r="A3336" t="s">
        <v>3431</v>
      </c>
      <c r="B3336" s="2" t="s">
        <v>168</v>
      </c>
      <c r="C3336" s="8" t="s">
        <v>12</v>
      </c>
      <c r="D3336" s="4">
        <f>3296/(60*60*24)</f>
        <v>3.8148148148148146E-2</v>
      </c>
      <c r="E3336" s="3">
        <f>9246/(60*60*24)</f>
        <v>0.10701388888888889</v>
      </c>
      <c r="F3336" s="5">
        <f>31552/(60*60*24)</f>
        <v>0.36518518518518517</v>
      </c>
      <c r="G3336" s="7" t="s">
        <v>9</v>
      </c>
    </row>
    <row r="3337" spans="1:7" x14ac:dyDescent="0.45">
      <c r="A3337" t="s">
        <v>3432</v>
      </c>
      <c r="B3337" s="2" t="s">
        <v>166</v>
      </c>
      <c r="C3337" s="8" t="s">
        <v>12</v>
      </c>
      <c r="D3337" s="4">
        <f>3241/(60*60*24)</f>
        <v>3.7511574074074072E-2</v>
      </c>
      <c r="E3337" s="3">
        <f>9190/(60*60*24)</f>
        <v>0.10636574074074075</v>
      </c>
      <c r="F3337" s="5">
        <f>32020/(60*60*24)</f>
        <v>0.37060185185185185</v>
      </c>
      <c r="G3337" s="7" t="s">
        <v>9</v>
      </c>
    </row>
    <row r="3338" spans="1:7" x14ac:dyDescent="0.45">
      <c r="A3338" t="s">
        <v>3433</v>
      </c>
      <c r="B3338" s="2" t="s">
        <v>170</v>
      </c>
      <c r="C3338" s="8" t="s">
        <v>12</v>
      </c>
      <c r="D3338" s="4">
        <f>3212/(60*60*24)</f>
        <v>3.7175925925925925E-2</v>
      </c>
      <c r="E3338" s="3">
        <f>9884/(60*60*24)</f>
        <v>0.11439814814814815</v>
      </c>
      <c r="F3338" s="5">
        <f>32975/(60*60*24)</f>
        <v>0.38165509259259262</v>
      </c>
      <c r="G3338" s="7" t="s">
        <v>9</v>
      </c>
    </row>
    <row r="3339" spans="1:7" x14ac:dyDescent="0.45">
      <c r="A3339" t="s">
        <v>3434</v>
      </c>
      <c r="B3339" s="2" t="s">
        <v>172</v>
      </c>
      <c r="C3339" s="8" t="s">
        <v>12</v>
      </c>
      <c r="D3339" s="4">
        <f>3518/(60*60*24)</f>
        <v>4.071759259259259E-2</v>
      </c>
      <c r="E3339" s="3">
        <f>10632/(60*60*24)</f>
        <v>0.12305555555555556</v>
      </c>
      <c r="F3339" s="5">
        <f>35054/(60*60*24)</f>
        <v>0.4057175925925926</v>
      </c>
      <c r="G3339" s="7" t="s">
        <v>9</v>
      </c>
    </row>
    <row r="3340" spans="1:7" x14ac:dyDescent="0.45">
      <c r="A3340" t="s">
        <v>3435</v>
      </c>
      <c r="B3340" s="2" t="s">
        <v>176</v>
      </c>
      <c r="C3340" s="3">
        <f>8522/(60*60*24)</f>
        <v>9.8634259259259255E-2</v>
      </c>
      <c r="D3340" s="4">
        <f>3444/(60*60*24)</f>
        <v>3.9861111111111111E-2</v>
      </c>
      <c r="E3340" s="5">
        <f>10641/(60*60*24)</f>
        <v>0.12315972222222223</v>
      </c>
      <c r="F3340" s="6">
        <f>35445/(60*60*24)</f>
        <v>0.41024305555555557</v>
      </c>
      <c r="G3340" s="7" t="s">
        <v>9</v>
      </c>
    </row>
    <row r="3341" spans="1:7" x14ac:dyDescent="0.45">
      <c r="A3341" t="s">
        <v>3436</v>
      </c>
      <c r="B3341" s="2" t="s">
        <v>174</v>
      </c>
      <c r="C3341" s="8" t="s">
        <v>12</v>
      </c>
      <c r="D3341" s="4">
        <f>3637/(60*60*24)</f>
        <v>4.2094907407407407E-2</v>
      </c>
      <c r="E3341" s="3">
        <f>10768/(60*60*24)</f>
        <v>0.12462962962962963</v>
      </c>
      <c r="F3341" s="5">
        <f>35879/(60*60*24)</f>
        <v>0.41526620370370371</v>
      </c>
      <c r="G3341" s="7" t="s">
        <v>9</v>
      </c>
    </row>
    <row r="3342" spans="1:7" x14ac:dyDescent="0.45">
      <c r="A3342" t="s">
        <v>3437</v>
      </c>
      <c r="B3342" s="2" t="s">
        <v>180</v>
      </c>
      <c r="C3342" s="8" t="s">
        <v>12</v>
      </c>
      <c r="D3342" s="4">
        <f>3517/(60*60*24)</f>
        <v>4.0706018518518516E-2</v>
      </c>
      <c r="E3342" s="3">
        <f>10974/(60*60*24)</f>
        <v>0.1270138888888889</v>
      </c>
      <c r="F3342" s="5">
        <f>36467/(60*60*24)</f>
        <v>0.42207175925925927</v>
      </c>
      <c r="G3342" s="7" t="s">
        <v>9</v>
      </c>
    </row>
    <row r="3343" spans="1:7" x14ac:dyDescent="0.45">
      <c r="A3343" t="s">
        <v>3438</v>
      </c>
      <c r="B3343" s="2" t="s">
        <v>178</v>
      </c>
      <c r="C3343" s="8" t="s">
        <v>12</v>
      </c>
      <c r="D3343" s="4">
        <f>3634/(60*60*24)</f>
        <v>4.2060185185185187E-2</v>
      </c>
      <c r="E3343" s="3">
        <f>11195/(60*60*24)</f>
        <v>0.12957175925925926</v>
      </c>
      <c r="F3343" s="5">
        <f>37270/(60*60*24)</f>
        <v>0.43136574074074074</v>
      </c>
      <c r="G3343" s="7" t="s">
        <v>9</v>
      </c>
    </row>
    <row r="3344" spans="1:7" x14ac:dyDescent="0.45">
      <c r="A3344" t="s">
        <v>3439</v>
      </c>
      <c r="B3344" s="2" t="s">
        <v>182</v>
      </c>
      <c r="C3344" s="8" t="s">
        <v>12</v>
      </c>
      <c r="D3344" s="4">
        <f>3729/(60*60*24)</f>
        <v>4.3159722222222224E-2</v>
      </c>
      <c r="E3344" s="3">
        <f>11421/(60*60*24)</f>
        <v>0.13218750000000001</v>
      </c>
      <c r="F3344" s="5">
        <f>37870/(60*60*24)</f>
        <v>0.43831018518518516</v>
      </c>
      <c r="G3344" s="7" t="s">
        <v>9</v>
      </c>
    </row>
    <row r="3345" spans="1:7" x14ac:dyDescent="0.45">
      <c r="A3345" t="s">
        <v>3440</v>
      </c>
      <c r="B3345" s="2" t="s">
        <v>184</v>
      </c>
      <c r="C3345" s="8" t="s">
        <v>12</v>
      </c>
      <c r="D3345" s="4">
        <f>3821/(60*60*24)</f>
        <v>4.4224537037037034E-2</v>
      </c>
      <c r="E3345" s="3">
        <f>11277/(60*60*24)</f>
        <v>0.13052083333333334</v>
      </c>
      <c r="F3345" s="5">
        <f>38774/(60*60*24)</f>
        <v>0.44877314814814817</v>
      </c>
      <c r="G3345" s="7" t="s">
        <v>9</v>
      </c>
    </row>
    <row r="3346" spans="1:7" x14ac:dyDescent="0.45">
      <c r="A3346" t="s">
        <v>3441</v>
      </c>
      <c r="B3346" s="2" t="s">
        <v>8</v>
      </c>
      <c r="C3346" s="8" t="s">
        <v>12</v>
      </c>
      <c r="D3346" s="4">
        <f>3149/(60*60*24)</f>
        <v>3.6446759259259262E-2</v>
      </c>
      <c r="E3346" s="3">
        <f>10953/(60*60*24)</f>
        <v>0.12677083333333333</v>
      </c>
      <c r="F3346" s="5">
        <f>36244/(60*60*24)</f>
        <v>0.41949074074074072</v>
      </c>
      <c r="G3346" s="7" t="s">
        <v>9</v>
      </c>
    </row>
    <row r="3347" spans="1:7" x14ac:dyDescent="0.45">
      <c r="A3347" t="s">
        <v>3442</v>
      </c>
      <c r="B3347" s="2" t="s">
        <v>11</v>
      </c>
      <c r="C3347" s="8" t="s">
        <v>12</v>
      </c>
      <c r="D3347" s="4">
        <f>2953/(60*60*24)</f>
        <v>3.4178240740740738E-2</v>
      </c>
      <c r="E3347" s="3">
        <f>10257/(60*60*24)</f>
        <v>0.11871527777777778</v>
      </c>
      <c r="F3347" s="5">
        <f>35336/(60*60*24)</f>
        <v>0.4089814814814815</v>
      </c>
      <c r="G3347" s="7" t="s">
        <v>9</v>
      </c>
    </row>
    <row r="3348" spans="1:7" x14ac:dyDescent="0.45">
      <c r="A3348" t="s">
        <v>3443</v>
      </c>
      <c r="B3348" s="2" t="s">
        <v>16</v>
      </c>
      <c r="C3348" s="3">
        <f>7220/(60*60*24)</f>
        <v>8.3564814814814814E-2</v>
      </c>
      <c r="D3348" s="4">
        <f>2973/(60*60*24)</f>
        <v>3.4409722222222223E-2</v>
      </c>
      <c r="E3348" s="5">
        <f>9871/(60*60*24)</f>
        <v>0.11424768518518519</v>
      </c>
      <c r="F3348" s="6">
        <f>33984/(60*60*24)</f>
        <v>0.39333333333333331</v>
      </c>
      <c r="G3348" s="7" t="s">
        <v>9</v>
      </c>
    </row>
    <row r="3349" spans="1:7" x14ac:dyDescent="0.45">
      <c r="A3349" t="s">
        <v>3444</v>
      </c>
      <c r="B3349" s="2" t="s">
        <v>14</v>
      </c>
      <c r="C3349" s="8" t="s">
        <v>12</v>
      </c>
      <c r="D3349" s="4">
        <f>2663/(60*60*24)</f>
        <v>3.0821759259259261E-2</v>
      </c>
      <c r="E3349" s="3">
        <f>10005/(60*60*24)</f>
        <v>0.11579861111111112</v>
      </c>
      <c r="F3349" s="5">
        <f>34732/(60*60*24)</f>
        <v>0.40199074074074076</v>
      </c>
      <c r="G3349" s="7" t="s">
        <v>9</v>
      </c>
    </row>
    <row r="3350" spans="1:7" x14ac:dyDescent="0.45">
      <c r="A3350" t="s">
        <v>3445</v>
      </c>
      <c r="B3350" s="2" t="s">
        <v>18</v>
      </c>
      <c r="C3350" s="3">
        <f>7106/(60*60*24)</f>
        <v>8.2245370370370371E-2</v>
      </c>
      <c r="D3350" s="4">
        <f>2815/(60*60*24)</f>
        <v>3.2581018518518516E-2</v>
      </c>
      <c r="E3350" s="5">
        <f>10111/(60*60*24)</f>
        <v>0.11702546296296296</v>
      </c>
      <c r="F3350" s="6">
        <f>33941/(60*60*24)</f>
        <v>0.39283564814814814</v>
      </c>
      <c r="G3350" s="7" t="s">
        <v>9</v>
      </c>
    </row>
    <row r="3351" spans="1:7" x14ac:dyDescent="0.45">
      <c r="A3351" t="s">
        <v>3446</v>
      </c>
      <c r="B3351" s="2" t="s">
        <v>20</v>
      </c>
      <c r="C3351" s="8" t="s">
        <v>12</v>
      </c>
      <c r="D3351" s="4">
        <f>2529/(60*60*24)</f>
        <v>2.9270833333333333E-2</v>
      </c>
      <c r="E3351" s="3">
        <f>9727/(60*60*24)</f>
        <v>0.11258101851851852</v>
      </c>
      <c r="F3351" s="5">
        <f>32758/(60*60*24)</f>
        <v>0.37914351851851852</v>
      </c>
      <c r="G3351" s="7" t="s">
        <v>9</v>
      </c>
    </row>
    <row r="3352" spans="1:7" x14ac:dyDescent="0.45">
      <c r="A3352" t="s">
        <v>3447</v>
      </c>
      <c r="B3352" s="2" t="s">
        <v>24</v>
      </c>
      <c r="C3352" s="3">
        <f>6091/(60*60*24)</f>
        <v>7.0497685185185191E-2</v>
      </c>
      <c r="D3352" s="4">
        <f>2640/(60*60*24)</f>
        <v>3.0555555555555555E-2</v>
      </c>
      <c r="E3352" s="5">
        <f>9319/(60*60*24)</f>
        <v>0.1078587962962963</v>
      </c>
      <c r="F3352" s="6">
        <f>31428/(60*60*24)</f>
        <v>0.36375000000000002</v>
      </c>
      <c r="G3352" s="7" t="s">
        <v>9</v>
      </c>
    </row>
    <row r="3353" spans="1:7" x14ac:dyDescent="0.45">
      <c r="A3353" t="s">
        <v>3448</v>
      </c>
      <c r="B3353" s="2" t="s">
        <v>22</v>
      </c>
      <c r="C3353" s="8" t="s">
        <v>12</v>
      </c>
      <c r="D3353" s="4">
        <f>2490/(60*60*24)</f>
        <v>2.8819444444444446E-2</v>
      </c>
      <c r="E3353" s="3">
        <f>9670/(60*60*24)</f>
        <v>0.1119212962962963</v>
      </c>
      <c r="F3353" s="5">
        <f>32650/(60*60*24)</f>
        <v>0.37789351851851855</v>
      </c>
      <c r="G3353" s="7" t="s">
        <v>9</v>
      </c>
    </row>
    <row r="3354" spans="1:7" x14ac:dyDescent="0.45">
      <c r="A3354" t="s">
        <v>3449</v>
      </c>
      <c r="B3354" s="2" t="s">
        <v>26</v>
      </c>
      <c r="C3354" s="3">
        <f>5786/(60*60*24)</f>
        <v>6.6967592592592592E-2</v>
      </c>
      <c r="D3354" s="4">
        <f>2800/(60*60*24)</f>
        <v>3.2407407407407406E-2</v>
      </c>
      <c r="E3354" s="5">
        <f>9157/(60*60*24)</f>
        <v>0.1059837962962963</v>
      </c>
      <c r="F3354" s="6">
        <f>30465/(60*60*24)</f>
        <v>0.35260416666666666</v>
      </c>
      <c r="G3354" s="7" t="s">
        <v>9</v>
      </c>
    </row>
    <row r="3355" spans="1:7" x14ac:dyDescent="0.45">
      <c r="A3355" t="s">
        <v>3450</v>
      </c>
      <c r="B3355" s="2" t="s">
        <v>28</v>
      </c>
      <c r="C3355" s="3">
        <f>4440/(60*60*24)</f>
        <v>5.1388888888888887E-2</v>
      </c>
      <c r="D3355" s="4">
        <f>2629/(60*60*24)</f>
        <v>3.0428240740740742E-2</v>
      </c>
      <c r="E3355" s="5">
        <f>8860/(60*60*24)</f>
        <v>0.1025462962962963</v>
      </c>
      <c r="F3355" s="6">
        <f>29923/(60*60*24)</f>
        <v>0.3463310185185185</v>
      </c>
      <c r="G3355" s="7" t="s">
        <v>9</v>
      </c>
    </row>
    <row r="3356" spans="1:7" x14ac:dyDescent="0.45">
      <c r="A3356" t="s">
        <v>3451</v>
      </c>
      <c r="B3356" s="2" t="s">
        <v>30</v>
      </c>
      <c r="C3356" s="3">
        <f>4696/(60*60*24)</f>
        <v>5.4351851851851853E-2</v>
      </c>
      <c r="D3356" s="4">
        <f>2702/(60*60*24)</f>
        <v>3.1273148148148147E-2</v>
      </c>
      <c r="E3356" s="5">
        <f>8738/(60*60*24)</f>
        <v>0.10113425925925926</v>
      </c>
      <c r="F3356" s="6">
        <f>29382/(60*60*24)</f>
        <v>0.34006944444444442</v>
      </c>
      <c r="G3356" s="7" t="s">
        <v>9</v>
      </c>
    </row>
    <row r="3357" spans="1:7" x14ac:dyDescent="0.45">
      <c r="A3357" t="s">
        <v>3452</v>
      </c>
      <c r="B3357" s="2" t="s">
        <v>32</v>
      </c>
      <c r="C3357" s="3">
        <f>5427/(60*60*24)</f>
        <v>6.2812499999999993E-2</v>
      </c>
      <c r="D3357" s="4">
        <f>2805/(60*60*24)</f>
        <v>3.246527777777778E-2</v>
      </c>
      <c r="E3357" s="5">
        <f>8462/(60*60*24)</f>
        <v>9.7939814814814813E-2</v>
      </c>
      <c r="F3357" s="6">
        <f>28728/(60*60*24)</f>
        <v>0.33250000000000002</v>
      </c>
      <c r="G3357" s="7" t="s">
        <v>9</v>
      </c>
    </row>
    <row r="3358" spans="1:7" x14ac:dyDescent="0.45">
      <c r="A3358" t="s">
        <v>3453</v>
      </c>
      <c r="B3358" s="2" t="s">
        <v>36</v>
      </c>
      <c r="C3358" s="3">
        <f>5916/(60*60*24)</f>
        <v>6.8472222222222226E-2</v>
      </c>
      <c r="D3358" s="4">
        <f>2922/(60*60*24)</f>
        <v>3.3819444444444444E-2</v>
      </c>
      <c r="E3358" s="5">
        <f>8347/(60*60*24)</f>
        <v>9.660879629629629E-2</v>
      </c>
      <c r="F3358" s="6">
        <f>28454/(60*60*24)</f>
        <v>0.32932870370370371</v>
      </c>
      <c r="G3358" s="7" t="s">
        <v>9</v>
      </c>
    </row>
    <row r="3359" spans="1:7" x14ac:dyDescent="0.45">
      <c r="A3359" t="s">
        <v>3454</v>
      </c>
      <c r="B3359" s="2" t="s">
        <v>34</v>
      </c>
      <c r="C3359" s="3">
        <f>6202/(60*60*24)</f>
        <v>7.1782407407407406E-2</v>
      </c>
      <c r="D3359" s="4">
        <f>3009/(60*60*24)</f>
        <v>3.4826388888888886E-2</v>
      </c>
      <c r="E3359" s="5">
        <f>8411/(60*60*24)</f>
        <v>9.734953703703704E-2</v>
      </c>
      <c r="F3359" s="6">
        <f>28156/(60*60*24)</f>
        <v>0.32587962962962963</v>
      </c>
      <c r="G3359" s="7" t="s">
        <v>9</v>
      </c>
    </row>
    <row r="3360" spans="1:7" x14ac:dyDescent="0.45">
      <c r="A3360" t="s">
        <v>3455</v>
      </c>
      <c r="B3360" s="2" t="s">
        <v>40</v>
      </c>
      <c r="C3360" s="3">
        <f>6631/(60*60*24)</f>
        <v>7.6747685185185183E-2</v>
      </c>
      <c r="D3360" s="4">
        <f>2911/(60*60*24)</f>
        <v>3.3692129629629627E-2</v>
      </c>
      <c r="E3360" s="5">
        <f>8089/(60*60*24)</f>
        <v>9.3622685185185184E-2</v>
      </c>
      <c r="F3360" s="6">
        <f>26917/(60*60*24)</f>
        <v>0.31153935185185183</v>
      </c>
      <c r="G3360" s="7" t="s">
        <v>9</v>
      </c>
    </row>
    <row r="3361" spans="1:7" x14ac:dyDescent="0.45">
      <c r="A3361" t="s">
        <v>3456</v>
      </c>
      <c r="B3361" s="2" t="s">
        <v>38</v>
      </c>
      <c r="C3361" s="8" t="s">
        <v>12</v>
      </c>
      <c r="D3361" s="4">
        <f>2976/(60*60*24)</f>
        <v>3.4444444444444444E-2</v>
      </c>
      <c r="E3361" s="3">
        <f>8288/(60*60*24)</f>
        <v>9.5925925925925928E-2</v>
      </c>
      <c r="F3361" s="5">
        <f>27849/(60*60*24)</f>
        <v>0.32232638888888887</v>
      </c>
      <c r="G3361" s="7" t="s">
        <v>9</v>
      </c>
    </row>
    <row r="3362" spans="1:7" x14ac:dyDescent="0.45">
      <c r="A3362" t="s">
        <v>3457</v>
      </c>
      <c r="B3362" s="2" t="s">
        <v>44</v>
      </c>
      <c r="C3362" s="3">
        <f>5852/(60*60*24)</f>
        <v>6.7731481481481476E-2</v>
      </c>
      <c r="D3362" s="4">
        <f>2781/(60*60*24)</f>
        <v>3.2187500000000001E-2</v>
      </c>
      <c r="E3362" s="5">
        <f>7915/(60*60*24)</f>
        <v>9.1608796296296299E-2</v>
      </c>
      <c r="F3362" s="6">
        <f>26492/(60*60*24)</f>
        <v>0.30662037037037038</v>
      </c>
      <c r="G3362" s="7" t="s">
        <v>9</v>
      </c>
    </row>
    <row r="3363" spans="1:7" x14ac:dyDescent="0.45">
      <c r="A3363" t="s">
        <v>3458</v>
      </c>
      <c r="B3363" s="2" t="s">
        <v>42</v>
      </c>
      <c r="C3363" s="8" t="s">
        <v>12</v>
      </c>
      <c r="D3363" s="4">
        <f>2758/(60*60*24)</f>
        <v>3.1921296296296295E-2</v>
      </c>
      <c r="E3363" s="3">
        <f>7779/(60*60*24)</f>
        <v>9.0034722222222224E-2</v>
      </c>
      <c r="F3363" s="5">
        <f>25553/(60*60*24)</f>
        <v>0.29575231481481479</v>
      </c>
      <c r="G3363" s="7" t="s">
        <v>9</v>
      </c>
    </row>
    <row r="3364" spans="1:7" x14ac:dyDescent="0.45">
      <c r="A3364" t="s">
        <v>3459</v>
      </c>
      <c r="B3364" s="2" t="s">
        <v>48</v>
      </c>
      <c r="C3364" s="3">
        <f>5349/(60*60*24)</f>
        <v>6.190972222222222E-2</v>
      </c>
      <c r="D3364" s="4">
        <f>2979/(60*60*24)</f>
        <v>3.4479166666666665E-2</v>
      </c>
      <c r="E3364" s="5">
        <f>7325/(60*60*24)</f>
        <v>8.4780092592592587E-2</v>
      </c>
      <c r="F3364" s="6">
        <f>24505/(60*60*24)</f>
        <v>0.28362268518518519</v>
      </c>
      <c r="G3364" s="7" t="s">
        <v>9</v>
      </c>
    </row>
    <row r="3365" spans="1:7" x14ac:dyDescent="0.45">
      <c r="A3365" t="s">
        <v>3460</v>
      </c>
      <c r="B3365" s="2" t="s">
        <v>46</v>
      </c>
      <c r="C3365" s="8" t="s">
        <v>12</v>
      </c>
      <c r="D3365" s="4">
        <f>2951/(60*60*24)</f>
        <v>3.4155092592592591E-2</v>
      </c>
      <c r="E3365" s="3">
        <f>7550/(60*60*24)</f>
        <v>8.7384259259259259E-2</v>
      </c>
      <c r="F3365" s="5">
        <f>24971/(60*60*24)</f>
        <v>0.28901620370370368</v>
      </c>
      <c r="G3365" s="7" t="s">
        <v>9</v>
      </c>
    </row>
    <row r="3366" spans="1:7" x14ac:dyDescent="0.45">
      <c r="A3366" t="s">
        <v>3461</v>
      </c>
      <c r="B3366" s="2" t="s">
        <v>50</v>
      </c>
      <c r="C3366" s="3">
        <f>5392/(60*60*24)</f>
        <v>6.2407407407407404E-2</v>
      </c>
      <c r="D3366" s="4">
        <f>2747/(60*60*24)</f>
        <v>3.1793981481481479E-2</v>
      </c>
      <c r="E3366" s="5">
        <f>7224/(60*60*24)</f>
        <v>8.3611111111111108E-2</v>
      </c>
      <c r="F3366" s="6">
        <f>23810/(60*60*24)</f>
        <v>0.27557870370370369</v>
      </c>
      <c r="G3366" s="7" t="s">
        <v>9</v>
      </c>
    </row>
    <row r="3367" spans="1:7" x14ac:dyDescent="0.45">
      <c r="A3367" t="s">
        <v>3462</v>
      </c>
      <c r="B3367" s="2" t="s">
        <v>52</v>
      </c>
      <c r="C3367" s="8" t="s">
        <v>12</v>
      </c>
      <c r="D3367" s="4">
        <f>2694/(60*60*24)</f>
        <v>3.1180555555555555E-2</v>
      </c>
      <c r="E3367" s="3">
        <f>7705/(60*60*24)</f>
        <v>8.9178240740740738E-2</v>
      </c>
      <c r="F3367" s="5">
        <f>23917/(60*60*24)</f>
        <v>0.27681712962962962</v>
      </c>
      <c r="G3367" s="7" t="s">
        <v>9</v>
      </c>
    </row>
    <row r="3368" spans="1:7" x14ac:dyDescent="0.45">
      <c r="A3368" t="s">
        <v>3463</v>
      </c>
      <c r="B3368" s="2" t="s">
        <v>56</v>
      </c>
      <c r="C3368" s="3">
        <f>6343/(60*60*24)</f>
        <v>7.3414351851851856E-2</v>
      </c>
      <c r="D3368" s="4">
        <f>2342/(60*60*24)</f>
        <v>2.7106481481481481E-2</v>
      </c>
      <c r="E3368" s="5">
        <f>7213/(60*60*24)</f>
        <v>8.3483796296296292E-2</v>
      </c>
      <c r="F3368" s="6">
        <f>22284/(60*60*24)</f>
        <v>0.25791666666666668</v>
      </c>
      <c r="G3368" s="7" t="s">
        <v>9</v>
      </c>
    </row>
    <row r="3369" spans="1:7" x14ac:dyDescent="0.45">
      <c r="A3369" t="s">
        <v>3464</v>
      </c>
      <c r="B3369" s="2" t="s">
        <v>54</v>
      </c>
      <c r="C3369" s="8" t="s">
        <v>12</v>
      </c>
      <c r="D3369" s="4">
        <f>2586/(60*60*24)</f>
        <v>2.9930555555555554E-2</v>
      </c>
      <c r="E3369" s="3">
        <f>7388/(60*60*24)</f>
        <v>8.5509259259259257E-2</v>
      </c>
      <c r="F3369" s="5">
        <f>22464/(60*60*24)</f>
        <v>0.26</v>
      </c>
      <c r="G3369" s="7" t="s">
        <v>9</v>
      </c>
    </row>
    <row r="3370" spans="1:7" x14ac:dyDescent="0.45">
      <c r="A3370" t="s">
        <v>3465</v>
      </c>
      <c r="B3370" s="2" t="s">
        <v>58</v>
      </c>
      <c r="C3370" s="3">
        <f>5570/(60*60*24)</f>
        <v>6.446759259259259E-2</v>
      </c>
      <c r="D3370" s="4">
        <f>2216/(60*60*24)</f>
        <v>2.5648148148148149E-2</v>
      </c>
      <c r="E3370" s="5">
        <f>6781/(60*60*24)</f>
        <v>7.8483796296296301E-2</v>
      </c>
      <c r="F3370" s="6">
        <f>21926/(60*60*24)</f>
        <v>0.25377314814814816</v>
      </c>
      <c r="G3370" s="7" t="s">
        <v>9</v>
      </c>
    </row>
    <row r="3371" spans="1:7" x14ac:dyDescent="0.45">
      <c r="A3371" t="s">
        <v>3466</v>
      </c>
      <c r="B3371" s="2" t="s">
        <v>60</v>
      </c>
      <c r="C3371" s="8" t="s">
        <v>12</v>
      </c>
      <c r="D3371" s="4">
        <f>2328/(60*60*24)</f>
        <v>2.6944444444444444E-2</v>
      </c>
      <c r="E3371" s="3">
        <f>6778/(60*60*24)</f>
        <v>7.8449074074074074E-2</v>
      </c>
      <c r="F3371" s="5">
        <f>23383/(60*60*24)</f>
        <v>0.2706365740740741</v>
      </c>
      <c r="G3371" s="7" t="s">
        <v>9</v>
      </c>
    </row>
    <row r="3372" spans="1:7" x14ac:dyDescent="0.45">
      <c r="A3372" t="s">
        <v>3467</v>
      </c>
      <c r="B3372" s="2" t="s">
        <v>62</v>
      </c>
      <c r="C3372" s="8" t="s">
        <v>12</v>
      </c>
      <c r="D3372" s="4">
        <f>2945/(60*60*24)</f>
        <v>3.408564814814815E-2</v>
      </c>
      <c r="E3372" s="3">
        <f>6432/(60*60*24)</f>
        <v>7.4444444444444438E-2</v>
      </c>
      <c r="F3372" s="5">
        <f>21088/(60*60*24)</f>
        <v>0.24407407407407408</v>
      </c>
      <c r="G3372" s="7" t="s">
        <v>9</v>
      </c>
    </row>
    <row r="3373" spans="1:7" x14ac:dyDescent="0.45">
      <c r="A3373" t="s">
        <v>3468</v>
      </c>
      <c r="B3373" s="2" t="s">
        <v>64</v>
      </c>
      <c r="C3373" s="8" t="s">
        <v>12</v>
      </c>
      <c r="D3373" s="4">
        <f>2006/(60*60*24)</f>
        <v>2.3217592592592592E-2</v>
      </c>
      <c r="E3373" s="3">
        <f>6271/(60*60*24)</f>
        <v>7.2581018518518517E-2</v>
      </c>
      <c r="F3373" s="5">
        <f>20635/(60*60*24)</f>
        <v>0.23883101851851851</v>
      </c>
      <c r="G3373" s="7" t="s">
        <v>9</v>
      </c>
    </row>
    <row r="3374" spans="1:7" x14ac:dyDescent="0.45">
      <c r="A3374" t="s">
        <v>3469</v>
      </c>
      <c r="B3374" s="2" t="s">
        <v>66</v>
      </c>
      <c r="C3374" s="8" t="s">
        <v>12</v>
      </c>
      <c r="D3374" s="4">
        <f>1920/(60*60*24)</f>
        <v>2.2222222222222223E-2</v>
      </c>
      <c r="E3374" s="3">
        <f>5907/(60*60*24)</f>
        <v>6.8368055555555557E-2</v>
      </c>
      <c r="F3374" s="5">
        <f>20103/(60*60*24)</f>
        <v>0.23267361111111112</v>
      </c>
      <c r="G3374" s="7" t="s">
        <v>9</v>
      </c>
    </row>
    <row r="3375" spans="1:7" x14ac:dyDescent="0.45">
      <c r="A3375" t="s">
        <v>3470</v>
      </c>
      <c r="B3375" s="2" t="s">
        <v>68</v>
      </c>
      <c r="C3375" s="8" t="s">
        <v>12</v>
      </c>
      <c r="D3375" s="4">
        <f>1856/(60*60*24)</f>
        <v>2.148148148148148E-2</v>
      </c>
      <c r="E3375" s="3">
        <f>6173/(60*60*24)</f>
        <v>7.1446759259259265E-2</v>
      </c>
      <c r="F3375" s="5">
        <f>19790/(60*60*24)</f>
        <v>0.22905092592592594</v>
      </c>
      <c r="G3375" s="7" t="s">
        <v>9</v>
      </c>
    </row>
    <row r="3376" spans="1:7" x14ac:dyDescent="0.45">
      <c r="A3376" t="s">
        <v>3471</v>
      </c>
      <c r="B3376" s="2" t="s">
        <v>70</v>
      </c>
      <c r="C3376" s="8" t="s">
        <v>12</v>
      </c>
      <c r="D3376" s="4">
        <f>1630/(60*60*24)</f>
        <v>1.8865740740740742E-2</v>
      </c>
      <c r="E3376" s="3">
        <f>6067/(60*60*24)</f>
        <v>7.0219907407407411E-2</v>
      </c>
      <c r="F3376" s="5">
        <f>19739/(60*60*24)</f>
        <v>0.22846064814814815</v>
      </c>
      <c r="G3376" s="7" t="s">
        <v>9</v>
      </c>
    </row>
    <row r="3377" spans="1:7" x14ac:dyDescent="0.45">
      <c r="A3377" t="s">
        <v>3472</v>
      </c>
      <c r="B3377" s="2" t="s">
        <v>72</v>
      </c>
      <c r="C3377" s="8" t="s">
        <v>12</v>
      </c>
      <c r="D3377" s="4">
        <f>1753/(60*60*24)</f>
        <v>2.0289351851851854E-2</v>
      </c>
      <c r="E3377" s="3">
        <f>6032/(60*60*24)</f>
        <v>6.9814814814814816E-2</v>
      </c>
      <c r="F3377" s="5">
        <f>19385/(60*60*24)</f>
        <v>0.22436342592592592</v>
      </c>
      <c r="G3377" s="7" t="s">
        <v>9</v>
      </c>
    </row>
    <row r="3378" spans="1:7" x14ac:dyDescent="0.45">
      <c r="A3378" t="s">
        <v>3473</v>
      </c>
      <c r="B3378" s="2" t="s">
        <v>74</v>
      </c>
      <c r="C3378" s="8" t="s">
        <v>12</v>
      </c>
      <c r="D3378" s="4">
        <f>1813/(60*60*24)</f>
        <v>2.0983796296296296E-2</v>
      </c>
      <c r="E3378" s="3">
        <f>6084/(60*60*24)</f>
        <v>7.0416666666666669E-2</v>
      </c>
      <c r="F3378" s="5">
        <f>19608/(60*60*24)</f>
        <v>0.22694444444444445</v>
      </c>
      <c r="G3378" s="7" t="s">
        <v>9</v>
      </c>
    </row>
    <row r="3379" spans="1:7" x14ac:dyDescent="0.45">
      <c r="A3379" t="s">
        <v>3474</v>
      </c>
      <c r="B3379" s="2" t="s">
        <v>76</v>
      </c>
      <c r="C3379" s="8" t="s">
        <v>12</v>
      </c>
      <c r="D3379" s="4">
        <f>1913/(60*60*24)</f>
        <v>2.2141203703703705E-2</v>
      </c>
      <c r="E3379" s="3">
        <f>6051/(60*60*24)</f>
        <v>7.003472222222222E-2</v>
      </c>
      <c r="F3379" s="5">
        <f>19461/(60*60*24)</f>
        <v>0.22524305555555554</v>
      </c>
      <c r="G3379" s="7" t="s">
        <v>9</v>
      </c>
    </row>
    <row r="3380" spans="1:7" x14ac:dyDescent="0.45">
      <c r="A3380" t="s">
        <v>3475</v>
      </c>
      <c r="B3380" s="2" t="s">
        <v>80</v>
      </c>
      <c r="C3380" s="5">
        <f>5846/(60*60*24)</f>
        <v>6.7662037037037034E-2</v>
      </c>
      <c r="D3380" s="4">
        <f>1371/(60*60*24)</f>
        <v>1.5868055555555555E-2</v>
      </c>
      <c r="E3380" s="3">
        <f>5778/(60*60*24)</f>
        <v>6.6875000000000004E-2</v>
      </c>
      <c r="F3380" s="6">
        <f>18877/(60*60*24)</f>
        <v>0.2184837962962963</v>
      </c>
      <c r="G3380" s="7" t="s">
        <v>9</v>
      </c>
    </row>
    <row r="3381" spans="1:7" x14ac:dyDescent="0.45">
      <c r="A3381" t="s">
        <v>3476</v>
      </c>
      <c r="B3381" s="2" t="s">
        <v>78</v>
      </c>
      <c r="C3381" s="8" t="s">
        <v>12</v>
      </c>
      <c r="D3381" s="4">
        <f>1956/(60*60*24)</f>
        <v>2.2638888888888889E-2</v>
      </c>
      <c r="E3381" s="3">
        <f>5832/(60*60*24)</f>
        <v>6.7500000000000004E-2</v>
      </c>
      <c r="F3381" s="5">
        <f>18859/(60*60*24)</f>
        <v>0.21827546296296296</v>
      </c>
      <c r="G3381" s="7" t="s">
        <v>9</v>
      </c>
    </row>
    <row r="3382" spans="1:7" x14ac:dyDescent="0.45">
      <c r="A3382" t="s">
        <v>3477</v>
      </c>
      <c r="B3382" s="2" t="s">
        <v>84</v>
      </c>
      <c r="C3382" s="5">
        <f>5946/(60*60*24)</f>
        <v>6.8819444444444447E-2</v>
      </c>
      <c r="D3382" s="4">
        <f>1362/(60*60*24)</f>
        <v>1.576388888888889E-2</v>
      </c>
      <c r="E3382" s="3">
        <f>5606/(60*60*24)</f>
        <v>6.4884259259259253E-2</v>
      </c>
      <c r="F3382" s="6">
        <f>17896/(60*60*24)</f>
        <v>0.20712962962962964</v>
      </c>
      <c r="G3382" s="7" t="s">
        <v>9</v>
      </c>
    </row>
    <row r="3383" spans="1:7" x14ac:dyDescent="0.45">
      <c r="A3383" t="s">
        <v>3478</v>
      </c>
      <c r="B3383" s="2" t="s">
        <v>82</v>
      </c>
      <c r="C3383" s="5">
        <f>5587/(60*60*24)</f>
        <v>6.4664351851851848E-2</v>
      </c>
      <c r="D3383" s="4">
        <f>1431/(60*60*24)</f>
        <v>1.6562500000000001E-2</v>
      </c>
      <c r="E3383" s="3">
        <f>5405/(60*60*24)</f>
        <v>6.2557870370370375E-2</v>
      </c>
      <c r="F3383" s="6">
        <f>17216/(60*60*24)</f>
        <v>0.19925925925925925</v>
      </c>
      <c r="G3383" s="7" t="s">
        <v>9</v>
      </c>
    </row>
    <row r="3384" spans="1:7" x14ac:dyDescent="0.45">
      <c r="A3384" t="s">
        <v>3479</v>
      </c>
      <c r="B3384" s="2" t="s">
        <v>88</v>
      </c>
      <c r="C3384" s="8" t="s">
        <v>12</v>
      </c>
      <c r="D3384" s="4">
        <f>1409/(60*60*24)</f>
        <v>1.6307870370370372E-2</v>
      </c>
      <c r="E3384" s="3">
        <f>5499/(60*60*24)</f>
        <v>6.3645833333333332E-2</v>
      </c>
      <c r="F3384" s="5">
        <f>17307/(60*60*24)</f>
        <v>0.2003125</v>
      </c>
      <c r="G3384" s="7" t="s">
        <v>9</v>
      </c>
    </row>
    <row r="3385" spans="1:7" x14ac:dyDescent="0.45">
      <c r="A3385" t="s">
        <v>3480</v>
      </c>
      <c r="B3385" s="2" t="s">
        <v>86</v>
      </c>
      <c r="C3385" s="8" t="s">
        <v>12</v>
      </c>
      <c r="D3385" s="4">
        <f>1447/(60*60*24)</f>
        <v>1.6747685185185185E-2</v>
      </c>
      <c r="E3385" s="3">
        <f>5331/(60*60*24)</f>
        <v>6.1701388888888889E-2</v>
      </c>
      <c r="F3385" s="5">
        <f>16662/(60*60*24)</f>
        <v>0.19284722222222223</v>
      </c>
      <c r="G3385" s="7" t="s">
        <v>9</v>
      </c>
    </row>
    <row r="3386" spans="1:7" x14ac:dyDescent="0.45">
      <c r="A3386" t="s">
        <v>3481</v>
      </c>
      <c r="B3386" s="2" t="s">
        <v>92</v>
      </c>
      <c r="C3386" s="5">
        <f>7464/(60*60*24)</f>
        <v>8.638888888888889E-2</v>
      </c>
      <c r="D3386" s="4">
        <f>1338/(60*60*24)</f>
        <v>1.5486111111111112E-2</v>
      </c>
      <c r="E3386" s="3">
        <f>5428/(60*60*24)</f>
        <v>6.2824074074074074E-2</v>
      </c>
      <c r="F3386" s="6">
        <f>16431/(60*60*24)</f>
        <v>0.19017361111111111</v>
      </c>
      <c r="G3386" s="7" t="s">
        <v>9</v>
      </c>
    </row>
    <row r="3387" spans="1:7" x14ac:dyDescent="0.45">
      <c r="A3387" t="s">
        <v>3482</v>
      </c>
      <c r="B3387" s="2" t="s">
        <v>90</v>
      </c>
      <c r="C3387" s="8" t="s">
        <v>12</v>
      </c>
      <c r="D3387" s="4">
        <f>1475/(60*60*24)</f>
        <v>1.7071759259259259E-2</v>
      </c>
      <c r="E3387" s="3">
        <f>5469/(60*60*24)</f>
        <v>6.3298611111111111E-2</v>
      </c>
      <c r="F3387" s="5">
        <f>16879/(60*60*24)</f>
        <v>0.19535879629629629</v>
      </c>
      <c r="G3387" s="7" t="s">
        <v>9</v>
      </c>
    </row>
    <row r="3388" spans="1:7" x14ac:dyDescent="0.45">
      <c r="A3388" t="s">
        <v>3483</v>
      </c>
      <c r="B3388" s="2" t="s">
        <v>94</v>
      </c>
      <c r="C3388" s="8" t="s">
        <v>12</v>
      </c>
      <c r="D3388" s="4">
        <f>1529/(60*60*24)</f>
        <v>1.7696759259259259E-2</v>
      </c>
      <c r="E3388" s="3">
        <f>5751/(60*60*24)</f>
        <v>6.6562499999999997E-2</v>
      </c>
      <c r="F3388" s="5">
        <f>16486/(60*60*24)</f>
        <v>0.19081018518518519</v>
      </c>
      <c r="G3388" s="7" t="s">
        <v>9</v>
      </c>
    </row>
    <row r="3389" spans="1:7" x14ac:dyDescent="0.45">
      <c r="A3389" t="s">
        <v>3484</v>
      </c>
      <c r="B3389" s="2" t="s">
        <v>96</v>
      </c>
      <c r="C3389" s="8" t="s">
        <v>12</v>
      </c>
      <c r="D3389" s="4">
        <f>1419/(60*60*24)</f>
        <v>1.6423611111111111E-2</v>
      </c>
      <c r="E3389" s="3">
        <f>5526/(60*60*24)</f>
        <v>6.3958333333333339E-2</v>
      </c>
      <c r="F3389" s="5">
        <f>16842/(60*60*24)</f>
        <v>0.19493055555555555</v>
      </c>
      <c r="G3389" s="7" t="s">
        <v>9</v>
      </c>
    </row>
    <row r="3390" spans="1:7" x14ac:dyDescent="0.45">
      <c r="A3390" t="s">
        <v>3485</v>
      </c>
      <c r="B3390" s="2" t="s">
        <v>98</v>
      </c>
      <c r="C3390" s="8" t="s">
        <v>12</v>
      </c>
      <c r="D3390" s="4">
        <f>1496/(60*60*24)</f>
        <v>1.7314814814814814E-2</v>
      </c>
      <c r="E3390" s="3">
        <f>5804/(60*60*24)</f>
        <v>6.7175925925925931E-2</v>
      </c>
      <c r="F3390" s="5">
        <f>16717/(60*60*24)</f>
        <v>0.19348379629629631</v>
      </c>
      <c r="G3390" s="7" t="s">
        <v>9</v>
      </c>
    </row>
    <row r="3391" spans="1:7" x14ac:dyDescent="0.45">
      <c r="A3391" t="s">
        <v>3486</v>
      </c>
      <c r="B3391" s="2" t="s">
        <v>100</v>
      </c>
      <c r="C3391" s="8" t="s">
        <v>12</v>
      </c>
      <c r="D3391" s="4">
        <f>1612/(60*60*24)</f>
        <v>1.8657407407407407E-2</v>
      </c>
      <c r="E3391" s="3">
        <f>5880/(60*60*24)</f>
        <v>6.805555555555555E-2</v>
      </c>
      <c r="F3391" s="5">
        <f>16470/(60*60*24)</f>
        <v>0.19062499999999999</v>
      </c>
      <c r="G3391" s="7" t="s">
        <v>9</v>
      </c>
    </row>
    <row r="3392" spans="1:7" x14ac:dyDescent="0.45">
      <c r="A3392" t="s">
        <v>3487</v>
      </c>
      <c r="B3392" s="2" t="s">
        <v>104</v>
      </c>
      <c r="C3392" s="8" t="s">
        <v>12</v>
      </c>
      <c r="D3392" s="4">
        <f>1978/(60*60*24)</f>
        <v>2.2893518518518518E-2</v>
      </c>
      <c r="E3392" s="3">
        <f>4533/(60*60*24)</f>
        <v>5.2465277777777777E-2</v>
      </c>
      <c r="F3392" s="5">
        <f>16511/(60*60*24)</f>
        <v>0.19109953703703703</v>
      </c>
      <c r="G3392" s="7" t="s">
        <v>9</v>
      </c>
    </row>
    <row r="3393" spans="1:7" x14ac:dyDescent="0.45">
      <c r="A3393" t="s">
        <v>3488</v>
      </c>
      <c r="B3393" s="2" t="s">
        <v>102</v>
      </c>
      <c r="C3393" s="8" t="s">
        <v>12</v>
      </c>
      <c r="D3393" s="4">
        <f>2048/(60*60*24)</f>
        <v>2.3703703703703703E-2</v>
      </c>
      <c r="E3393" s="3">
        <f>4960/(60*60*24)</f>
        <v>5.7407407407407407E-2</v>
      </c>
      <c r="F3393" s="5">
        <f>16336/(60*60*24)</f>
        <v>0.18907407407407406</v>
      </c>
      <c r="G3393" s="7" t="s">
        <v>9</v>
      </c>
    </row>
    <row r="3394" spans="1:7" x14ac:dyDescent="0.45">
      <c r="A3394" t="s">
        <v>3489</v>
      </c>
      <c r="B3394" s="2" t="s">
        <v>106</v>
      </c>
      <c r="C3394" s="8" t="s">
        <v>12</v>
      </c>
      <c r="D3394" s="4">
        <f>1852/(60*60*24)</f>
        <v>2.1435185185185186E-2</v>
      </c>
      <c r="E3394" s="3">
        <f>4820/(60*60*24)</f>
        <v>5.5787037037037038E-2</v>
      </c>
      <c r="F3394" s="5">
        <f>16221/(60*60*24)</f>
        <v>0.18774305555555557</v>
      </c>
      <c r="G3394" s="7" t="s">
        <v>9</v>
      </c>
    </row>
    <row r="3395" spans="1:7" x14ac:dyDescent="0.45">
      <c r="A3395" t="s">
        <v>3490</v>
      </c>
      <c r="B3395" s="2" t="s">
        <v>108</v>
      </c>
      <c r="C3395" s="8" t="s">
        <v>12</v>
      </c>
      <c r="D3395" s="4">
        <f>1956/(60*60*24)</f>
        <v>2.2638888888888889E-2</v>
      </c>
      <c r="E3395" s="3">
        <f>4767/(60*60*24)</f>
        <v>5.5173611111111111E-2</v>
      </c>
      <c r="F3395" s="5">
        <f>16225/(60*60*24)</f>
        <v>0.18778935185185186</v>
      </c>
      <c r="G3395" s="7" t="s">
        <v>9</v>
      </c>
    </row>
    <row r="3396" spans="1:7" x14ac:dyDescent="0.45">
      <c r="A3396" t="s">
        <v>3491</v>
      </c>
      <c r="B3396" s="2" t="s">
        <v>112</v>
      </c>
      <c r="C3396" s="5">
        <f>6168/(60*60*24)</f>
        <v>7.1388888888888891E-2</v>
      </c>
      <c r="D3396" s="4">
        <f>1900/(60*60*24)</f>
        <v>2.1990740740740741E-2</v>
      </c>
      <c r="E3396" s="3">
        <f>4912/(60*60*24)</f>
        <v>5.6851851851851855E-2</v>
      </c>
      <c r="F3396" s="6">
        <f>17071/(60*60*24)</f>
        <v>0.19758101851851853</v>
      </c>
      <c r="G3396" s="7" t="s">
        <v>9</v>
      </c>
    </row>
    <row r="3397" spans="1:7" x14ac:dyDescent="0.45">
      <c r="A3397" t="s">
        <v>3492</v>
      </c>
      <c r="B3397" s="2" t="s">
        <v>110</v>
      </c>
      <c r="C3397" s="8" t="s">
        <v>12</v>
      </c>
      <c r="D3397" s="4">
        <f>2092/(60*60*24)</f>
        <v>2.4212962962962964E-2</v>
      </c>
      <c r="E3397" s="3">
        <f>4791/(60*60*24)</f>
        <v>5.545138888888889E-2</v>
      </c>
      <c r="F3397" s="5">
        <f>16858/(60*60*24)</f>
        <v>0.19511574074074073</v>
      </c>
      <c r="G3397" s="7" t="s">
        <v>9</v>
      </c>
    </row>
    <row r="3398" spans="1:7" x14ac:dyDescent="0.45">
      <c r="A3398" t="s">
        <v>3493</v>
      </c>
      <c r="B3398" s="2" t="s">
        <v>114</v>
      </c>
      <c r="C3398" s="5">
        <f>6102/(60*60*24)</f>
        <v>7.0624999999999993E-2</v>
      </c>
      <c r="D3398" s="4">
        <f>1979/(60*60*24)</f>
        <v>2.2905092592592591E-2</v>
      </c>
      <c r="E3398" s="3">
        <f>4990/(60*60*24)</f>
        <v>5.7754629629629628E-2</v>
      </c>
      <c r="F3398" s="6">
        <f>17428/(60*60*24)</f>
        <v>0.20171296296296296</v>
      </c>
      <c r="G3398" s="7" t="s">
        <v>9</v>
      </c>
    </row>
    <row r="3399" spans="1:7" x14ac:dyDescent="0.45">
      <c r="A3399" t="s">
        <v>3494</v>
      </c>
      <c r="B3399" s="2" t="s">
        <v>116</v>
      </c>
      <c r="C3399" s="5">
        <f>6403/(60*60*24)</f>
        <v>7.4108796296296298E-2</v>
      </c>
      <c r="D3399" s="4">
        <f>1948/(60*60*24)</f>
        <v>2.2546296296296297E-2</v>
      </c>
      <c r="E3399" s="3">
        <f>5176/(60*60*24)</f>
        <v>5.9907407407407409E-2</v>
      </c>
      <c r="F3399" s="6">
        <f>17176/(60*60*24)</f>
        <v>0.1987962962962963</v>
      </c>
      <c r="G3399" s="7" t="s">
        <v>9</v>
      </c>
    </row>
    <row r="3400" spans="1:7" x14ac:dyDescent="0.45">
      <c r="A3400" t="s">
        <v>3495</v>
      </c>
      <c r="B3400" s="2" t="s">
        <v>118</v>
      </c>
      <c r="C3400" s="5">
        <f>6209/(60*60*24)</f>
        <v>7.1863425925925928E-2</v>
      </c>
      <c r="D3400" s="4">
        <f>1896/(60*60*24)</f>
        <v>2.1944444444444444E-2</v>
      </c>
      <c r="E3400" s="3">
        <f>5414/(60*60*24)</f>
        <v>6.2662037037037044E-2</v>
      </c>
      <c r="F3400" s="6">
        <f>17651/(60*60*24)</f>
        <v>0.20429398148148148</v>
      </c>
      <c r="G3400" s="7" t="s">
        <v>9</v>
      </c>
    </row>
    <row r="3401" spans="1:7" x14ac:dyDescent="0.45">
      <c r="A3401" t="s">
        <v>3496</v>
      </c>
      <c r="B3401" s="2" t="s">
        <v>120</v>
      </c>
      <c r="C3401" s="8" t="s">
        <v>12</v>
      </c>
      <c r="D3401" s="4">
        <f>1944/(60*60*24)</f>
        <v>2.2499999999999999E-2</v>
      </c>
      <c r="E3401" s="3">
        <f>5424/(60*60*24)</f>
        <v>6.277777777777778E-2</v>
      </c>
      <c r="F3401" s="5">
        <f>18074/(60*60*24)</f>
        <v>0.20918981481481483</v>
      </c>
      <c r="G3401" s="7" t="s">
        <v>9</v>
      </c>
    </row>
    <row r="3402" spans="1:7" x14ac:dyDescent="0.45">
      <c r="A3402" t="s">
        <v>3497</v>
      </c>
      <c r="B3402" s="2" t="s">
        <v>124</v>
      </c>
      <c r="C3402" s="5">
        <f>5681/(60*60*24)</f>
        <v>6.5752314814814819E-2</v>
      </c>
      <c r="D3402" s="4">
        <f>2104/(60*60*24)</f>
        <v>2.435185185185185E-2</v>
      </c>
      <c r="E3402" s="3">
        <f>5524/(60*60*24)</f>
        <v>6.3935185185185192E-2</v>
      </c>
      <c r="F3402" s="6">
        <f>18362/(60*60*24)</f>
        <v>0.21252314814814816</v>
      </c>
      <c r="G3402" s="7" t="s">
        <v>9</v>
      </c>
    </row>
    <row r="3403" spans="1:7" x14ac:dyDescent="0.45">
      <c r="A3403" t="s">
        <v>3498</v>
      </c>
      <c r="B3403" s="2" t="s">
        <v>122</v>
      </c>
      <c r="C3403" s="5">
        <f>5759/(60*60*24)</f>
        <v>6.6655092592592599E-2</v>
      </c>
      <c r="D3403" s="4">
        <f>1898/(60*60*24)</f>
        <v>2.1967592592592594E-2</v>
      </c>
      <c r="E3403" s="3">
        <f>5454/(60*60*24)</f>
        <v>6.3125000000000001E-2</v>
      </c>
      <c r="F3403" s="6">
        <f>18752/(60*60*24)</f>
        <v>0.21703703703703703</v>
      </c>
      <c r="G3403" s="7" t="s">
        <v>9</v>
      </c>
    </row>
    <row r="3404" spans="1:7" x14ac:dyDescent="0.45">
      <c r="A3404" t="s">
        <v>3499</v>
      </c>
      <c r="B3404" s="2" t="s">
        <v>126</v>
      </c>
      <c r="C3404" s="8" t="s">
        <v>12</v>
      </c>
      <c r="D3404" s="4">
        <f>2056/(60*60*24)</f>
        <v>2.3796296296296298E-2</v>
      </c>
      <c r="E3404" s="3">
        <f>5648/(60*60*24)</f>
        <v>6.537037037037037E-2</v>
      </c>
      <c r="F3404" s="5">
        <f>19735/(60*60*24)</f>
        <v>0.22841435185185185</v>
      </c>
      <c r="G3404" s="7" t="s">
        <v>9</v>
      </c>
    </row>
    <row r="3405" spans="1:7" x14ac:dyDescent="0.45">
      <c r="A3405" t="s">
        <v>3500</v>
      </c>
      <c r="B3405" s="2" t="s">
        <v>128</v>
      </c>
      <c r="C3405" s="8" t="s">
        <v>12</v>
      </c>
      <c r="D3405" s="4">
        <f>2046/(60*60*24)</f>
        <v>2.3680555555555555E-2</v>
      </c>
      <c r="E3405" s="3">
        <f>5787/(60*60*24)</f>
        <v>6.6979166666666673E-2</v>
      </c>
      <c r="F3405" s="5">
        <f>20049/(60*60*24)</f>
        <v>0.23204861111111111</v>
      </c>
      <c r="G3405" s="7" t="s">
        <v>9</v>
      </c>
    </row>
    <row r="3406" spans="1:7" x14ac:dyDescent="0.45">
      <c r="A3406" t="s">
        <v>3501</v>
      </c>
      <c r="B3406" s="2" t="s">
        <v>130</v>
      </c>
      <c r="C3406" s="8" t="s">
        <v>12</v>
      </c>
      <c r="D3406" s="4">
        <f>2130/(60*60*24)</f>
        <v>2.4652777777777777E-2</v>
      </c>
      <c r="E3406" s="3">
        <f>5959/(60*60*24)</f>
        <v>6.896990740740741E-2</v>
      </c>
      <c r="F3406" s="5">
        <f>20531/(60*60*24)</f>
        <v>0.23762731481481481</v>
      </c>
      <c r="G3406" s="7" t="s">
        <v>9</v>
      </c>
    </row>
    <row r="3407" spans="1:7" x14ac:dyDescent="0.45">
      <c r="A3407" t="s">
        <v>3502</v>
      </c>
      <c r="B3407" s="2" t="s">
        <v>132</v>
      </c>
      <c r="C3407" s="8" t="s">
        <v>12</v>
      </c>
      <c r="D3407" s="4">
        <f>2427/(60*60*24)</f>
        <v>2.8090277777777777E-2</v>
      </c>
      <c r="E3407" s="3">
        <f>6266/(60*60*24)</f>
        <v>7.2523148148148142E-2</v>
      </c>
      <c r="F3407" s="5">
        <f>21160/(60*60*24)</f>
        <v>0.24490740740740741</v>
      </c>
      <c r="G3407" s="7" t="s">
        <v>9</v>
      </c>
    </row>
    <row r="3408" spans="1:7" x14ac:dyDescent="0.45">
      <c r="A3408" t="s">
        <v>3503</v>
      </c>
      <c r="B3408" s="2" t="s">
        <v>136</v>
      </c>
      <c r="C3408" s="8" t="s">
        <v>12</v>
      </c>
      <c r="D3408" s="4">
        <f>2325/(60*60*24)</f>
        <v>2.6909722222222224E-2</v>
      </c>
      <c r="E3408" s="3">
        <f>6029/(60*60*24)</f>
        <v>6.9780092592592588E-2</v>
      </c>
      <c r="F3408" s="5">
        <f>20688/(60*60*24)</f>
        <v>0.23944444444444443</v>
      </c>
      <c r="G3408" s="7" t="s">
        <v>9</v>
      </c>
    </row>
    <row r="3409" spans="1:7" x14ac:dyDescent="0.45">
      <c r="A3409" t="s">
        <v>3504</v>
      </c>
      <c r="B3409" s="2" t="s">
        <v>134</v>
      </c>
      <c r="C3409" s="8" t="s">
        <v>12</v>
      </c>
      <c r="D3409" s="4">
        <f>2335/(60*60*24)</f>
        <v>2.7025462962962963E-2</v>
      </c>
      <c r="E3409" s="3">
        <f>6139/(60*60*24)</f>
        <v>7.1053240740740736E-2</v>
      </c>
      <c r="F3409" s="5">
        <f>20901/(60*60*24)</f>
        <v>0.24190972222222223</v>
      </c>
      <c r="G3409" s="7" t="s">
        <v>9</v>
      </c>
    </row>
    <row r="3410" spans="1:7" x14ac:dyDescent="0.45">
      <c r="A3410" t="s">
        <v>3505</v>
      </c>
      <c r="B3410" s="2" t="s">
        <v>138</v>
      </c>
      <c r="C3410" s="3">
        <f>5094/(60*60*24)</f>
        <v>5.8958333333333335E-2</v>
      </c>
      <c r="D3410" s="4">
        <f>2330/(60*60*24)</f>
        <v>2.6967592592592592E-2</v>
      </c>
      <c r="E3410" s="5">
        <f>6186/(60*60*24)</f>
        <v>7.1597222222222229E-2</v>
      </c>
      <c r="F3410" s="6">
        <f>22297/(60*60*24)</f>
        <v>0.25806712962962963</v>
      </c>
      <c r="G3410" s="7" t="s">
        <v>9</v>
      </c>
    </row>
    <row r="3411" spans="1:7" x14ac:dyDescent="0.45">
      <c r="A3411" t="s">
        <v>3506</v>
      </c>
      <c r="B3411" s="2" t="s">
        <v>140</v>
      </c>
      <c r="C3411" s="3">
        <f>4389/(60*60*24)</f>
        <v>5.0798611111111114E-2</v>
      </c>
      <c r="D3411" s="4">
        <f>2514/(60*60*24)</f>
        <v>2.9097222222222222E-2</v>
      </c>
      <c r="E3411" s="5">
        <f>6481/(60*60*24)</f>
        <v>7.5011574074074078E-2</v>
      </c>
      <c r="F3411" s="6">
        <f>23244/(60*60*24)</f>
        <v>0.26902777777777775</v>
      </c>
      <c r="G3411" s="7" t="s">
        <v>9</v>
      </c>
    </row>
    <row r="3412" spans="1:7" x14ac:dyDescent="0.45">
      <c r="A3412" t="s">
        <v>3507</v>
      </c>
      <c r="B3412" s="2" t="s">
        <v>142</v>
      </c>
      <c r="C3412" s="3">
        <f>4316/(60*60*24)</f>
        <v>4.9953703703703702E-2</v>
      </c>
      <c r="D3412" s="4">
        <f>2534/(60*60*24)</f>
        <v>2.9328703703703704E-2</v>
      </c>
      <c r="E3412" s="5">
        <f>6639/(60*60*24)</f>
        <v>7.6840277777777771E-2</v>
      </c>
      <c r="F3412" s="6">
        <f>23040/(60*60*24)</f>
        <v>0.26666666666666666</v>
      </c>
      <c r="G3412" s="7" t="s">
        <v>9</v>
      </c>
    </row>
    <row r="3413" spans="1:7" x14ac:dyDescent="0.45">
      <c r="A3413" t="s">
        <v>3508</v>
      </c>
      <c r="B3413" s="2" t="s">
        <v>144</v>
      </c>
      <c r="C3413" s="3">
        <f>4379/(60*60*24)</f>
        <v>5.0682870370370371E-2</v>
      </c>
      <c r="D3413" s="4">
        <f>2644/(60*60*24)</f>
        <v>3.0601851851851852E-2</v>
      </c>
      <c r="E3413" s="5">
        <f>7242/(60*60*24)</f>
        <v>8.3819444444444446E-2</v>
      </c>
      <c r="F3413" s="6">
        <f>23622/(60*60*24)</f>
        <v>0.27340277777777777</v>
      </c>
      <c r="G3413" s="7" t="s">
        <v>9</v>
      </c>
    </row>
    <row r="3414" spans="1:7" x14ac:dyDescent="0.45">
      <c r="A3414" t="s">
        <v>3509</v>
      </c>
      <c r="B3414" s="2" t="s">
        <v>146</v>
      </c>
      <c r="C3414" s="3">
        <f>4740/(60*60*24)</f>
        <v>5.486111111111111E-2</v>
      </c>
      <c r="D3414" s="4">
        <f>2769/(60*60*24)</f>
        <v>3.2048611111111111E-2</v>
      </c>
      <c r="E3414" s="5">
        <f>7342/(60*60*24)</f>
        <v>8.4976851851851845E-2</v>
      </c>
      <c r="F3414" s="6">
        <f>24346/(60*60*24)</f>
        <v>0.2817824074074074</v>
      </c>
      <c r="G3414" s="7" t="s">
        <v>9</v>
      </c>
    </row>
    <row r="3415" spans="1:7" x14ac:dyDescent="0.45">
      <c r="A3415" t="s">
        <v>3510</v>
      </c>
      <c r="B3415" s="2" t="s">
        <v>148</v>
      </c>
      <c r="C3415" s="3">
        <f>5236/(60*60*24)</f>
        <v>6.0601851851851851E-2</v>
      </c>
      <c r="D3415" s="4">
        <f>2832/(60*60*24)</f>
        <v>3.2777777777777781E-2</v>
      </c>
      <c r="E3415" s="5">
        <f>7609/(60*60*24)</f>
        <v>8.8067129629629634E-2</v>
      </c>
      <c r="F3415" s="6">
        <f>24588/(60*60*24)</f>
        <v>0.28458333333333335</v>
      </c>
      <c r="G3415" s="7" t="s">
        <v>9</v>
      </c>
    </row>
    <row r="3416" spans="1:7" x14ac:dyDescent="0.45">
      <c r="A3416" t="s">
        <v>3511</v>
      </c>
      <c r="B3416" s="2" t="s">
        <v>150</v>
      </c>
      <c r="C3416" s="3">
        <f>4984/(60*60*24)</f>
        <v>5.7685185185185187E-2</v>
      </c>
      <c r="D3416" s="4">
        <f>2851/(60*60*24)</f>
        <v>3.2997685185185185E-2</v>
      </c>
      <c r="E3416" s="5">
        <f>7774/(60*60*24)</f>
        <v>8.997685185185185E-2</v>
      </c>
      <c r="F3416" s="6">
        <f>25875/(60*60*24)</f>
        <v>0.29947916666666669</v>
      </c>
      <c r="G3416" s="7" t="s">
        <v>9</v>
      </c>
    </row>
    <row r="3417" spans="1:7" x14ac:dyDescent="0.45">
      <c r="A3417" t="s">
        <v>3512</v>
      </c>
      <c r="B3417" s="2" t="s">
        <v>152</v>
      </c>
      <c r="C3417" s="3">
        <f>4987/(60*60*24)</f>
        <v>5.7719907407407407E-2</v>
      </c>
      <c r="D3417" s="4">
        <f>2839/(60*60*24)</f>
        <v>3.2858796296296296E-2</v>
      </c>
      <c r="E3417" s="5">
        <f>7663/(60*60*24)</f>
        <v>8.8692129629629635E-2</v>
      </c>
      <c r="F3417" s="6">
        <f>26220/(60*60*24)</f>
        <v>0.3034722222222222</v>
      </c>
      <c r="G3417" s="7" t="s">
        <v>9</v>
      </c>
    </row>
    <row r="3418" spans="1:7" x14ac:dyDescent="0.45">
      <c r="A3418" t="s">
        <v>3513</v>
      </c>
      <c r="B3418" s="2" t="s">
        <v>154</v>
      </c>
      <c r="C3418" s="3">
        <f>5279/(60*60*24)</f>
        <v>6.1099537037037036E-2</v>
      </c>
      <c r="D3418" s="4">
        <f>2967/(60*60*24)</f>
        <v>3.4340277777777775E-2</v>
      </c>
      <c r="E3418" s="5">
        <f>7826/(60*60*24)</f>
        <v>9.0578703703703703E-2</v>
      </c>
      <c r="F3418" s="6">
        <f>26854/(60*60*24)</f>
        <v>0.31081018518518516</v>
      </c>
      <c r="G3418" s="7" t="s">
        <v>9</v>
      </c>
    </row>
    <row r="3419" spans="1:7" x14ac:dyDescent="0.45">
      <c r="A3419" t="s">
        <v>3514</v>
      </c>
      <c r="B3419" s="2" t="s">
        <v>156</v>
      </c>
      <c r="C3419" s="3">
        <f>5683/(60*60*24)</f>
        <v>6.5775462962962966E-2</v>
      </c>
      <c r="D3419" s="4">
        <f>3130/(60*60*24)</f>
        <v>3.622685185185185E-2</v>
      </c>
      <c r="E3419" s="5">
        <f>8098/(60*60*24)</f>
        <v>9.3726851851851853E-2</v>
      </c>
      <c r="F3419" s="6">
        <f>28054/(60*60*24)</f>
        <v>0.32469907407407406</v>
      </c>
      <c r="G3419" s="7" t="s">
        <v>9</v>
      </c>
    </row>
    <row r="3420" spans="1:7" x14ac:dyDescent="0.45">
      <c r="A3420" t="s">
        <v>3515</v>
      </c>
      <c r="B3420" s="2" t="s">
        <v>160</v>
      </c>
      <c r="C3420" s="8" t="s">
        <v>12</v>
      </c>
      <c r="D3420" s="4">
        <f>3122/(60*60*24)</f>
        <v>3.6134259259259262E-2</v>
      </c>
      <c r="E3420" s="3">
        <f>8170/(60*60*24)</f>
        <v>9.4560185185185192E-2</v>
      </c>
      <c r="F3420" s="5">
        <f>28179/(60*60*24)</f>
        <v>0.32614583333333336</v>
      </c>
      <c r="G3420" s="7" t="s">
        <v>9</v>
      </c>
    </row>
    <row r="3421" spans="1:7" x14ac:dyDescent="0.45">
      <c r="A3421" t="s">
        <v>3516</v>
      </c>
      <c r="B3421" s="2" t="s">
        <v>158</v>
      </c>
      <c r="C3421" s="8" t="s">
        <v>12</v>
      </c>
      <c r="D3421" s="4">
        <f>3117/(60*60*24)</f>
        <v>3.6076388888888887E-2</v>
      </c>
      <c r="E3421" s="3">
        <f>8212/(60*60*24)</f>
        <v>9.5046296296296295E-2</v>
      </c>
      <c r="F3421" s="5">
        <f>28692/(60*60*24)</f>
        <v>0.33208333333333334</v>
      </c>
      <c r="G3421" s="7" t="s">
        <v>9</v>
      </c>
    </row>
    <row r="3422" spans="1:7" x14ac:dyDescent="0.45">
      <c r="A3422" t="s">
        <v>3517</v>
      </c>
      <c r="B3422" s="2" t="s">
        <v>164</v>
      </c>
      <c r="C3422" s="5">
        <f>9887/(60*60*24)</f>
        <v>0.11443287037037037</v>
      </c>
      <c r="D3422" s="4">
        <f>3156/(60*60*24)</f>
        <v>3.6527777777777777E-2</v>
      </c>
      <c r="E3422" s="3">
        <f>9065/(60*60*24)</f>
        <v>0.10491898148148149</v>
      </c>
      <c r="F3422" s="6">
        <f>31373/(60*60*24)</f>
        <v>0.36311342592592594</v>
      </c>
      <c r="G3422" s="7" t="s">
        <v>9</v>
      </c>
    </row>
    <row r="3423" spans="1:7" x14ac:dyDescent="0.45">
      <c r="A3423" t="s">
        <v>3518</v>
      </c>
      <c r="B3423" s="2" t="s">
        <v>162</v>
      </c>
      <c r="C3423" s="8" t="s">
        <v>12</v>
      </c>
      <c r="D3423" s="4">
        <f>3240/(60*60*24)</f>
        <v>3.7499999999999999E-2</v>
      </c>
      <c r="E3423" s="3">
        <f>8845/(60*60*24)</f>
        <v>0.10237268518518519</v>
      </c>
      <c r="F3423" s="5">
        <f>30900/(60*60*24)</f>
        <v>0.3576388888888889</v>
      </c>
      <c r="G3423" s="7" t="s">
        <v>9</v>
      </c>
    </row>
    <row r="3424" spans="1:7" x14ac:dyDescent="0.45">
      <c r="A3424" t="s">
        <v>3519</v>
      </c>
      <c r="B3424" s="2" t="s">
        <v>168</v>
      </c>
      <c r="C3424" s="3">
        <f>6503/(60*60*24)</f>
        <v>7.526620370370371E-2</v>
      </c>
      <c r="D3424" s="4">
        <f>3245/(60*60*24)</f>
        <v>3.7557870370370373E-2</v>
      </c>
      <c r="E3424" s="5">
        <f>9213/(60*60*24)</f>
        <v>0.10663194444444445</v>
      </c>
      <c r="F3424" s="6">
        <f>31790/(60*60*24)</f>
        <v>0.3679398148148148</v>
      </c>
      <c r="G3424" s="7" t="s">
        <v>9</v>
      </c>
    </row>
    <row r="3425" spans="1:7" x14ac:dyDescent="0.45">
      <c r="A3425" t="s">
        <v>3520</v>
      </c>
      <c r="B3425" s="2" t="s">
        <v>166</v>
      </c>
      <c r="C3425" s="8" t="s">
        <v>12</v>
      </c>
      <c r="D3425" s="4">
        <f>3308/(60*60*24)</f>
        <v>3.8287037037037036E-2</v>
      </c>
      <c r="E3425" s="3">
        <f>9473/(60*60*24)</f>
        <v>0.1096412037037037</v>
      </c>
      <c r="F3425" s="5">
        <f>32820/(60*60*24)</f>
        <v>0.37986111111111109</v>
      </c>
      <c r="G3425" s="7" t="s">
        <v>9</v>
      </c>
    </row>
    <row r="3426" spans="1:7" x14ac:dyDescent="0.45">
      <c r="A3426" t="s">
        <v>3521</v>
      </c>
      <c r="B3426" s="2" t="s">
        <v>172</v>
      </c>
      <c r="C3426" s="3">
        <f>8716/(60*60*24)</f>
        <v>0.10087962962962962</v>
      </c>
      <c r="D3426" s="4">
        <f>3385/(60*60*24)</f>
        <v>3.9178240740740743E-2</v>
      </c>
      <c r="E3426" s="5">
        <f>10342/(60*60*24)</f>
        <v>0.11969907407407407</v>
      </c>
      <c r="F3426" s="6">
        <f>34377/(60*60*24)</f>
        <v>0.39788194444444447</v>
      </c>
      <c r="G3426" s="7" t="s">
        <v>9</v>
      </c>
    </row>
    <row r="3427" spans="1:7" x14ac:dyDescent="0.45">
      <c r="A3427" t="s">
        <v>3522</v>
      </c>
      <c r="B3427" s="2" t="s">
        <v>170</v>
      </c>
      <c r="C3427" s="8" t="s">
        <v>12</v>
      </c>
      <c r="D3427" s="4">
        <f>3273/(60*60*24)</f>
        <v>3.7881944444444447E-2</v>
      </c>
      <c r="E3427" s="3">
        <f>10168/(60*60*24)</f>
        <v>0.11768518518518518</v>
      </c>
      <c r="F3427" s="5">
        <f>33766/(60*60*24)</f>
        <v>0.39081018518518518</v>
      </c>
      <c r="G3427" s="7" t="s">
        <v>9</v>
      </c>
    </row>
    <row r="3428" spans="1:7" x14ac:dyDescent="0.45">
      <c r="A3428" t="s">
        <v>3523</v>
      </c>
      <c r="B3428" s="2" t="s">
        <v>176</v>
      </c>
      <c r="C3428" s="3">
        <f>8189/(60*60*24)</f>
        <v>9.4780092592592596E-2</v>
      </c>
      <c r="D3428" s="4">
        <f>3485/(60*60*24)</f>
        <v>4.0335648148148148E-2</v>
      </c>
      <c r="E3428" s="5">
        <f>10569/(60*60*24)</f>
        <v>0.12232638888888889</v>
      </c>
      <c r="F3428" s="6">
        <f>35115/(60*60*24)</f>
        <v>0.40642361111111114</v>
      </c>
      <c r="G3428" s="7" t="s">
        <v>9</v>
      </c>
    </row>
    <row r="3429" spans="1:7" x14ac:dyDescent="0.45">
      <c r="A3429" t="s">
        <v>3524</v>
      </c>
      <c r="B3429" s="2" t="s">
        <v>174</v>
      </c>
      <c r="C3429" s="8" t="s">
        <v>12</v>
      </c>
      <c r="D3429" s="4">
        <f>3467/(60*60*24)</f>
        <v>4.0127314814814817E-2</v>
      </c>
      <c r="E3429" s="3">
        <f>10793/(60*60*24)</f>
        <v>0.12491898148148148</v>
      </c>
      <c r="F3429" s="5">
        <f>35842/(60*60*24)</f>
        <v>0.41483796296296294</v>
      </c>
      <c r="G3429" s="7" t="s">
        <v>9</v>
      </c>
    </row>
    <row r="3430" spans="1:7" x14ac:dyDescent="0.45">
      <c r="A3430" t="s">
        <v>3525</v>
      </c>
      <c r="B3430" s="2" t="s">
        <v>180</v>
      </c>
      <c r="C3430" s="8" t="s">
        <v>12</v>
      </c>
      <c r="D3430" s="4">
        <f>3547/(60*60*24)</f>
        <v>4.1053240740740737E-2</v>
      </c>
      <c r="E3430" s="3">
        <f>11000/(60*60*24)</f>
        <v>0.12731481481481483</v>
      </c>
      <c r="F3430" s="5">
        <f>36522/(60*60*24)</f>
        <v>0.42270833333333335</v>
      </c>
      <c r="G3430" s="7" t="s">
        <v>9</v>
      </c>
    </row>
    <row r="3431" spans="1:7" x14ac:dyDescent="0.45">
      <c r="A3431" t="s">
        <v>3526</v>
      </c>
      <c r="B3431" s="2" t="s">
        <v>178</v>
      </c>
      <c r="C3431" s="8" t="s">
        <v>12</v>
      </c>
      <c r="D3431" s="4">
        <f>3718/(60*60*24)</f>
        <v>4.3032407407407408E-2</v>
      </c>
      <c r="E3431" s="3">
        <f>11150/(60*60*24)</f>
        <v>0.12905092592592593</v>
      </c>
      <c r="F3431" s="5">
        <f>37117/(60*60*24)</f>
        <v>0.42959490740740741</v>
      </c>
      <c r="G3431" s="7" t="s">
        <v>9</v>
      </c>
    </row>
    <row r="3432" spans="1:7" x14ac:dyDescent="0.45">
      <c r="A3432" t="s">
        <v>3527</v>
      </c>
      <c r="B3432" s="2" t="s">
        <v>182</v>
      </c>
      <c r="C3432" s="8" t="s">
        <v>12</v>
      </c>
      <c r="D3432" s="4">
        <f>3868/(60*60*24)</f>
        <v>4.476851851851852E-2</v>
      </c>
      <c r="E3432" s="3">
        <f>11852/(60*60*24)</f>
        <v>0.13717592592592592</v>
      </c>
      <c r="F3432" s="5">
        <f>38675/(60*60*24)</f>
        <v>0.44762731481481483</v>
      </c>
      <c r="G3432" s="7" t="s">
        <v>9</v>
      </c>
    </row>
    <row r="3433" spans="1:7" x14ac:dyDescent="0.45">
      <c r="A3433" t="s">
        <v>3528</v>
      </c>
      <c r="B3433" s="2" t="s">
        <v>184</v>
      </c>
      <c r="C3433" s="8" t="s">
        <v>12</v>
      </c>
      <c r="D3433" s="4">
        <f>3872/(60*60*24)</f>
        <v>4.4814814814814814E-2</v>
      </c>
      <c r="E3433" s="3">
        <f>11808/(60*60*24)</f>
        <v>0.13666666666666666</v>
      </c>
      <c r="F3433" s="5">
        <f>38868/(60*60*24)</f>
        <v>0.4498611111111111</v>
      </c>
      <c r="G3433" s="7" t="s">
        <v>9</v>
      </c>
    </row>
    <row r="3434" spans="1:7" x14ac:dyDescent="0.45">
      <c r="A3434" t="s">
        <v>3529</v>
      </c>
      <c r="B3434" s="2" t="s">
        <v>11</v>
      </c>
      <c r="C3434" s="3">
        <f>8885/(60*60*24)</f>
        <v>0.10283564814814815</v>
      </c>
      <c r="D3434" s="4">
        <f>2866/(60*60*24)</f>
        <v>3.3171296296296296E-2</v>
      </c>
      <c r="E3434" s="5">
        <f>10350/(60*60*24)</f>
        <v>0.11979166666666667</v>
      </c>
      <c r="F3434" s="6">
        <f>35295/(60*60*24)</f>
        <v>0.40850694444444446</v>
      </c>
      <c r="G3434" s="7" t="s">
        <v>9</v>
      </c>
    </row>
    <row r="3435" spans="1:7" x14ac:dyDescent="0.45">
      <c r="A3435" t="s">
        <v>3530</v>
      </c>
      <c r="B3435" s="2" t="s">
        <v>8</v>
      </c>
      <c r="C3435" s="8" t="s">
        <v>12</v>
      </c>
      <c r="D3435" s="4">
        <f>3023/(60*60*24)</f>
        <v>3.4988425925925923E-2</v>
      </c>
      <c r="E3435" s="3">
        <f>11041/(60*60*24)</f>
        <v>0.12778935185185186</v>
      </c>
      <c r="F3435" s="5">
        <f>36638/(60*60*24)</f>
        <v>0.42405092592592591</v>
      </c>
      <c r="G3435" s="7" t="s">
        <v>9</v>
      </c>
    </row>
    <row r="3436" spans="1:7" x14ac:dyDescent="0.45">
      <c r="A3436" t="s">
        <v>3531</v>
      </c>
      <c r="B3436" s="2" t="s">
        <v>14</v>
      </c>
      <c r="C3436" s="3">
        <f>8935/(60*60*24)</f>
        <v>0.10341435185185185</v>
      </c>
      <c r="D3436" s="4">
        <f>2660/(60*60*24)</f>
        <v>3.0787037037037036E-2</v>
      </c>
      <c r="E3436" s="5">
        <f>10011/(60*60*24)</f>
        <v>0.11586805555555556</v>
      </c>
      <c r="F3436" s="6">
        <f>34744/(60*60*24)</f>
        <v>0.40212962962962961</v>
      </c>
      <c r="G3436" s="7" t="s">
        <v>9</v>
      </c>
    </row>
    <row r="3437" spans="1:7" x14ac:dyDescent="0.45">
      <c r="A3437" t="s">
        <v>3532</v>
      </c>
      <c r="B3437" s="2" t="s">
        <v>16</v>
      </c>
      <c r="C3437" s="8" t="s">
        <v>12</v>
      </c>
      <c r="D3437" s="4">
        <f>2882/(60*60*24)</f>
        <v>3.335648148148148E-2</v>
      </c>
      <c r="E3437" s="3">
        <f>10199/(60*60*24)</f>
        <v>0.11804398148148149</v>
      </c>
      <c r="F3437" s="5">
        <f>34473/(60*60*24)</f>
        <v>0.39899305555555553</v>
      </c>
      <c r="G3437" s="7" t="s">
        <v>9</v>
      </c>
    </row>
    <row r="3438" spans="1:7" x14ac:dyDescent="0.45">
      <c r="A3438" t="s">
        <v>3533</v>
      </c>
      <c r="B3438" s="2" t="s">
        <v>18</v>
      </c>
      <c r="C3438" s="3">
        <f>8017/(60*60*24)</f>
        <v>9.2789351851851845E-2</v>
      </c>
      <c r="D3438" s="4">
        <f>2721/(60*60*24)</f>
        <v>3.1493055555555559E-2</v>
      </c>
      <c r="E3438" s="5">
        <f>9939/(60*60*24)</f>
        <v>0.11503472222222222</v>
      </c>
      <c r="F3438" s="6">
        <f>33718/(60*60*24)</f>
        <v>0.39025462962962965</v>
      </c>
      <c r="G3438" s="7" t="s">
        <v>9</v>
      </c>
    </row>
    <row r="3439" spans="1:7" x14ac:dyDescent="0.45">
      <c r="A3439" t="s">
        <v>3534</v>
      </c>
      <c r="B3439" s="2" t="s">
        <v>20</v>
      </c>
      <c r="C3439" s="3">
        <f>7919/(60*60*24)</f>
        <v>9.1655092592592594E-2</v>
      </c>
      <c r="D3439" s="4">
        <f>2651/(60*60*24)</f>
        <v>3.0682870370370371E-2</v>
      </c>
      <c r="E3439" s="5">
        <f>9830/(60*60*24)</f>
        <v>0.11377314814814815</v>
      </c>
      <c r="F3439" s="6">
        <f>33012/(60*60*24)</f>
        <v>0.38208333333333333</v>
      </c>
      <c r="G3439" s="7" t="s">
        <v>9</v>
      </c>
    </row>
    <row r="3440" spans="1:7" x14ac:dyDescent="0.45">
      <c r="A3440" t="s">
        <v>3535</v>
      </c>
      <c r="B3440" s="2" t="s">
        <v>22</v>
      </c>
      <c r="C3440" s="3">
        <f>7633/(60*60*24)</f>
        <v>8.8344907407407414E-2</v>
      </c>
      <c r="D3440" s="4">
        <f>2898/(60*60*24)</f>
        <v>3.3541666666666664E-2</v>
      </c>
      <c r="E3440" s="5">
        <f>9586/(60*60*24)</f>
        <v>0.11094907407407407</v>
      </c>
      <c r="F3440" s="6">
        <f>33723/(60*60*24)</f>
        <v>0.39031250000000001</v>
      </c>
      <c r="G3440" s="7" t="s">
        <v>9</v>
      </c>
    </row>
    <row r="3441" spans="1:7" x14ac:dyDescent="0.45">
      <c r="A3441" t="s">
        <v>3536</v>
      </c>
      <c r="B3441" s="2" t="s">
        <v>24</v>
      </c>
      <c r="C3441" s="3">
        <f>6157/(60*60*24)</f>
        <v>7.1261574074074074E-2</v>
      </c>
      <c r="D3441" s="4">
        <f>2758/(60*60*24)</f>
        <v>3.1921296296296295E-2</v>
      </c>
      <c r="E3441" s="5">
        <f>9376/(60*60*24)</f>
        <v>0.10851851851851851</v>
      </c>
      <c r="F3441" s="6">
        <f>31698/(60*60*24)</f>
        <v>0.36687500000000001</v>
      </c>
      <c r="G3441" s="7" t="s">
        <v>9</v>
      </c>
    </row>
    <row r="3442" spans="1:7" x14ac:dyDescent="0.45">
      <c r="A3442" t="s">
        <v>3537</v>
      </c>
      <c r="B3442" s="2" t="s">
        <v>26</v>
      </c>
      <c r="C3442" s="3">
        <f>5655/(60*60*24)</f>
        <v>6.5451388888888892E-2</v>
      </c>
      <c r="D3442" s="4">
        <f>2731/(60*60*24)</f>
        <v>3.1608796296296295E-2</v>
      </c>
      <c r="E3442" s="5">
        <f>9152/(60*60*24)</f>
        <v>0.10592592592592592</v>
      </c>
      <c r="F3442" s="6">
        <f>30908/(60*60*24)</f>
        <v>0.35773148148148148</v>
      </c>
      <c r="G3442" s="7" t="s">
        <v>9</v>
      </c>
    </row>
    <row r="3443" spans="1:7" x14ac:dyDescent="0.45">
      <c r="A3443" t="s">
        <v>3538</v>
      </c>
      <c r="B3443" s="2" t="s">
        <v>28</v>
      </c>
      <c r="C3443" s="3">
        <f>4950/(60*60*24)</f>
        <v>5.7291666666666664E-2</v>
      </c>
      <c r="D3443" s="4">
        <f>2807/(60*60*24)</f>
        <v>3.2488425925925928E-2</v>
      </c>
      <c r="E3443" s="5">
        <f>9045/(60*60*24)</f>
        <v>0.1046875</v>
      </c>
      <c r="F3443" s="6">
        <f>30399/(60*60*24)</f>
        <v>0.35184027777777777</v>
      </c>
      <c r="G3443" s="7" t="s">
        <v>9</v>
      </c>
    </row>
    <row r="3444" spans="1:7" x14ac:dyDescent="0.45">
      <c r="A3444" t="s">
        <v>3539</v>
      </c>
      <c r="B3444" s="2" t="s">
        <v>30</v>
      </c>
      <c r="C3444" s="3">
        <f>6070/(60*60*24)</f>
        <v>7.0254629629629625E-2</v>
      </c>
      <c r="D3444" s="4">
        <f>2944/(60*60*24)</f>
        <v>3.4074074074074076E-2</v>
      </c>
      <c r="E3444" s="5">
        <f>9490/(60*60*24)</f>
        <v>0.10983796296296296</v>
      </c>
      <c r="F3444" s="6">
        <f>30292/(60*60*24)</f>
        <v>0.35060185185185183</v>
      </c>
      <c r="G3444" s="7" t="s">
        <v>9</v>
      </c>
    </row>
    <row r="3445" spans="1:7" x14ac:dyDescent="0.45">
      <c r="A3445" t="s">
        <v>3540</v>
      </c>
      <c r="B3445" s="2" t="s">
        <v>32</v>
      </c>
      <c r="C3445" s="3">
        <f>5427/(60*60*24)</f>
        <v>6.2812499999999993E-2</v>
      </c>
      <c r="D3445" s="4">
        <f>2926/(60*60*24)</f>
        <v>3.3865740740740738E-2</v>
      </c>
      <c r="E3445" s="5">
        <f>8646/(60*60*24)</f>
        <v>0.10006944444444445</v>
      </c>
      <c r="F3445" s="6">
        <f>29390/(60*60*24)</f>
        <v>0.34016203703703701</v>
      </c>
      <c r="G3445" s="7" t="s">
        <v>9</v>
      </c>
    </row>
    <row r="3446" spans="1:7" x14ac:dyDescent="0.45">
      <c r="A3446" t="s">
        <v>3541</v>
      </c>
      <c r="B3446" s="2" t="s">
        <v>36</v>
      </c>
      <c r="C3446" s="3">
        <f>6029/(60*60*24)</f>
        <v>6.9780092592592588E-2</v>
      </c>
      <c r="D3446" s="4">
        <f>3127/(60*60*24)</f>
        <v>3.619212962962963E-2</v>
      </c>
      <c r="E3446" s="5">
        <f>8641/(60*60*24)</f>
        <v>0.10001157407407407</v>
      </c>
      <c r="F3446" s="6">
        <f>28866/(60*60*24)</f>
        <v>0.33409722222222221</v>
      </c>
      <c r="G3446" s="7" t="s">
        <v>9</v>
      </c>
    </row>
    <row r="3447" spans="1:7" x14ac:dyDescent="0.45">
      <c r="A3447" t="s">
        <v>3542</v>
      </c>
      <c r="B3447" s="2" t="s">
        <v>34</v>
      </c>
      <c r="C3447" s="8" t="s">
        <v>12</v>
      </c>
      <c r="D3447" s="4">
        <f>3298/(60*60*24)</f>
        <v>3.8171296296296293E-2</v>
      </c>
      <c r="E3447" s="3">
        <f>8488/(60*60*24)</f>
        <v>9.824074074074074E-2</v>
      </c>
      <c r="F3447" s="5">
        <f>28355/(60*60*24)</f>
        <v>0.32818287037037036</v>
      </c>
      <c r="G3447" s="7" t="s">
        <v>9</v>
      </c>
    </row>
    <row r="3448" spans="1:7" x14ac:dyDescent="0.45">
      <c r="A3448" t="s">
        <v>3543</v>
      </c>
      <c r="B3448" s="2" t="s">
        <v>38</v>
      </c>
      <c r="C3448" s="8" t="s">
        <v>12</v>
      </c>
      <c r="D3448" s="4">
        <f>3030/(60*60*24)</f>
        <v>3.5069444444444445E-2</v>
      </c>
      <c r="E3448" s="3">
        <f>8377/(60*60*24)</f>
        <v>9.6956018518518525E-2</v>
      </c>
      <c r="F3448" s="5">
        <f>27791/(60*60*24)</f>
        <v>0.32165509259259262</v>
      </c>
      <c r="G3448" s="7" t="s">
        <v>9</v>
      </c>
    </row>
    <row r="3449" spans="1:7" x14ac:dyDescent="0.45">
      <c r="A3449" t="s">
        <v>3544</v>
      </c>
      <c r="B3449" s="2" t="s">
        <v>40</v>
      </c>
      <c r="C3449" s="8" t="s">
        <v>12</v>
      </c>
      <c r="D3449" s="4">
        <f>2921/(60*60*24)</f>
        <v>3.380787037037037E-2</v>
      </c>
      <c r="E3449" s="3">
        <f>8189/(60*60*24)</f>
        <v>9.4780092592592596E-2</v>
      </c>
      <c r="F3449" s="5">
        <f>27266/(60*60*24)</f>
        <v>0.31557870370370372</v>
      </c>
      <c r="G3449" s="7" t="s">
        <v>9</v>
      </c>
    </row>
    <row r="3450" spans="1:7" x14ac:dyDescent="0.45">
      <c r="A3450" t="s">
        <v>3545</v>
      </c>
      <c r="B3450" s="2" t="s">
        <v>44</v>
      </c>
      <c r="C3450" s="8" t="s">
        <v>12</v>
      </c>
      <c r="D3450" s="4">
        <f>2832/(60*60*24)</f>
        <v>3.2777777777777781E-2</v>
      </c>
      <c r="E3450" s="3">
        <f>8024/(60*60*24)</f>
        <v>9.2870370370370367E-2</v>
      </c>
      <c r="F3450" s="5">
        <f>26682/(60*60*24)</f>
        <v>0.30881944444444442</v>
      </c>
      <c r="G3450" s="7" t="s">
        <v>9</v>
      </c>
    </row>
    <row r="3451" spans="1:7" x14ac:dyDescent="0.45">
      <c r="A3451" t="s">
        <v>3546</v>
      </c>
      <c r="B3451" s="2" t="s">
        <v>42</v>
      </c>
      <c r="C3451" s="8" t="s">
        <v>12</v>
      </c>
      <c r="D3451" s="4">
        <f>2918/(60*60*24)</f>
        <v>3.3773148148148149E-2</v>
      </c>
      <c r="E3451" s="3">
        <f>7805/(60*60*24)</f>
        <v>9.0335648148148151E-2</v>
      </c>
      <c r="F3451" s="5">
        <f>25858/(60*60*24)</f>
        <v>0.29928240740740741</v>
      </c>
      <c r="G3451" s="7" t="s">
        <v>9</v>
      </c>
    </row>
    <row r="3452" spans="1:7" x14ac:dyDescent="0.45">
      <c r="A3452" t="s">
        <v>3547</v>
      </c>
      <c r="B3452" s="2" t="s">
        <v>46</v>
      </c>
      <c r="C3452" s="3">
        <f>5432/(60*60*24)</f>
        <v>6.2870370370370368E-2</v>
      </c>
      <c r="D3452" s="4">
        <f>2995/(60*60*24)</f>
        <v>3.4664351851851849E-2</v>
      </c>
      <c r="E3452" s="5">
        <f>7505/(60*60*24)</f>
        <v>8.6863425925925927E-2</v>
      </c>
      <c r="F3452" s="6">
        <f>25289/(60*60*24)</f>
        <v>0.29269675925925925</v>
      </c>
      <c r="G3452" s="7" t="s">
        <v>9</v>
      </c>
    </row>
    <row r="3453" spans="1:7" x14ac:dyDescent="0.45">
      <c r="A3453" t="s">
        <v>3548</v>
      </c>
      <c r="B3453" s="2" t="s">
        <v>48</v>
      </c>
      <c r="C3453" s="3">
        <f>4890/(60*60*24)</f>
        <v>5.6597222222222222E-2</v>
      </c>
      <c r="D3453" s="4">
        <f>2835/(60*60*24)</f>
        <v>3.2812500000000001E-2</v>
      </c>
      <c r="E3453" s="5">
        <f>7339/(60*60*24)</f>
        <v>8.4942129629629631E-2</v>
      </c>
      <c r="F3453" s="6">
        <f>24803/(60*60*24)</f>
        <v>0.28707175925925926</v>
      </c>
      <c r="G3453" s="7" t="s">
        <v>9</v>
      </c>
    </row>
    <row r="3454" spans="1:7" x14ac:dyDescent="0.45">
      <c r="A3454" t="s">
        <v>3549</v>
      </c>
      <c r="B3454" s="2" t="s">
        <v>50</v>
      </c>
      <c r="C3454" s="3">
        <f>5236/(60*60*24)</f>
        <v>6.0601851851851851E-2</v>
      </c>
      <c r="D3454" s="4">
        <f>2858/(60*60*24)</f>
        <v>3.30787037037037E-2</v>
      </c>
      <c r="E3454" s="5">
        <f>7446/(60*60*24)</f>
        <v>8.6180555555555552E-2</v>
      </c>
      <c r="F3454" s="6">
        <f>24582/(60*60*24)</f>
        <v>0.2845138888888889</v>
      </c>
      <c r="G3454" s="7" t="s">
        <v>9</v>
      </c>
    </row>
    <row r="3455" spans="1:7" x14ac:dyDescent="0.45">
      <c r="A3455" t="s">
        <v>3550</v>
      </c>
      <c r="B3455" s="2" t="s">
        <v>52</v>
      </c>
      <c r="C3455" s="8" t="s">
        <v>12</v>
      </c>
      <c r="D3455" s="4">
        <f>2670/(60*60*24)</f>
        <v>3.0902777777777779E-2</v>
      </c>
      <c r="E3455" s="3">
        <f>7841/(60*60*24)</f>
        <v>9.0752314814814813E-2</v>
      </c>
      <c r="F3455" s="5">
        <f>23803/(60*60*24)</f>
        <v>0.27549768518518519</v>
      </c>
      <c r="G3455" s="7" t="s">
        <v>9</v>
      </c>
    </row>
    <row r="3456" spans="1:7" x14ac:dyDescent="0.45">
      <c r="A3456" t="s">
        <v>3551</v>
      </c>
      <c r="B3456" s="2" t="s">
        <v>54</v>
      </c>
      <c r="C3456" s="8" t="s">
        <v>12</v>
      </c>
      <c r="D3456" s="4">
        <f>2545/(60*60*24)</f>
        <v>2.9456018518518517E-2</v>
      </c>
      <c r="E3456" s="3">
        <f>7811/(60*60*24)</f>
        <v>9.0405092592592592E-2</v>
      </c>
      <c r="F3456" s="5">
        <f>23465/(60*60*24)</f>
        <v>0.27158564814814817</v>
      </c>
      <c r="G3456" s="7" t="s">
        <v>9</v>
      </c>
    </row>
    <row r="3457" spans="1:7" x14ac:dyDescent="0.45">
      <c r="A3457" t="s">
        <v>3552</v>
      </c>
      <c r="B3457" s="2" t="s">
        <v>56</v>
      </c>
      <c r="C3457" s="8" t="s">
        <v>12</v>
      </c>
      <c r="D3457" s="4">
        <f>2270/(60*60*24)</f>
        <v>2.627314814814815E-2</v>
      </c>
      <c r="E3457" s="3">
        <f>7731/(60*60*24)</f>
        <v>8.9479166666666665E-2</v>
      </c>
      <c r="F3457" s="5">
        <f>23335/(60*60*24)</f>
        <v>0.27008101851851851</v>
      </c>
      <c r="G3457" s="7" t="s">
        <v>9</v>
      </c>
    </row>
    <row r="3458" spans="1:7" x14ac:dyDescent="0.45">
      <c r="A3458" t="s">
        <v>3553</v>
      </c>
      <c r="B3458" s="2" t="s">
        <v>58</v>
      </c>
      <c r="C3458" s="3">
        <f>5741/(60*60*24)</f>
        <v>6.6446759259259261E-2</v>
      </c>
      <c r="D3458" s="4">
        <f>2123/(60*60*24)</f>
        <v>2.4571759259259258E-2</v>
      </c>
      <c r="E3458" s="5">
        <f>6938/(60*60*24)</f>
        <v>8.0300925925925928E-2</v>
      </c>
      <c r="F3458" s="6">
        <f>22619/(60*60*24)</f>
        <v>0.26179398148148147</v>
      </c>
      <c r="G3458" s="7" t="s">
        <v>9</v>
      </c>
    </row>
    <row r="3459" spans="1:7" x14ac:dyDescent="0.45">
      <c r="A3459" t="s">
        <v>3554</v>
      </c>
      <c r="B3459" s="2" t="s">
        <v>60</v>
      </c>
      <c r="C3459" s="3">
        <f>6425/(60*60*24)</f>
        <v>7.436342592592593E-2</v>
      </c>
      <c r="D3459" s="4">
        <f>2619/(60*60*24)</f>
        <v>3.0312499999999999E-2</v>
      </c>
      <c r="E3459" s="5">
        <f>7269/(60*60*24)</f>
        <v>8.413194444444444E-2</v>
      </c>
      <c r="F3459" s="6">
        <f>22066/(60*60*24)</f>
        <v>0.25539351851851849</v>
      </c>
      <c r="G3459" s="7" t="s">
        <v>9</v>
      </c>
    </row>
    <row r="3460" spans="1:7" x14ac:dyDescent="0.45">
      <c r="A3460" t="s">
        <v>3555</v>
      </c>
      <c r="B3460" s="2" t="s">
        <v>62</v>
      </c>
      <c r="C3460" s="8" t="s">
        <v>12</v>
      </c>
      <c r="D3460" s="4">
        <f>1991/(60*60*24)</f>
        <v>2.3043981481481481E-2</v>
      </c>
      <c r="E3460" s="3">
        <f>6400/(60*60*24)</f>
        <v>7.407407407407407E-2</v>
      </c>
      <c r="F3460" s="5">
        <f>21428/(60*60*24)</f>
        <v>0.24800925925925926</v>
      </c>
      <c r="G3460" s="7" t="s">
        <v>9</v>
      </c>
    </row>
    <row r="3461" spans="1:7" x14ac:dyDescent="0.45">
      <c r="A3461" t="s">
        <v>3556</v>
      </c>
      <c r="B3461" s="2" t="s">
        <v>64</v>
      </c>
      <c r="C3461" s="8" t="s">
        <v>12</v>
      </c>
      <c r="D3461" s="4">
        <f>1999/(60*60*24)</f>
        <v>2.3136574074074073E-2</v>
      </c>
      <c r="E3461" s="3">
        <f>6163/(60*60*24)</f>
        <v>7.1331018518518516E-2</v>
      </c>
      <c r="F3461" s="5">
        <f>20950/(60*60*24)</f>
        <v>0.24247685185185186</v>
      </c>
      <c r="G3461" s="7" t="s">
        <v>9</v>
      </c>
    </row>
    <row r="3462" spans="1:7" x14ac:dyDescent="0.45">
      <c r="A3462" t="s">
        <v>3557</v>
      </c>
      <c r="B3462" s="2" t="s">
        <v>68</v>
      </c>
      <c r="C3462" s="5">
        <f>6726/(60*60*24)</f>
        <v>7.784722222222222E-2</v>
      </c>
      <c r="D3462" s="4">
        <f>1652/(60*60*24)</f>
        <v>1.9120370370370371E-2</v>
      </c>
      <c r="E3462" s="3">
        <f>6188/(60*60*24)</f>
        <v>7.1620370370370376E-2</v>
      </c>
      <c r="F3462" s="6">
        <f>20367/(60*60*24)</f>
        <v>0.23572916666666666</v>
      </c>
      <c r="G3462" s="7" t="s">
        <v>9</v>
      </c>
    </row>
    <row r="3463" spans="1:7" x14ac:dyDescent="0.45">
      <c r="A3463" t="s">
        <v>3558</v>
      </c>
      <c r="B3463" s="2" t="s">
        <v>66</v>
      </c>
      <c r="C3463" s="8" t="s">
        <v>12</v>
      </c>
      <c r="D3463" s="4">
        <f>1756/(60*60*24)</f>
        <v>2.0324074074074074E-2</v>
      </c>
      <c r="E3463" s="3">
        <f>6370/(60*60*24)</f>
        <v>7.3726851851851849E-2</v>
      </c>
      <c r="F3463" s="5">
        <f>21166/(60*60*24)</f>
        <v>0.24497685185185186</v>
      </c>
      <c r="G3463" s="7" t="s">
        <v>9</v>
      </c>
    </row>
    <row r="3464" spans="1:7" x14ac:dyDescent="0.45">
      <c r="A3464" t="s">
        <v>3559</v>
      </c>
      <c r="B3464" s="2" t="s">
        <v>70</v>
      </c>
      <c r="C3464" s="8" t="s">
        <v>12</v>
      </c>
      <c r="D3464" s="4">
        <f>1784/(60*60*24)</f>
        <v>2.0648148148148148E-2</v>
      </c>
      <c r="E3464" s="3">
        <f>6290/(60*60*24)</f>
        <v>7.2800925925925922E-2</v>
      </c>
      <c r="F3464" s="5">
        <f>20132/(60*60*24)</f>
        <v>0.23300925925925925</v>
      </c>
      <c r="G3464" s="7" t="s">
        <v>9</v>
      </c>
    </row>
    <row r="3465" spans="1:7" x14ac:dyDescent="0.45">
      <c r="A3465" t="s">
        <v>3560</v>
      </c>
      <c r="B3465" s="2" t="s">
        <v>72</v>
      </c>
      <c r="C3465" s="8" t="s">
        <v>12</v>
      </c>
      <c r="D3465" s="4">
        <f>1815/(60*60*24)</f>
        <v>2.1006944444444446E-2</v>
      </c>
      <c r="E3465" s="3">
        <f>6277/(60*60*24)</f>
        <v>7.2650462962962958E-2</v>
      </c>
      <c r="F3465" s="5">
        <f>19973/(60*60*24)</f>
        <v>0.23116898148148149</v>
      </c>
      <c r="G3465" s="7" t="s">
        <v>9</v>
      </c>
    </row>
    <row r="3466" spans="1:7" x14ac:dyDescent="0.45">
      <c r="A3466" t="s">
        <v>3561</v>
      </c>
      <c r="B3466" s="2" t="s">
        <v>74</v>
      </c>
      <c r="C3466" s="8" t="s">
        <v>12</v>
      </c>
      <c r="D3466" s="4">
        <f>1876/(60*60*24)</f>
        <v>2.1712962962962962E-2</v>
      </c>
      <c r="E3466" s="3">
        <f>6319/(60*60*24)</f>
        <v>7.3136574074074076E-2</v>
      </c>
      <c r="F3466" s="5">
        <f>20199/(60*60*24)</f>
        <v>0.23378472222222221</v>
      </c>
      <c r="G3466" s="7" t="s">
        <v>9</v>
      </c>
    </row>
    <row r="3467" spans="1:7" x14ac:dyDescent="0.45">
      <c r="A3467" t="s">
        <v>3562</v>
      </c>
      <c r="B3467" s="2" t="s">
        <v>76</v>
      </c>
      <c r="C3467" s="8" t="s">
        <v>12</v>
      </c>
      <c r="D3467" s="4">
        <f>1986/(60*60*24)</f>
        <v>2.298611111111111E-2</v>
      </c>
      <c r="E3467" s="3">
        <f>6300/(60*60*24)</f>
        <v>7.2916666666666671E-2</v>
      </c>
      <c r="F3467" s="5">
        <f>20118/(60*60*24)</f>
        <v>0.23284722222222223</v>
      </c>
      <c r="G3467" s="7" t="s">
        <v>9</v>
      </c>
    </row>
    <row r="3468" spans="1:7" x14ac:dyDescent="0.45">
      <c r="A3468" t="s">
        <v>3563</v>
      </c>
      <c r="B3468" s="2" t="s">
        <v>80</v>
      </c>
      <c r="C3468" s="3">
        <f>6095/(60*60*24)</f>
        <v>7.0543981481481485E-2</v>
      </c>
      <c r="D3468" s="4">
        <f>1465/(60*60*24)</f>
        <v>1.695601851851852E-2</v>
      </c>
      <c r="E3468" s="5">
        <f>6116/(60*60*24)</f>
        <v>7.0787037037037037E-2</v>
      </c>
      <c r="F3468" s="6">
        <f>18968/(60*60*24)</f>
        <v>0.21953703703703703</v>
      </c>
      <c r="G3468" s="7" t="s">
        <v>9</v>
      </c>
    </row>
    <row r="3469" spans="1:7" x14ac:dyDescent="0.45">
      <c r="A3469" t="s">
        <v>3564</v>
      </c>
      <c r="B3469" s="2" t="s">
        <v>78</v>
      </c>
      <c r="C3469" s="8" t="s">
        <v>12</v>
      </c>
      <c r="D3469" s="4">
        <f>2055/(60*60*24)</f>
        <v>2.3784722222222221E-2</v>
      </c>
      <c r="E3469" s="3">
        <f>6185/(60*60*24)</f>
        <v>7.1585648148148148E-2</v>
      </c>
      <c r="F3469" s="5">
        <f>19646/(60*60*24)</f>
        <v>0.22738425925925926</v>
      </c>
      <c r="G3469" s="7" t="s">
        <v>9</v>
      </c>
    </row>
    <row r="3470" spans="1:7" x14ac:dyDescent="0.45">
      <c r="A3470" t="s">
        <v>3565</v>
      </c>
      <c r="B3470" s="2" t="s">
        <v>84</v>
      </c>
      <c r="C3470" s="5">
        <f>6225/(60*60*24)</f>
        <v>7.2048611111111105E-2</v>
      </c>
      <c r="D3470" s="4">
        <f>1463/(60*60*24)</f>
        <v>1.6932870370370369E-2</v>
      </c>
      <c r="E3470" s="3">
        <f>5849/(60*60*24)</f>
        <v>6.7696759259259262E-2</v>
      </c>
      <c r="F3470" s="6">
        <f>18390/(60*60*24)</f>
        <v>0.21284722222222222</v>
      </c>
      <c r="G3470" s="7" t="s">
        <v>9</v>
      </c>
    </row>
    <row r="3471" spans="1:7" x14ac:dyDescent="0.45">
      <c r="A3471" t="s">
        <v>3566</v>
      </c>
      <c r="B3471" s="2" t="s">
        <v>82</v>
      </c>
      <c r="C3471" s="5">
        <f>7851/(60*60*24)</f>
        <v>9.0868055555555549E-2</v>
      </c>
      <c r="D3471" s="4">
        <f>1422/(60*60*24)</f>
        <v>1.6458333333333332E-2</v>
      </c>
      <c r="E3471" s="3">
        <f>5699/(60*60*24)</f>
        <v>6.5960648148148143E-2</v>
      </c>
      <c r="F3471" s="6">
        <f>18050/(60*60*24)</f>
        <v>0.20891203703703703</v>
      </c>
      <c r="G3471" s="7" t="s">
        <v>9</v>
      </c>
    </row>
    <row r="3472" spans="1:7" x14ac:dyDescent="0.45">
      <c r="A3472" t="s">
        <v>3567</v>
      </c>
      <c r="B3472" s="2" t="s">
        <v>88</v>
      </c>
      <c r="C3472" s="8" t="s">
        <v>12</v>
      </c>
      <c r="D3472" s="4">
        <f>1306/(60*60*24)</f>
        <v>1.511574074074074E-2</v>
      </c>
      <c r="E3472" s="3">
        <f>5692/(60*60*24)</f>
        <v>6.5879629629629635E-2</v>
      </c>
      <c r="F3472" s="5">
        <f>17733/(60*60*24)</f>
        <v>0.20524305555555555</v>
      </c>
      <c r="G3472" s="7" t="s">
        <v>9</v>
      </c>
    </row>
    <row r="3473" spans="1:7" x14ac:dyDescent="0.45">
      <c r="A3473" t="s">
        <v>3568</v>
      </c>
      <c r="B3473" s="2" t="s">
        <v>86</v>
      </c>
      <c r="C3473" s="8" t="s">
        <v>12</v>
      </c>
      <c r="D3473" s="4">
        <f>1324/(60*60*24)</f>
        <v>1.5324074074074073E-2</v>
      </c>
      <c r="E3473" s="3">
        <f>5623/(60*60*24)</f>
        <v>6.5081018518518524E-2</v>
      </c>
      <c r="F3473" s="5">
        <f>17310/(60*60*24)</f>
        <v>0.20034722222222223</v>
      </c>
      <c r="G3473" s="7" t="s">
        <v>9</v>
      </c>
    </row>
    <row r="3474" spans="1:7" x14ac:dyDescent="0.45">
      <c r="A3474" t="s">
        <v>3569</v>
      </c>
      <c r="B3474" s="2" t="s">
        <v>90</v>
      </c>
      <c r="C3474" s="3">
        <f>4709/(60*60*24)</f>
        <v>5.4502314814814816E-2</v>
      </c>
      <c r="D3474" s="4">
        <f>1312/(60*60*24)</f>
        <v>1.5185185185185185E-2</v>
      </c>
      <c r="E3474" s="5">
        <f>5446/(60*60*24)</f>
        <v>6.3032407407407412E-2</v>
      </c>
      <c r="F3474" s="6">
        <f>17335/(60*60*24)</f>
        <v>0.20063657407407406</v>
      </c>
      <c r="G3474" s="7" t="s">
        <v>9</v>
      </c>
    </row>
    <row r="3475" spans="1:7" x14ac:dyDescent="0.45">
      <c r="A3475" t="s">
        <v>3570</v>
      </c>
      <c r="B3475" s="2" t="s">
        <v>92</v>
      </c>
      <c r="C3475" s="3">
        <f>4993/(60*60*24)</f>
        <v>5.7789351851851849E-2</v>
      </c>
      <c r="D3475" s="4">
        <f>1432/(60*60*24)</f>
        <v>1.6574074074074074E-2</v>
      </c>
      <c r="E3475" s="5">
        <f>5675/(60*60*24)</f>
        <v>6.5682870370370364E-2</v>
      </c>
      <c r="F3475" s="6">
        <f>17293/(60*60*24)</f>
        <v>0.20015046296296296</v>
      </c>
      <c r="G3475" s="7" t="s">
        <v>9</v>
      </c>
    </row>
    <row r="3476" spans="1:7" x14ac:dyDescent="0.45">
      <c r="A3476" t="s">
        <v>3571</v>
      </c>
      <c r="B3476" s="2" t="s">
        <v>94</v>
      </c>
      <c r="C3476" s="5">
        <f>7148/(60*60*24)</f>
        <v>8.2731481481481475E-2</v>
      </c>
      <c r="D3476" s="4">
        <f>1397/(60*60*24)</f>
        <v>1.6168981481481482E-2</v>
      </c>
      <c r="E3476" s="3">
        <f>5741/(60*60*24)</f>
        <v>6.6446759259259261E-2</v>
      </c>
      <c r="F3476" s="6">
        <f>17202/(60*60*24)</f>
        <v>0.19909722222222223</v>
      </c>
      <c r="G3476" s="7" t="s">
        <v>9</v>
      </c>
    </row>
    <row r="3477" spans="1:7" x14ac:dyDescent="0.45">
      <c r="A3477" t="s">
        <v>3572</v>
      </c>
      <c r="B3477" s="2" t="s">
        <v>96</v>
      </c>
      <c r="C3477" s="8" t="s">
        <v>12</v>
      </c>
      <c r="D3477" s="4">
        <f>1516/(60*60*24)</f>
        <v>1.7546296296296296E-2</v>
      </c>
      <c r="E3477" s="3">
        <f>5774/(60*60*24)</f>
        <v>6.682870370370371E-2</v>
      </c>
      <c r="F3477" s="5">
        <f>17409/(60*60*24)</f>
        <v>0.20149305555555555</v>
      </c>
      <c r="G3477" s="7" t="s">
        <v>9</v>
      </c>
    </row>
    <row r="3478" spans="1:7" x14ac:dyDescent="0.45">
      <c r="A3478" t="s">
        <v>3573</v>
      </c>
      <c r="B3478" s="2" t="s">
        <v>98</v>
      </c>
      <c r="C3478" s="8" t="s">
        <v>12</v>
      </c>
      <c r="D3478" s="4">
        <f>1626/(60*60*24)</f>
        <v>1.8819444444444444E-2</v>
      </c>
      <c r="E3478" s="3">
        <f>5890/(60*60*24)</f>
        <v>6.8171296296296299E-2</v>
      </c>
      <c r="F3478" s="5">
        <f>17820/(60*60*24)</f>
        <v>0.20624999999999999</v>
      </c>
      <c r="G3478" s="7" t="s">
        <v>9</v>
      </c>
    </row>
    <row r="3479" spans="1:7" x14ac:dyDescent="0.45">
      <c r="A3479" t="s">
        <v>3574</v>
      </c>
      <c r="B3479" s="2" t="s">
        <v>100</v>
      </c>
      <c r="C3479" s="8" t="s">
        <v>12</v>
      </c>
      <c r="D3479" s="4">
        <f>1700/(60*60*24)</f>
        <v>1.9675925925925927E-2</v>
      </c>
      <c r="E3479" s="3">
        <f>5976/(60*60*24)</f>
        <v>6.9166666666666668E-2</v>
      </c>
      <c r="F3479" s="5">
        <f>17282/(60*60*24)</f>
        <v>0.20002314814814814</v>
      </c>
      <c r="G3479" s="7" t="s">
        <v>9</v>
      </c>
    </row>
    <row r="3480" spans="1:7" x14ac:dyDescent="0.45">
      <c r="A3480" t="s">
        <v>3575</v>
      </c>
      <c r="B3480" s="2" t="s">
        <v>104</v>
      </c>
      <c r="C3480" s="8" t="s">
        <v>12</v>
      </c>
      <c r="D3480" s="4">
        <f>1879/(60*60*24)</f>
        <v>2.1747685185185186E-2</v>
      </c>
      <c r="E3480" s="3">
        <f>6364/(60*60*24)</f>
        <v>7.3657407407407408E-2</v>
      </c>
      <c r="F3480" s="5">
        <f>17466/(60*60*24)</f>
        <v>0.20215277777777776</v>
      </c>
      <c r="G3480" s="7" t="s">
        <v>9</v>
      </c>
    </row>
    <row r="3481" spans="1:7" x14ac:dyDescent="0.45">
      <c r="A3481" t="s">
        <v>3576</v>
      </c>
      <c r="B3481" s="2" t="s">
        <v>102</v>
      </c>
      <c r="C3481" s="8" t="s">
        <v>12</v>
      </c>
      <c r="D3481" s="4">
        <f>1943/(60*60*24)</f>
        <v>2.2488425925925926E-2</v>
      </c>
      <c r="E3481" s="3">
        <f>5134/(60*60*24)</f>
        <v>5.9421296296296298E-2</v>
      </c>
      <c r="F3481" s="5">
        <f>16891/(60*60*24)</f>
        <v>0.19549768518518518</v>
      </c>
      <c r="G3481" s="7" t="s">
        <v>9</v>
      </c>
    </row>
    <row r="3482" spans="1:7" x14ac:dyDescent="0.45">
      <c r="A3482" t="s">
        <v>3577</v>
      </c>
      <c r="B3482" s="2" t="s">
        <v>106</v>
      </c>
      <c r="C3482" s="8" t="s">
        <v>12</v>
      </c>
      <c r="D3482" s="4">
        <f>1802/(60*60*24)</f>
        <v>2.0856481481481483E-2</v>
      </c>
      <c r="E3482" s="3">
        <f>4984/(60*60*24)</f>
        <v>5.7685185185185187E-2</v>
      </c>
      <c r="F3482" s="5">
        <f>16976/(60*60*24)</f>
        <v>0.19648148148148148</v>
      </c>
      <c r="G3482" s="7" t="s">
        <v>9</v>
      </c>
    </row>
    <row r="3483" spans="1:7" x14ac:dyDescent="0.45">
      <c r="A3483" t="s">
        <v>3578</v>
      </c>
      <c r="B3483" s="2" t="s">
        <v>108</v>
      </c>
      <c r="C3483" s="8" t="s">
        <v>12</v>
      </c>
      <c r="D3483" s="4">
        <f>2009/(60*60*24)</f>
        <v>2.3252314814814816E-2</v>
      </c>
      <c r="E3483" s="3">
        <f>4991/(60*60*24)</f>
        <v>5.7766203703703702E-2</v>
      </c>
      <c r="F3483" s="5">
        <f>16852/(60*60*24)</f>
        <v>0.1950462962962963</v>
      </c>
      <c r="G3483" s="7" t="s">
        <v>9</v>
      </c>
    </row>
    <row r="3484" spans="1:7" x14ac:dyDescent="0.45">
      <c r="A3484" t="s">
        <v>3579</v>
      </c>
      <c r="B3484" s="2" t="s">
        <v>110</v>
      </c>
      <c r="C3484" s="8" t="s">
        <v>12</v>
      </c>
      <c r="D3484" s="4">
        <f>2014/(60*60*24)</f>
        <v>2.3310185185185184E-2</v>
      </c>
      <c r="E3484" s="3">
        <f>5020/(60*60*24)</f>
        <v>5.8101851851851849E-2</v>
      </c>
      <c r="F3484" s="5">
        <f>17647/(60*60*24)</f>
        <v>0.20424768518518518</v>
      </c>
      <c r="G3484" s="7" t="s">
        <v>9</v>
      </c>
    </row>
    <row r="3485" spans="1:7" x14ac:dyDescent="0.45">
      <c r="A3485" t="s">
        <v>3580</v>
      </c>
      <c r="B3485" s="2" t="s">
        <v>112</v>
      </c>
      <c r="C3485" s="8" t="s">
        <v>12</v>
      </c>
      <c r="D3485" s="4">
        <f>2129/(60*60*24)</f>
        <v>2.4641203703703703E-2</v>
      </c>
      <c r="E3485" s="3">
        <f>5054/(60*60*24)</f>
        <v>5.8495370370370371E-2</v>
      </c>
      <c r="F3485" s="5">
        <f>17701/(60*60*24)</f>
        <v>0.20487268518518517</v>
      </c>
      <c r="G3485" s="7" t="s">
        <v>9</v>
      </c>
    </row>
    <row r="3486" spans="1:7" x14ac:dyDescent="0.45">
      <c r="A3486" t="s">
        <v>3581</v>
      </c>
      <c r="B3486" s="2" t="s">
        <v>114</v>
      </c>
      <c r="C3486" s="5">
        <f>6580/(60*60*24)</f>
        <v>7.615740740740741E-2</v>
      </c>
      <c r="D3486" s="4">
        <f>2028/(60*60*24)</f>
        <v>2.3472222222222221E-2</v>
      </c>
      <c r="E3486" s="3">
        <f>5277/(60*60*24)</f>
        <v>6.1076388888888888E-2</v>
      </c>
      <c r="F3486" s="6">
        <f>18062/(60*60*24)</f>
        <v>0.20905092592592592</v>
      </c>
      <c r="G3486" s="7" t="s">
        <v>9</v>
      </c>
    </row>
    <row r="3487" spans="1:7" x14ac:dyDescent="0.45">
      <c r="A3487" t="s">
        <v>3582</v>
      </c>
      <c r="B3487" s="2" t="s">
        <v>116</v>
      </c>
      <c r="C3487" s="5">
        <f>6249/(60*60*24)</f>
        <v>7.2326388888888885E-2</v>
      </c>
      <c r="D3487" s="4">
        <f>1990/(60*60*24)</f>
        <v>2.3032407407407408E-2</v>
      </c>
      <c r="E3487" s="3">
        <f>5260/(60*60*24)</f>
        <v>6.0879629629629631E-2</v>
      </c>
      <c r="F3487" s="6">
        <f>17641/(60*60*24)</f>
        <v>0.20417824074074073</v>
      </c>
      <c r="G3487" s="7" t="s">
        <v>9</v>
      </c>
    </row>
    <row r="3488" spans="1:7" x14ac:dyDescent="0.45">
      <c r="A3488" t="s">
        <v>3583</v>
      </c>
      <c r="B3488" s="2" t="s">
        <v>118</v>
      </c>
      <c r="C3488" s="5">
        <f>5834/(60*60*24)</f>
        <v>6.7523148148148152E-2</v>
      </c>
      <c r="D3488" s="4">
        <f>1951/(60*60*24)</f>
        <v>2.2581018518518518E-2</v>
      </c>
      <c r="E3488" s="3">
        <f>5569/(60*60*24)</f>
        <v>6.4456018518518524E-2</v>
      </c>
      <c r="F3488" s="6">
        <f>18124/(60*60*24)</f>
        <v>0.20976851851851852</v>
      </c>
      <c r="G3488" s="7" t="s">
        <v>9</v>
      </c>
    </row>
    <row r="3489" spans="1:7" x14ac:dyDescent="0.45">
      <c r="A3489" t="s">
        <v>3584</v>
      </c>
      <c r="B3489" s="2" t="s">
        <v>120</v>
      </c>
      <c r="C3489" s="5">
        <f>5774/(60*60*24)</f>
        <v>6.682870370370371E-2</v>
      </c>
      <c r="D3489" s="4">
        <f>1994/(60*60*24)</f>
        <v>2.3078703703703702E-2</v>
      </c>
      <c r="E3489" s="3">
        <f>5521/(60*60*24)</f>
        <v>6.3900462962962964E-2</v>
      </c>
      <c r="F3489" s="6">
        <f>18759/(60*60*24)</f>
        <v>0.21711805555555555</v>
      </c>
      <c r="G3489" s="7" t="s">
        <v>9</v>
      </c>
    </row>
    <row r="3490" spans="1:7" x14ac:dyDescent="0.45">
      <c r="A3490" t="s">
        <v>3585</v>
      </c>
      <c r="B3490" s="2" t="s">
        <v>124</v>
      </c>
      <c r="C3490" s="5">
        <f>5985/(60*60*24)</f>
        <v>6.9270833333333337E-2</v>
      </c>
      <c r="D3490" s="4">
        <f>2084/(60*60*24)</f>
        <v>2.4120370370370372E-2</v>
      </c>
      <c r="E3490" s="3">
        <f>5821/(60*60*24)</f>
        <v>6.7372685185185188E-2</v>
      </c>
      <c r="F3490" s="6">
        <f>19218/(60*60*24)</f>
        <v>0.22243055555555555</v>
      </c>
      <c r="G3490" s="7" t="s">
        <v>9</v>
      </c>
    </row>
    <row r="3491" spans="1:7" x14ac:dyDescent="0.45">
      <c r="A3491" t="s">
        <v>3586</v>
      </c>
      <c r="B3491" s="2" t="s">
        <v>122</v>
      </c>
      <c r="C3491" s="5">
        <f>9511/(60*60*24)</f>
        <v>0.11008101851851852</v>
      </c>
      <c r="D3491" s="4">
        <f>1940/(60*60*24)</f>
        <v>2.2453703703703705E-2</v>
      </c>
      <c r="E3491" s="3">
        <f>5877/(60*60*24)</f>
        <v>6.8020833333333336E-2</v>
      </c>
      <c r="F3491" s="6">
        <f>19426/(60*60*24)</f>
        <v>0.22483796296296296</v>
      </c>
      <c r="G3491" s="7" t="s">
        <v>9</v>
      </c>
    </row>
    <row r="3492" spans="1:7" x14ac:dyDescent="0.45">
      <c r="A3492" t="s">
        <v>3587</v>
      </c>
      <c r="B3492" s="2" t="s">
        <v>128</v>
      </c>
      <c r="C3492" s="5">
        <f>9780/(60*60*24)</f>
        <v>0.11319444444444444</v>
      </c>
      <c r="D3492" s="4">
        <f>2038/(60*60*24)</f>
        <v>2.3587962962962963E-2</v>
      </c>
      <c r="E3492" s="3">
        <f>5807/(60*60*24)</f>
        <v>6.7210648148148144E-2</v>
      </c>
      <c r="F3492" s="6">
        <f>20516/(60*60*24)</f>
        <v>0.23745370370370369</v>
      </c>
      <c r="G3492" s="7" t="s">
        <v>9</v>
      </c>
    </row>
    <row r="3493" spans="1:7" x14ac:dyDescent="0.45">
      <c r="A3493" t="s">
        <v>3588</v>
      </c>
      <c r="B3493" s="2" t="s">
        <v>126</v>
      </c>
      <c r="C3493" s="8" t="s">
        <v>12</v>
      </c>
      <c r="D3493" s="4">
        <f>2031/(60*60*24)</f>
        <v>2.3506944444444445E-2</v>
      </c>
      <c r="E3493" s="3">
        <f>5641/(60*60*24)</f>
        <v>6.5289351851851848E-2</v>
      </c>
      <c r="F3493" s="5">
        <f>19919/(60*60*24)</f>
        <v>0.23054398148148147</v>
      </c>
      <c r="G3493" s="7" t="s">
        <v>9</v>
      </c>
    </row>
    <row r="3494" spans="1:7" x14ac:dyDescent="0.45">
      <c r="A3494" t="s">
        <v>3589</v>
      </c>
      <c r="B3494" s="2" t="s">
        <v>130</v>
      </c>
      <c r="C3494" s="8" t="s">
        <v>12</v>
      </c>
      <c r="D3494" s="4">
        <f>2187/(60*60*24)</f>
        <v>2.5312500000000002E-2</v>
      </c>
      <c r="E3494" s="3">
        <f>6141/(60*60*24)</f>
        <v>7.1076388888888883E-2</v>
      </c>
      <c r="F3494" s="5">
        <f>21151/(60*60*24)</f>
        <v>0.24480324074074075</v>
      </c>
      <c r="G3494" s="7" t="s">
        <v>9</v>
      </c>
    </row>
    <row r="3495" spans="1:7" x14ac:dyDescent="0.45">
      <c r="A3495" t="s">
        <v>3590</v>
      </c>
      <c r="B3495" s="2" t="s">
        <v>132</v>
      </c>
      <c r="C3495" s="8" t="s">
        <v>12</v>
      </c>
      <c r="D3495" s="4">
        <f>2219/(60*60*24)</f>
        <v>2.568287037037037E-2</v>
      </c>
      <c r="E3495" s="3">
        <f>6625/(60*60*24)</f>
        <v>7.6678240740740741E-2</v>
      </c>
      <c r="F3495" s="5">
        <f>21710/(60*60*24)</f>
        <v>0.25127314814814816</v>
      </c>
      <c r="G3495" s="7" t="s">
        <v>9</v>
      </c>
    </row>
    <row r="3496" spans="1:7" x14ac:dyDescent="0.45">
      <c r="A3496" t="s">
        <v>3591</v>
      </c>
      <c r="B3496" s="2" t="s">
        <v>136</v>
      </c>
      <c r="C3496" s="8" t="s">
        <v>12</v>
      </c>
      <c r="D3496" s="4">
        <f>2454/(60*60*24)</f>
        <v>2.8402777777777777E-2</v>
      </c>
      <c r="E3496" s="3">
        <f>6348/(60*60*24)</f>
        <v>7.3472222222222217E-2</v>
      </c>
      <c r="F3496" s="5">
        <f>21634/(60*60*24)</f>
        <v>0.25039351851851854</v>
      </c>
      <c r="G3496" s="7" t="s">
        <v>9</v>
      </c>
    </row>
    <row r="3497" spans="1:7" x14ac:dyDescent="0.45">
      <c r="A3497" t="s">
        <v>3592</v>
      </c>
      <c r="B3497" s="2" t="s">
        <v>134</v>
      </c>
      <c r="C3497" s="8" t="s">
        <v>12</v>
      </c>
      <c r="D3497" s="4">
        <f>2261/(60*60*24)</f>
        <v>2.6168981481481481E-2</v>
      </c>
      <c r="E3497" s="3">
        <f>6349/(60*60*24)</f>
        <v>7.3483796296296297E-2</v>
      </c>
      <c r="F3497" s="5">
        <f>21816/(60*60*24)</f>
        <v>0.2525</v>
      </c>
      <c r="G3497" s="7" t="s">
        <v>9</v>
      </c>
    </row>
    <row r="3498" spans="1:7" x14ac:dyDescent="0.45">
      <c r="A3498" t="s">
        <v>3593</v>
      </c>
      <c r="B3498" s="2" t="s">
        <v>138</v>
      </c>
      <c r="C3498" s="8" t="s">
        <v>12</v>
      </c>
      <c r="D3498" s="4">
        <f>2450/(60*60*24)</f>
        <v>2.8356481481481483E-2</v>
      </c>
      <c r="E3498" s="3">
        <f>6260/(60*60*24)</f>
        <v>7.2453703703703701E-2</v>
      </c>
      <c r="F3498" s="5">
        <f>22905/(60*60*24)</f>
        <v>0.26510416666666664</v>
      </c>
      <c r="G3498" s="7" t="s">
        <v>9</v>
      </c>
    </row>
    <row r="3499" spans="1:7" x14ac:dyDescent="0.45">
      <c r="A3499" t="s">
        <v>3594</v>
      </c>
      <c r="B3499" s="2" t="s">
        <v>140</v>
      </c>
      <c r="C3499" s="8" t="s">
        <v>12</v>
      </c>
      <c r="D3499" s="4">
        <f>2696/(60*60*24)</f>
        <v>3.1203703703703702E-2</v>
      </c>
      <c r="E3499" s="3">
        <f>6711/(60*60*24)</f>
        <v>7.767361111111111E-2</v>
      </c>
      <c r="F3499" s="5">
        <f>23600/(60*60*24)</f>
        <v>0.27314814814814814</v>
      </c>
      <c r="G3499" s="7" t="s">
        <v>9</v>
      </c>
    </row>
    <row r="3500" spans="1:7" x14ac:dyDescent="0.45">
      <c r="A3500" t="s">
        <v>3595</v>
      </c>
      <c r="B3500" s="2" t="s">
        <v>142</v>
      </c>
      <c r="C3500" s="3">
        <f>5086/(60*60*24)</f>
        <v>5.8865740740740739E-2</v>
      </c>
      <c r="D3500" s="4">
        <f>2689/(60*60*24)</f>
        <v>3.1122685185185184E-2</v>
      </c>
      <c r="E3500" s="5">
        <f>6878/(60*60*24)</f>
        <v>7.9606481481481486E-2</v>
      </c>
      <c r="F3500" s="6">
        <f>23830/(60*60*24)</f>
        <v>0.27581018518518519</v>
      </c>
      <c r="G3500" s="7" t="s">
        <v>9</v>
      </c>
    </row>
    <row r="3501" spans="1:7" x14ac:dyDescent="0.45">
      <c r="A3501" t="s">
        <v>3596</v>
      </c>
      <c r="B3501" s="2" t="s">
        <v>144</v>
      </c>
      <c r="C3501" s="3">
        <f>5137/(60*60*24)</f>
        <v>5.9456018518518519E-2</v>
      </c>
      <c r="D3501" s="4">
        <f>2768/(60*60*24)</f>
        <v>3.2037037037037037E-2</v>
      </c>
      <c r="E3501" s="5">
        <f>6967/(60*60*24)</f>
        <v>8.0636574074074069E-2</v>
      </c>
      <c r="F3501" s="6">
        <f>24243/(60*60*24)</f>
        <v>0.28059027777777779</v>
      </c>
      <c r="G3501" s="7" t="s">
        <v>9</v>
      </c>
    </row>
    <row r="3502" spans="1:7" x14ac:dyDescent="0.45">
      <c r="A3502" t="s">
        <v>3597</v>
      </c>
      <c r="B3502" s="2" t="s">
        <v>146</v>
      </c>
      <c r="C3502" s="3">
        <f>5189/(60*60*24)</f>
        <v>6.0057870370370373E-2</v>
      </c>
      <c r="D3502" s="4">
        <f>2858/(60*60*24)</f>
        <v>3.30787037037037E-2</v>
      </c>
      <c r="E3502" s="5">
        <f>7485/(60*60*24)</f>
        <v>8.6631944444444442E-2</v>
      </c>
      <c r="F3502" s="6">
        <f>24697/(60*60*24)</f>
        <v>0.28584490740740742</v>
      </c>
      <c r="G3502" s="7" t="s">
        <v>9</v>
      </c>
    </row>
    <row r="3503" spans="1:7" x14ac:dyDescent="0.45">
      <c r="A3503" t="s">
        <v>3598</v>
      </c>
      <c r="B3503" s="2" t="s">
        <v>148</v>
      </c>
      <c r="C3503" s="3">
        <f>5104/(60*60*24)</f>
        <v>5.9074074074074077E-2</v>
      </c>
      <c r="D3503" s="4">
        <f>2857/(60*60*24)</f>
        <v>3.3067129629629627E-2</v>
      </c>
      <c r="E3503" s="5">
        <f>7843/(60*60*24)</f>
        <v>9.0775462962962961E-2</v>
      </c>
      <c r="F3503" s="6">
        <f>25317/(60*60*24)</f>
        <v>0.29302083333333334</v>
      </c>
      <c r="G3503" s="7" t="s">
        <v>9</v>
      </c>
    </row>
    <row r="3504" spans="1:7" x14ac:dyDescent="0.45">
      <c r="A3504" t="s">
        <v>3599</v>
      </c>
      <c r="B3504" s="2" t="s">
        <v>150</v>
      </c>
      <c r="C3504" s="3">
        <f>4942/(60*60*24)</f>
        <v>5.7199074074074076E-2</v>
      </c>
      <c r="D3504" s="4">
        <f>2845/(60*60*24)</f>
        <v>3.2928240740740744E-2</v>
      </c>
      <c r="E3504" s="5">
        <f>7863/(60*60*24)</f>
        <v>9.1006944444444446E-2</v>
      </c>
      <c r="F3504" s="6">
        <f>26273/(60*60*24)</f>
        <v>0.30408564814814815</v>
      </c>
      <c r="G3504" s="7" t="s">
        <v>9</v>
      </c>
    </row>
    <row r="3505" spans="1:7" x14ac:dyDescent="0.45">
      <c r="A3505" t="s">
        <v>3600</v>
      </c>
      <c r="B3505" s="2" t="s">
        <v>152</v>
      </c>
      <c r="C3505" s="8" t="s">
        <v>12</v>
      </c>
      <c r="D3505" s="4">
        <f>2900/(60*60*24)</f>
        <v>3.3564814814814818E-2</v>
      </c>
      <c r="E3505" s="3">
        <f>7833/(60*60*24)</f>
        <v>9.0659722222222225E-2</v>
      </c>
      <c r="F3505" s="5">
        <f>26880/(60*60*24)</f>
        <v>0.31111111111111112</v>
      </c>
      <c r="G3505" s="7" t="s">
        <v>9</v>
      </c>
    </row>
    <row r="3506" spans="1:7" x14ac:dyDescent="0.45">
      <c r="A3506" t="s">
        <v>3601</v>
      </c>
      <c r="B3506" s="2" t="s">
        <v>154</v>
      </c>
      <c r="C3506" s="8" t="s">
        <v>12</v>
      </c>
      <c r="D3506" s="4">
        <f>3066/(60*60*24)</f>
        <v>3.5486111111111114E-2</v>
      </c>
      <c r="E3506" s="3">
        <f>7984/(60*60*24)</f>
        <v>9.240740740740741E-2</v>
      </c>
      <c r="F3506" s="5">
        <f>27480/(60*60*24)</f>
        <v>0.31805555555555554</v>
      </c>
      <c r="G3506" s="7" t="s">
        <v>9</v>
      </c>
    </row>
    <row r="3507" spans="1:7" x14ac:dyDescent="0.45">
      <c r="A3507" t="s">
        <v>3602</v>
      </c>
      <c r="B3507" s="2" t="s">
        <v>156</v>
      </c>
      <c r="C3507" s="8" t="s">
        <v>12</v>
      </c>
      <c r="D3507" s="4">
        <f>3060/(60*60*24)</f>
        <v>3.5416666666666666E-2</v>
      </c>
      <c r="E3507" s="3">
        <f>9480/(60*60*24)</f>
        <v>0.10972222222222222</v>
      </c>
      <c r="F3507" s="5">
        <f>32481/(60*60*24)</f>
        <v>0.37593749999999998</v>
      </c>
      <c r="G3507" s="7" t="s">
        <v>9</v>
      </c>
    </row>
    <row r="3508" spans="1:7" x14ac:dyDescent="0.45">
      <c r="A3508" t="s">
        <v>3603</v>
      </c>
      <c r="B3508" s="2" t="s">
        <v>160</v>
      </c>
      <c r="C3508" s="8" t="s">
        <v>12</v>
      </c>
      <c r="D3508" s="4">
        <f>3197/(60*60*24)</f>
        <v>3.7002314814814814E-2</v>
      </c>
      <c r="E3508" s="3">
        <f>9212/(60*60*24)</f>
        <v>0.10662037037037037</v>
      </c>
      <c r="F3508" s="5">
        <f>31839/(60*60*24)</f>
        <v>0.36850694444444443</v>
      </c>
      <c r="G3508" s="7" t="s">
        <v>9</v>
      </c>
    </row>
    <row r="3509" spans="1:7" x14ac:dyDescent="0.45">
      <c r="A3509" t="s">
        <v>3604</v>
      </c>
      <c r="B3509" s="2" t="s">
        <v>158</v>
      </c>
      <c r="C3509" s="8" t="s">
        <v>12</v>
      </c>
      <c r="D3509" s="4">
        <f>3525/(60*60*24)</f>
        <v>4.0798611111111112E-2</v>
      </c>
      <c r="E3509" s="3">
        <f>8754/(60*60*24)</f>
        <v>0.10131944444444445</v>
      </c>
      <c r="F3509" s="5">
        <f>31047/(60*60*24)</f>
        <v>0.35934027777777777</v>
      </c>
      <c r="G3509" s="7" t="s">
        <v>9</v>
      </c>
    </row>
    <row r="3510" spans="1:7" x14ac:dyDescent="0.45">
      <c r="A3510" t="s">
        <v>3605</v>
      </c>
      <c r="B3510" s="2" t="s">
        <v>164</v>
      </c>
      <c r="C3510" s="3">
        <f>6816/(60*60*24)</f>
        <v>7.8888888888888883E-2</v>
      </c>
      <c r="D3510" s="4">
        <f>3237/(60*60*24)</f>
        <v>3.7465277777777778E-2</v>
      </c>
      <c r="E3510" s="5">
        <f>9338/(60*60*24)</f>
        <v>0.1080787037037037</v>
      </c>
      <c r="F3510" s="6">
        <f>31437/(60*60*24)</f>
        <v>0.36385416666666665</v>
      </c>
      <c r="G3510" s="7" t="s">
        <v>9</v>
      </c>
    </row>
    <row r="3511" spans="1:7" x14ac:dyDescent="0.45">
      <c r="A3511" t="s">
        <v>3606</v>
      </c>
      <c r="B3511" s="2" t="s">
        <v>162</v>
      </c>
      <c r="C3511" s="8" t="s">
        <v>12</v>
      </c>
      <c r="D3511" s="4">
        <f>3292/(60*60*24)</f>
        <v>3.8101851851851852E-2</v>
      </c>
      <c r="E3511" s="3">
        <f>9404/(60*60*24)</f>
        <v>0.10884259259259259</v>
      </c>
      <c r="F3511" s="5">
        <f>31771/(60*60*24)</f>
        <v>0.3677199074074074</v>
      </c>
      <c r="G3511" s="7" t="s">
        <v>9</v>
      </c>
    </row>
    <row r="3512" spans="1:7" x14ac:dyDescent="0.45">
      <c r="A3512" t="s">
        <v>3607</v>
      </c>
      <c r="B3512" s="2" t="s">
        <v>168</v>
      </c>
      <c r="C3512" s="3">
        <f>7699/(60*60*24)</f>
        <v>8.9108796296296297E-2</v>
      </c>
      <c r="D3512" s="4">
        <f>3374/(60*60*24)</f>
        <v>3.9050925925925926E-2</v>
      </c>
      <c r="E3512" s="5">
        <f>9399/(60*60*24)</f>
        <v>0.10878472222222223</v>
      </c>
      <c r="F3512" s="6">
        <f>32297/(60*60*24)</f>
        <v>0.37380787037037039</v>
      </c>
      <c r="G3512" s="7" t="s">
        <v>9</v>
      </c>
    </row>
    <row r="3513" spans="1:7" x14ac:dyDescent="0.45">
      <c r="A3513" t="s">
        <v>3608</v>
      </c>
      <c r="B3513" s="2" t="s">
        <v>166</v>
      </c>
      <c r="C3513" s="8" t="s">
        <v>12</v>
      </c>
      <c r="D3513" s="4">
        <f>3348/(60*60*24)</f>
        <v>3.875E-2</v>
      </c>
      <c r="E3513" s="3">
        <f>9927/(60*60*24)</f>
        <v>0.11489583333333334</v>
      </c>
      <c r="F3513" s="5">
        <f>33602/(60*60*24)</f>
        <v>0.38891203703703703</v>
      </c>
      <c r="G3513" s="7" t="s">
        <v>9</v>
      </c>
    </row>
    <row r="3514" spans="1:7" x14ac:dyDescent="0.45">
      <c r="A3514" t="s">
        <v>3609</v>
      </c>
      <c r="B3514" s="2" t="s">
        <v>170</v>
      </c>
      <c r="C3514" s="8" t="s">
        <v>12</v>
      </c>
      <c r="D3514" s="4">
        <f>3429/(60*60*24)</f>
        <v>3.9687500000000001E-2</v>
      </c>
      <c r="E3514" s="3">
        <f>10742/(60*60*24)</f>
        <v>0.12432870370370371</v>
      </c>
      <c r="F3514" s="5">
        <f>35110/(60*60*24)</f>
        <v>0.40636574074074072</v>
      </c>
      <c r="G3514" s="7" t="s">
        <v>9</v>
      </c>
    </row>
    <row r="3515" spans="1:7" x14ac:dyDescent="0.45">
      <c r="A3515" t="s">
        <v>3610</v>
      </c>
      <c r="B3515" s="2" t="s">
        <v>172</v>
      </c>
      <c r="C3515" s="8" t="s">
        <v>12</v>
      </c>
      <c r="D3515" s="4">
        <f>3354/(60*60*24)</f>
        <v>3.8819444444444441E-2</v>
      </c>
      <c r="E3515" s="3">
        <f>10530/(60*60*24)</f>
        <v>0.121875</v>
      </c>
      <c r="F3515" s="5">
        <f>34984/(60*60*24)</f>
        <v>0.40490740740740738</v>
      </c>
      <c r="G3515" s="7" t="s">
        <v>9</v>
      </c>
    </row>
    <row r="3516" spans="1:7" x14ac:dyDescent="0.45">
      <c r="A3516" t="s">
        <v>3611</v>
      </c>
      <c r="B3516" s="2" t="s">
        <v>176</v>
      </c>
      <c r="C3516" s="3">
        <f>8460/(60*60*24)</f>
        <v>9.7916666666666666E-2</v>
      </c>
      <c r="D3516" s="4">
        <f>3434/(60*60*24)</f>
        <v>3.9745370370370368E-2</v>
      </c>
      <c r="E3516" s="5">
        <f>10682/(60*60*24)</f>
        <v>0.12363425925925926</v>
      </c>
      <c r="F3516" s="6">
        <f>35784/(60*60*24)</f>
        <v>0.41416666666666668</v>
      </c>
      <c r="G3516" s="7" t="s">
        <v>9</v>
      </c>
    </row>
    <row r="3517" spans="1:7" x14ac:dyDescent="0.45">
      <c r="A3517" t="s">
        <v>3612</v>
      </c>
      <c r="B3517" s="2" t="s">
        <v>174</v>
      </c>
      <c r="C3517" s="8" t="s">
        <v>12</v>
      </c>
      <c r="D3517" s="4">
        <f>3466/(60*60*24)</f>
        <v>4.0115740740740743E-2</v>
      </c>
      <c r="E3517" s="3">
        <f>10903/(60*60*24)</f>
        <v>0.12619212962962964</v>
      </c>
      <c r="F3517" s="5">
        <f>36272/(60*60*24)</f>
        <v>0.41981481481481481</v>
      </c>
      <c r="G3517" s="7" t="s">
        <v>9</v>
      </c>
    </row>
    <row r="3518" spans="1:7" x14ac:dyDescent="0.45">
      <c r="A3518" t="s">
        <v>3613</v>
      </c>
      <c r="B3518" s="2" t="s">
        <v>180</v>
      </c>
      <c r="C3518" s="8" t="s">
        <v>12</v>
      </c>
      <c r="D3518" s="4">
        <f>3474/(60*60*24)</f>
        <v>4.0208333333333332E-2</v>
      </c>
      <c r="E3518" s="3">
        <f>11141/(60*60*24)</f>
        <v>0.12894675925925925</v>
      </c>
      <c r="F3518" s="5">
        <f>36959/(60*60*24)</f>
        <v>0.42776620370370372</v>
      </c>
      <c r="G3518" s="7" t="s">
        <v>9</v>
      </c>
    </row>
    <row r="3519" spans="1:7" x14ac:dyDescent="0.45">
      <c r="A3519" t="s">
        <v>3614</v>
      </c>
      <c r="B3519" s="2" t="s">
        <v>178</v>
      </c>
      <c r="C3519" s="8" t="s">
        <v>12</v>
      </c>
      <c r="D3519" s="4">
        <f>3649/(60*60*24)</f>
        <v>4.2233796296296297E-2</v>
      </c>
      <c r="E3519" s="3">
        <f>11624/(60*60*24)</f>
        <v>0.13453703703703704</v>
      </c>
      <c r="F3519" s="5">
        <f>38217/(60*60*24)</f>
        <v>0.44232638888888887</v>
      </c>
      <c r="G3519" s="7" t="s">
        <v>9</v>
      </c>
    </row>
    <row r="3520" spans="1:7" x14ac:dyDescent="0.45">
      <c r="A3520" t="s">
        <v>3615</v>
      </c>
      <c r="B3520" s="2" t="s">
        <v>184</v>
      </c>
      <c r="C3520" s="3">
        <f>6700/(60*60*24)</f>
        <v>7.7546296296296294E-2</v>
      </c>
      <c r="D3520" s="4">
        <f>3760/(60*60*24)</f>
        <v>4.3518518518518519E-2</v>
      </c>
      <c r="E3520" s="5">
        <f>12168/(60*60*24)</f>
        <v>0.14083333333333334</v>
      </c>
      <c r="F3520" s="6">
        <f>38614/(60*60*24)</f>
        <v>0.44692129629629629</v>
      </c>
      <c r="G3520" s="7" t="s">
        <v>9</v>
      </c>
    </row>
    <row r="3521" spans="1:7" x14ac:dyDescent="0.45">
      <c r="A3521" t="s">
        <v>3616</v>
      </c>
      <c r="B3521" s="2" t="s">
        <v>182</v>
      </c>
      <c r="C3521" s="8" t="s">
        <v>12</v>
      </c>
      <c r="D3521" s="4">
        <f>3862/(60*60*24)</f>
        <v>4.4699074074074072E-2</v>
      </c>
      <c r="E3521" s="3">
        <f>11542/(60*60*24)</f>
        <v>0.13358796296296296</v>
      </c>
      <c r="F3521" s="5">
        <f>38006/(60*60*24)</f>
        <v>0.43988425925925928</v>
      </c>
      <c r="G3521" s="7" t="s">
        <v>9</v>
      </c>
    </row>
    <row r="3522" spans="1:7" x14ac:dyDescent="0.45">
      <c r="A3522" t="s">
        <v>3617</v>
      </c>
      <c r="B3522" s="2" t="s">
        <v>8</v>
      </c>
      <c r="C3522" s="3">
        <f>8594/(60*60*24)</f>
        <v>9.9467592592592594E-2</v>
      </c>
      <c r="D3522" s="4">
        <f>2819/(60*60*24)</f>
        <v>3.2627314814814817E-2</v>
      </c>
      <c r="E3522" s="5">
        <f>10429/(60*60*24)</f>
        <v>0.12070601851851852</v>
      </c>
      <c r="F3522" s="6">
        <f>36660/(60*60*24)</f>
        <v>0.42430555555555555</v>
      </c>
      <c r="G3522" s="7" t="s">
        <v>9</v>
      </c>
    </row>
    <row r="3523" spans="1:7" x14ac:dyDescent="0.45">
      <c r="A3523" t="s">
        <v>3618</v>
      </c>
      <c r="B3523" s="2" t="s">
        <v>11</v>
      </c>
      <c r="C3523" s="3">
        <f>8638/(60*60*24)</f>
        <v>9.9976851851851858E-2</v>
      </c>
      <c r="D3523" s="4">
        <f>2790/(60*60*24)</f>
        <v>3.229166666666667E-2</v>
      </c>
      <c r="E3523" s="5">
        <f>10278/(60*60*24)</f>
        <v>0.11895833333333333</v>
      </c>
      <c r="F3523" s="6">
        <f>35685/(60*60*24)</f>
        <v>0.41302083333333334</v>
      </c>
      <c r="G3523" s="7" t="s">
        <v>9</v>
      </c>
    </row>
    <row r="3524" spans="1:7" x14ac:dyDescent="0.45">
      <c r="A3524" t="s">
        <v>3619</v>
      </c>
      <c r="B3524" s="2" t="s">
        <v>14</v>
      </c>
      <c r="C3524" s="8" t="s">
        <v>12</v>
      </c>
      <c r="D3524" s="4">
        <f>2814/(60*60*24)</f>
        <v>3.2569444444444443E-2</v>
      </c>
      <c r="E3524" s="3">
        <f>10453/(60*60*24)</f>
        <v>0.1209837962962963</v>
      </c>
      <c r="F3524" s="5">
        <f>35357/(60*60*24)</f>
        <v>0.40922453703703704</v>
      </c>
      <c r="G3524" s="7" t="s">
        <v>9</v>
      </c>
    </row>
    <row r="3525" spans="1:7" x14ac:dyDescent="0.45">
      <c r="A3525" t="s">
        <v>3620</v>
      </c>
      <c r="B3525" s="2" t="s">
        <v>16</v>
      </c>
      <c r="C3525" s="8" t="s">
        <v>12</v>
      </c>
      <c r="D3525" s="4">
        <f>2941/(60*60*24)</f>
        <v>3.4039351851851848E-2</v>
      </c>
      <c r="E3525" s="3">
        <f>10284/(60*60*24)</f>
        <v>0.11902777777777777</v>
      </c>
      <c r="F3525" s="5">
        <f>34880/(60*60*24)</f>
        <v>0.40370370370370373</v>
      </c>
      <c r="G3525" s="7" t="s">
        <v>9</v>
      </c>
    </row>
    <row r="3526" spans="1:7" x14ac:dyDescent="0.45">
      <c r="A3526" t="s">
        <v>3621</v>
      </c>
      <c r="B3526" s="2" t="s">
        <v>18</v>
      </c>
      <c r="C3526" s="3">
        <f>8010/(60*60*24)</f>
        <v>9.2708333333333337E-2</v>
      </c>
      <c r="D3526" s="4">
        <f>2753/(60*60*24)</f>
        <v>3.1863425925925927E-2</v>
      </c>
      <c r="E3526" s="5">
        <f>10007/(60*60*24)</f>
        <v>0.11582175925925926</v>
      </c>
      <c r="F3526" s="6">
        <f>33790/(60*60*24)</f>
        <v>0.39108796296296294</v>
      </c>
      <c r="G3526" s="7" t="s">
        <v>9</v>
      </c>
    </row>
    <row r="3527" spans="1:7" x14ac:dyDescent="0.45">
      <c r="A3527" t="s">
        <v>3622</v>
      </c>
      <c r="B3527" s="2" t="s">
        <v>20</v>
      </c>
      <c r="C3527" s="3">
        <f>7653/(60*60*24)</f>
        <v>8.8576388888888885E-2</v>
      </c>
      <c r="D3527" s="4">
        <f>2809/(60*60*24)</f>
        <v>3.2511574074074075E-2</v>
      </c>
      <c r="E3527" s="5">
        <f>9967/(60*60*24)</f>
        <v>0.11535879629629629</v>
      </c>
      <c r="F3527" s="6">
        <f>33344/(60*60*24)</f>
        <v>0.38592592592592595</v>
      </c>
      <c r="G3527" s="7" t="s">
        <v>9</v>
      </c>
    </row>
    <row r="3528" spans="1:7" x14ac:dyDescent="0.45">
      <c r="A3528" t="s">
        <v>3623</v>
      </c>
      <c r="B3528" s="2" t="s">
        <v>22</v>
      </c>
      <c r="C3528" s="3">
        <f>7452/(60*60*24)</f>
        <v>8.6249999999999993E-2</v>
      </c>
      <c r="D3528" s="4">
        <f>2791/(60*60*24)</f>
        <v>3.2303240740740743E-2</v>
      </c>
      <c r="E3528" s="5">
        <f>9872/(60*60*24)</f>
        <v>0.11425925925925925</v>
      </c>
      <c r="F3528" s="6">
        <f>33021/(60*60*24)</f>
        <v>0.38218750000000001</v>
      </c>
      <c r="G3528" s="7" t="s">
        <v>9</v>
      </c>
    </row>
    <row r="3529" spans="1:7" x14ac:dyDescent="0.45">
      <c r="A3529" t="s">
        <v>3624</v>
      </c>
      <c r="B3529" s="2" t="s">
        <v>24</v>
      </c>
      <c r="C3529" s="3">
        <f>6925/(60*60*24)</f>
        <v>8.0150462962962965E-2</v>
      </c>
      <c r="D3529" s="4">
        <f>2675/(60*60*24)</f>
        <v>3.0960648148148147E-2</v>
      </c>
      <c r="E3529" s="5">
        <f>9591/(60*60*24)</f>
        <v>0.11100694444444445</v>
      </c>
      <c r="F3529" s="6">
        <f>32042/(60*60*24)</f>
        <v>0.37085648148148148</v>
      </c>
      <c r="G3529" s="7" t="s">
        <v>9</v>
      </c>
    </row>
    <row r="3530" spans="1:7" x14ac:dyDescent="0.45">
      <c r="A3530" t="s">
        <v>3625</v>
      </c>
      <c r="B3530" s="2" t="s">
        <v>26</v>
      </c>
      <c r="C3530" s="3">
        <f>5563/(60*60*24)</f>
        <v>6.4386574074074068E-2</v>
      </c>
      <c r="D3530" s="4">
        <f>2850/(60*60*24)</f>
        <v>3.2986111111111112E-2</v>
      </c>
      <c r="E3530" s="5">
        <f>9268/(60*60*24)</f>
        <v>0.10726851851851851</v>
      </c>
      <c r="F3530" s="6">
        <f>31313/(60*60*24)</f>
        <v>0.36241898148148149</v>
      </c>
      <c r="G3530" s="7" t="s">
        <v>9</v>
      </c>
    </row>
    <row r="3531" spans="1:7" x14ac:dyDescent="0.45">
      <c r="A3531" t="s">
        <v>3626</v>
      </c>
      <c r="B3531" s="2" t="s">
        <v>28</v>
      </c>
      <c r="C3531" s="3">
        <f>5752/(60*60*24)</f>
        <v>6.6574074074074077E-2</v>
      </c>
      <c r="D3531" s="4">
        <f>2742/(60*60*24)</f>
        <v>3.1736111111111111E-2</v>
      </c>
      <c r="E3531" s="5">
        <f>9973/(60*60*24)</f>
        <v>0.11542824074074073</v>
      </c>
      <c r="F3531" s="6">
        <f>30831/(60*60*24)</f>
        <v>0.35684027777777777</v>
      </c>
      <c r="G3531" s="7" t="s">
        <v>9</v>
      </c>
    </row>
    <row r="3532" spans="1:7" x14ac:dyDescent="0.45">
      <c r="A3532" t="s">
        <v>3627</v>
      </c>
      <c r="B3532" s="2" t="s">
        <v>32</v>
      </c>
      <c r="C3532" s="3">
        <f>5532/(60*60*24)</f>
        <v>6.4027777777777781E-2</v>
      </c>
      <c r="D3532" s="4">
        <f>2998/(60*60*24)</f>
        <v>3.4699074074074077E-2</v>
      </c>
      <c r="E3532" s="5">
        <f>8816/(60*60*24)</f>
        <v>0.10203703703703704</v>
      </c>
      <c r="F3532" s="6">
        <f>30158/(60*60*24)</f>
        <v>0.3490509259259259</v>
      </c>
      <c r="G3532" s="7" t="s">
        <v>9</v>
      </c>
    </row>
    <row r="3533" spans="1:7" x14ac:dyDescent="0.45">
      <c r="A3533" t="s">
        <v>3628</v>
      </c>
      <c r="B3533" s="2" t="s">
        <v>30</v>
      </c>
      <c r="C3533" s="8" t="s">
        <v>12</v>
      </c>
      <c r="D3533" s="4">
        <f>3110/(60*60*24)</f>
        <v>3.5995370370370372E-2</v>
      </c>
      <c r="E3533" s="3">
        <f>9960/(60*60*24)</f>
        <v>0.11527777777777778</v>
      </c>
      <c r="F3533" s="5">
        <f>30885/(60*60*24)</f>
        <v>0.35746527777777776</v>
      </c>
      <c r="G3533" s="7" t="s">
        <v>9</v>
      </c>
    </row>
    <row r="3534" spans="1:7" x14ac:dyDescent="0.45">
      <c r="A3534" t="s">
        <v>3629</v>
      </c>
      <c r="B3534" s="2" t="s">
        <v>36</v>
      </c>
      <c r="C3534" s="8" t="s">
        <v>12</v>
      </c>
      <c r="D3534" s="4">
        <f>3164/(60*60*24)</f>
        <v>3.6620370370370373E-2</v>
      </c>
      <c r="E3534" s="3">
        <f>8811/(60*60*24)</f>
        <v>0.10197916666666666</v>
      </c>
      <c r="F3534" s="5">
        <f>29320/(60*60*24)</f>
        <v>0.33935185185185185</v>
      </c>
      <c r="G3534" s="7" t="s">
        <v>9</v>
      </c>
    </row>
    <row r="3535" spans="1:7" x14ac:dyDescent="0.45">
      <c r="A3535" t="s">
        <v>3630</v>
      </c>
      <c r="B3535" s="2" t="s">
        <v>34</v>
      </c>
      <c r="C3535" s="8" t="s">
        <v>12</v>
      </c>
      <c r="D3535" s="4">
        <f>3938/(60*60*24)</f>
        <v>4.5578703703703705E-2</v>
      </c>
      <c r="E3535" s="3">
        <f>8973/(60*60*24)</f>
        <v>0.10385416666666666</v>
      </c>
      <c r="F3535" s="5">
        <f>29360/(60*60*24)</f>
        <v>0.33981481481481479</v>
      </c>
      <c r="G3535" s="7" t="s">
        <v>9</v>
      </c>
    </row>
    <row r="3536" spans="1:7" x14ac:dyDescent="0.45">
      <c r="A3536" t="s">
        <v>3631</v>
      </c>
      <c r="B3536" s="2" t="s">
        <v>38</v>
      </c>
      <c r="C3536" s="8" t="s">
        <v>12</v>
      </c>
      <c r="D3536" s="4">
        <f>3885/(60*60*24)</f>
        <v>4.4965277777777778E-2</v>
      </c>
      <c r="E3536" s="3">
        <f>8787/(60*60*24)</f>
        <v>0.10170138888888888</v>
      </c>
      <c r="F3536" s="5">
        <f>28927/(60*60*24)</f>
        <v>0.33480324074074075</v>
      </c>
      <c r="G3536" s="7" t="s">
        <v>9</v>
      </c>
    </row>
    <row r="3537" spans="1:7" x14ac:dyDescent="0.45">
      <c r="A3537" t="s">
        <v>3632</v>
      </c>
      <c r="B3537" s="2" t="s">
        <v>40</v>
      </c>
      <c r="C3537" s="8" t="s">
        <v>12</v>
      </c>
      <c r="D3537" s="4">
        <f>3063/(60*60*24)</f>
        <v>3.5451388888888886E-2</v>
      </c>
      <c r="E3537" s="3">
        <f>8470/(60*60*24)</f>
        <v>9.8032407407407401E-2</v>
      </c>
      <c r="F3537" s="5">
        <f>27878/(60*60*24)</f>
        <v>0.32266203703703705</v>
      </c>
      <c r="G3537" s="7" t="s">
        <v>9</v>
      </c>
    </row>
    <row r="3538" spans="1:7" x14ac:dyDescent="0.45">
      <c r="A3538" t="s">
        <v>3633</v>
      </c>
      <c r="B3538" s="2" t="s">
        <v>44</v>
      </c>
      <c r="C3538" s="8" t="s">
        <v>12</v>
      </c>
      <c r="D3538" s="4">
        <f>2724/(60*60*24)</f>
        <v>3.152777777777778E-2</v>
      </c>
      <c r="E3538" s="3">
        <f>8115/(60*60*24)</f>
        <v>9.392361111111111E-2</v>
      </c>
      <c r="F3538" s="5">
        <f>26898/(60*60*24)</f>
        <v>0.31131944444444443</v>
      </c>
      <c r="G3538" s="7" t="s">
        <v>9</v>
      </c>
    </row>
    <row r="3539" spans="1:7" x14ac:dyDescent="0.45">
      <c r="A3539" t="s">
        <v>3634</v>
      </c>
      <c r="B3539" s="2" t="s">
        <v>42</v>
      </c>
      <c r="C3539" s="8" t="s">
        <v>12</v>
      </c>
      <c r="D3539" s="4">
        <f>3083/(60*60*24)</f>
        <v>3.5682870370370372E-2</v>
      </c>
      <c r="E3539" s="3">
        <f>7803/(60*60*24)</f>
        <v>9.0312500000000004E-2</v>
      </c>
      <c r="F3539" s="5">
        <f>26141/(60*60*24)</f>
        <v>0.30255787037037035</v>
      </c>
      <c r="G3539" s="7" t="s">
        <v>9</v>
      </c>
    </row>
    <row r="3540" spans="1:7" x14ac:dyDescent="0.45">
      <c r="A3540" t="s">
        <v>3635</v>
      </c>
      <c r="B3540" s="2" t="s">
        <v>46</v>
      </c>
      <c r="C3540" s="3">
        <f>5523/(60*60*24)</f>
        <v>6.3923611111111112E-2</v>
      </c>
      <c r="D3540" s="4">
        <f>3132/(60*60*24)</f>
        <v>3.6249999999999998E-2</v>
      </c>
      <c r="E3540" s="5">
        <f>7623/(60*60*24)</f>
        <v>8.8229166666666664E-2</v>
      </c>
      <c r="F3540" s="6">
        <f>25752/(60*60*24)</f>
        <v>0.29805555555555557</v>
      </c>
      <c r="G3540" s="7" t="s">
        <v>9</v>
      </c>
    </row>
    <row r="3541" spans="1:7" x14ac:dyDescent="0.45">
      <c r="A3541" t="s">
        <v>3636</v>
      </c>
      <c r="B3541" s="2" t="s">
        <v>48</v>
      </c>
      <c r="C3541" s="3">
        <f>4945/(60*60*24)</f>
        <v>5.7233796296296297E-2</v>
      </c>
      <c r="D3541" s="4">
        <f>2904/(60*60*24)</f>
        <v>3.3611111111111112E-2</v>
      </c>
      <c r="E3541" s="5">
        <f>7521/(60*60*24)</f>
        <v>8.7048611111111104E-2</v>
      </c>
      <c r="F3541" s="6">
        <f>25447/(60*60*24)</f>
        <v>0.29452546296296295</v>
      </c>
      <c r="G3541" s="7" t="s">
        <v>9</v>
      </c>
    </row>
    <row r="3542" spans="1:7" x14ac:dyDescent="0.45">
      <c r="A3542" t="s">
        <v>3637</v>
      </c>
      <c r="B3542" s="2" t="s">
        <v>50</v>
      </c>
      <c r="C3542" s="3">
        <f>5449/(60*60*24)</f>
        <v>6.3067129629629626E-2</v>
      </c>
      <c r="D3542" s="4">
        <f>2617/(60*60*24)</f>
        <v>3.0289351851851852E-2</v>
      </c>
      <c r="E3542" s="5">
        <f>8273/(60*60*24)</f>
        <v>9.5752314814814818E-2</v>
      </c>
      <c r="F3542" s="6">
        <f>25286/(60*60*24)</f>
        <v>0.29266203703703703</v>
      </c>
      <c r="G3542" s="7" t="s">
        <v>9</v>
      </c>
    </row>
    <row r="3543" spans="1:7" x14ac:dyDescent="0.45">
      <c r="A3543" t="s">
        <v>3638</v>
      </c>
      <c r="B3543" s="2" t="s">
        <v>52</v>
      </c>
      <c r="C3543" s="8" t="s">
        <v>12</v>
      </c>
      <c r="D3543" s="4">
        <f>2548/(60*60*24)</f>
        <v>2.9490740740740741E-2</v>
      </c>
      <c r="E3543" s="3">
        <f>7964/(60*60*24)</f>
        <v>9.2175925925925925E-2</v>
      </c>
      <c r="F3543" s="5">
        <f>24202/(60*60*24)</f>
        <v>0.28011574074074075</v>
      </c>
      <c r="G3543" s="7" t="s">
        <v>9</v>
      </c>
    </row>
    <row r="3544" spans="1:7" x14ac:dyDescent="0.45">
      <c r="A3544" t="s">
        <v>3639</v>
      </c>
      <c r="B3544" s="2" t="s">
        <v>56</v>
      </c>
      <c r="C3544" s="3">
        <f>6802/(60*60*24)</f>
        <v>7.8726851851851853E-2</v>
      </c>
      <c r="D3544" s="4">
        <f>2258/(60*60*24)</f>
        <v>2.613425925925926E-2</v>
      </c>
      <c r="E3544" s="5">
        <f>7178/(60*60*24)</f>
        <v>8.307870370370371E-2</v>
      </c>
      <c r="F3544" s="6">
        <f>23493/(60*60*24)</f>
        <v>0.27190972222222221</v>
      </c>
      <c r="G3544" s="7" t="s">
        <v>9</v>
      </c>
    </row>
    <row r="3545" spans="1:7" x14ac:dyDescent="0.45">
      <c r="A3545" t="s">
        <v>3640</v>
      </c>
      <c r="B3545" s="2" t="s">
        <v>54</v>
      </c>
      <c r="C3545" s="8" t="s">
        <v>12</v>
      </c>
      <c r="D3545" s="4">
        <f>2407/(60*60*24)</f>
        <v>2.7858796296296295E-2</v>
      </c>
      <c r="E3545" s="3">
        <f>7978/(60*60*24)</f>
        <v>9.2337962962962969E-2</v>
      </c>
      <c r="F3545" s="5">
        <f>24180/(60*60*24)</f>
        <v>0.27986111111111112</v>
      </c>
      <c r="G3545" s="7" t="s">
        <v>9</v>
      </c>
    </row>
    <row r="3546" spans="1:7" x14ac:dyDescent="0.45">
      <c r="A3546" t="s">
        <v>3641</v>
      </c>
      <c r="B3546" s="2" t="s">
        <v>58</v>
      </c>
      <c r="C3546" s="3">
        <f>6171/(60*60*24)</f>
        <v>7.1423611111111104E-2</v>
      </c>
      <c r="D3546" s="4">
        <f>2158/(60*60*24)</f>
        <v>2.4976851851851851E-2</v>
      </c>
      <c r="E3546" s="5">
        <f>7261/(60*60*24)</f>
        <v>8.4039351851851851E-2</v>
      </c>
      <c r="F3546" s="6">
        <f>23127/(60*60*24)</f>
        <v>0.2676736111111111</v>
      </c>
      <c r="G3546" s="7" t="s">
        <v>9</v>
      </c>
    </row>
    <row r="3547" spans="1:7" x14ac:dyDescent="0.45">
      <c r="A3547" t="s">
        <v>3642</v>
      </c>
      <c r="B3547" s="2" t="s">
        <v>60</v>
      </c>
      <c r="C3547" s="3">
        <f>5942/(60*60*24)</f>
        <v>6.8773148148148153E-2</v>
      </c>
      <c r="D3547" s="4">
        <f>2041/(60*60*24)</f>
        <v>2.3622685185185184E-2</v>
      </c>
      <c r="E3547" s="5">
        <f>6541/(60*60*24)</f>
        <v>7.570601851851852E-2</v>
      </c>
      <c r="F3547" s="6">
        <f>22346/(60*60*24)</f>
        <v>0.25863425925925926</v>
      </c>
      <c r="G3547" s="7" t="s">
        <v>9</v>
      </c>
    </row>
    <row r="3548" spans="1:7" x14ac:dyDescent="0.45">
      <c r="A3548" t="s">
        <v>3643</v>
      </c>
      <c r="B3548" s="2" t="s">
        <v>62</v>
      </c>
      <c r="C3548" s="3">
        <f>6508/(60*60*24)</f>
        <v>7.5324074074074071E-2</v>
      </c>
      <c r="D3548" s="4">
        <f>2134/(60*60*24)</f>
        <v>2.4699074074074075E-2</v>
      </c>
      <c r="E3548" s="5">
        <f>6729/(60*60*24)</f>
        <v>7.7881944444444448E-2</v>
      </c>
      <c r="F3548" s="6">
        <f>22372/(60*60*24)</f>
        <v>0.25893518518518521</v>
      </c>
      <c r="G3548" s="7" t="s">
        <v>9</v>
      </c>
    </row>
    <row r="3549" spans="1:7" x14ac:dyDescent="0.45">
      <c r="A3549" t="s">
        <v>3644</v>
      </c>
      <c r="B3549" s="2" t="s">
        <v>64</v>
      </c>
      <c r="C3549" s="8" t="s">
        <v>12</v>
      </c>
      <c r="D3549" s="4">
        <f>2025/(60*60*24)</f>
        <v>2.34375E-2</v>
      </c>
      <c r="E3549" s="3">
        <f>6787/(60*60*24)</f>
        <v>7.8553240740740743E-2</v>
      </c>
      <c r="F3549" s="5">
        <f>21602/(60*60*24)</f>
        <v>0.25002314814814813</v>
      </c>
      <c r="G3549" s="7" t="s">
        <v>9</v>
      </c>
    </row>
    <row r="3550" spans="1:7" x14ac:dyDescent="0.45">
      <c r="A3550" t="s">
        <v>3645</v>
      </c>
      <c r="B3550" s="2" t="s">
        <v>68</v>
      </c>
      <c r="C3550" s="3">
        <f>5141/(60*60*24)</f>
        <v>5.9502314814814813E-2</v>
      </c>
      <c r="D3550" s="4">
        <f>1717/(60*60*24)</f>
        <v>1.9872685185185184E-2</v>
      </c>
      <c r="E3550" s="5">
        <f>6319/(60*60*24)</f>
        <v>7.3136574074074076E-2</v>
      </c>
      <c r="F3550" s="6">
        <f>20871/(60*60*24)</f>
        <v>0.24156250000000001</v>
      </c>
      <c r="G3550" s="7" t="s">
        <v>9</v>
      </c>
    </row>
    <row r="3551" spans="1:7" x14ac:dyDescent="0.45">
      <c r="A3551" t="s">
        <v>3646</v>
      </c>
      <c r="B3551" s="2" t="s">
        <v>66</v>
      </c>
      <c r="C3551" s="8" t="s">
        <v>12</v>
      </c>
      <c r="D3551" s="4">
        <f>1939/(60*60*24)</f>
        <v>2.2442129629629631E-2</v>
      </c>
      <c r="E3551" s="3">
        <f>6589/(60*60*24)</f>
        <v>7.6261574074074079E-2</v>
      </c>
      <c r="F3551" s="5">
        <f>21296/(60*60*24)</f>
        <v>0.24648148148148147</v>
      </c>
      <c r="G3551" s="7" t="s">
        <v>9</v>
      </c>
    </row>
    <row r="3552" spans="1:7" x14ac:dyDescent="0.45">
      <c r="A3552" t="s">
        <v>3647</v>
      </c>
      <c r="B3552" s="2" t="s">
        <v>70</v>
      </c>
      <c r="C3552" s="3">
        <f>5714/(60*60*24)</f>
        <v>6.6134259259259254E-2</v>
      </c>
      <c r="D3552" s="4">
        <f>1860/(60*60*24)</f>
        <v>2.1527777777777778E-2</v>
      </c>
      <c r="E3552" s="5">
        <f>6608/(60*60*24)</f>
        <v>7.6481481481481484E-2</v>
      </c>
      <c r="F3552" s="6">
        <f>20654/(60*60*24)</f>
        <v>0.23905092592592592</v>
      </c>
      <c r="G3552" s="7" t="s">
        <v>9</v>
      </c>
    </row>
    <row r="3553" spans="1:7" x14ac:dyDescent="0.45">
      <c r="A3553" t="s">
        <v>3648</v>
      </c>
      <c r="B3553" s="2" t="s">
        <v>72</v>
      </c>
      <c r="C3553" s="8" t="s">
        <v>12</v>
      </c>
      <c r="D3553" s="4">
        <f>1925/(60*60*24)</f>
        <v>2.2280092592592591E-2</v>
      </c>
      <c r="E3553" s="3">
        <f>6613/(60*60*24)</f>
        <v>7.6539351851851858E-2</v>
      </c>
      <c r="F3553" s="5">
        <f>20780/(60*60*24)</f>
        <v>0.24050925925925926</v>
      </c>
      <c r="G3553" s="7" t="s">
        <v>9</v>
      </c>
    </row>
    <row r="3554" spans="1:7" x14ac:dyDescent="0.45">
      <c r="A3554" t="s">
        <v>3649</v>
      </c>
      <c r="B3554" s="2" t="s">
        <v>74</v>
      </c>
      <c r="C3554" s="8" t="s">
        <v>12</v>
      </c>
      <c r="D3554" s="4">
        <f>1862/(60*60*24)</f>
        <v>2.1550925925925925E-2</v>
      </c>
      <c r="E3554" s="3">
        <f>6649/(60*60*24)</f>
        <v>7.6956018518518521E-2</v>
      </c>
      <c r="F3554" s="5">
        <f>20857/(60*60*24)</f>
        <v>0.24140046296296297</v>
      </c>
      <c r="G3554" s="7" t="s">
        <v>9</v>
      </c>
    </row>
    <row r="3555" spans="1:7" x14ac:dyDescent="0.45">
      <c r="A3555" t="s">
        <v>3650</v>
      </c>
      <c r="B3555" s="2" t="s">
        <v>76</v>
      </c>
      <c r="C3555" s="8" t="s">
        <v>12</v>
      </c>
      <c r="D3555" s="4">
        <f>1845/(60*60*24)</f>
        <v>2.1354166666666667E-2</v>
      </c>
      <c r="E3555" s="3">
        <f>6540/(60*60*24)</f>
        <v>7.5694444444444439E-2</v>
      </c>
      <c r="F3555" s="5">
        <f>20421/(60*60*24)</f>
        <v>0.23635416666666667</v>
      </c>
      <c r="G3555" s="7" t="s">
        <v>9</v>
      </c>
    </row>
    <row r="3556" spans="1:7" x14ac:dyDescent="0.45">
      <c r="A3556" t="s">
        <v>3651</v>
      </c>
      <c r="B3556" s="2" t="s">
        <v>78</v>
      </c>
      <c r="C3556" s="8" t="s">
        <v>12</v>
      </c>
      <c r="D3556" s="4">
        <f>1574/(60*60*24)</f>
        <v>1.8217592592592594E-2</v>
      </c>
      <c r="E3556" s="3">
        <f>6428/(60*60*24)</f>
        <v>7.4398148148148144E-2</v>
      </c>
      <c r="F3556" s="5">
        <f>20359/(60*60*24)</f>
        <v>0.23563657407407407</v>
      </c>
      <c r="G3556" s="7" t="s">
        <v>9</v>
      </c>
    </row>
    <row r="3557" spans="1:7" x14ac:dyDescent="0.45">
      <c r="A3557" t="s">
        <v>3652</v>
      </c>
      <c r="B3557" s="2" t="s">
        <v>80</v>
      </c>
      <c r="C3557" s="8" t="s">
        <v>12</v>
      </c>
      <c r="D3557" s="4">
        <f>1570/(60*60*24)</f>
        <v>1.8171296296296297E-2</v>
      </c>
      <c r="E3557" s="3">
        <f>6262/(60*60*24)</f>
        <v>7.2476851851851848E-2</v>
      </c>
      <c r="F3557" s="5">
        <f>19509/(60*60*24)</f>
        <v>0.2257986111111111</v>
      </c>
      <c r="G3557" s="7" t="s">
        <v>9</v>
      </c>
    </row>
    <row r="3558" spans="1:7" x14ac:dyDescent="0.45">
      <c r="A3558" t="s">
        <v>3653</v>
      </c>
      <c r="B3558" s="2" t="s">
        <v>84</v>
      </c>
      <c r="C3558" s="3">
        <f>4915/(60*60*24)</f>
        <v>5.6886574074074076E-2</v>
      </c>
      <c r="D3558" s="4">
        <f>1494/(60*60*24)</f>
        <v>1.7291666666666667E-2</v>
      </c>
      <c r="E3558" s="5">
        <f>5913/(60*60*24)</f>
        <v>6.8437499999999998E-2</v>
      </c>
      <c r="F3558" s="6">
        <f>18710/(60*60*24)</f>
        <v>0.21655092592592592</v>
      </c>
      <c r="G3558" s="7" t="s">
        <v>9</v>
      </c>
    </row>
    <row r="3559" spans="1:7" x14ac:dyDescent="0.45">
      <c r="A3559" t="s">
        <v>3654</v>
      </c>
      <c r="B3559" s="2" t="s">
        <v>82</v>
      </c>
      <c r="C3559" s="5">
        <f>6689/(60*60*24)</f>
        <v>7.7418981481481478E-2</v>
      </c>
      <c r="D3559" s="4">
        <f>1532/(60*60*24)</f>
        <v>1.773148148148148E-2</v>
      </c>
      <c r="E3559" s="3">
        <f>5973/(60*60*24)</f>
        <v>6.913194444444444E-2</v>
      </c>
      <c r="F3559" s="6">
        <f>18572/(60*60*24)</f>
        <v>0.2149537037037037</v>
      </c>
      <c r="G3559" s="7" t="s">
        <v>9</v>
      </c>
    </row>
    <row r="3560" spans="1:7" x14ac:dyDescent="0.45">
      <c r="A3560" t="s">
        <v>3655</v>
      </c>
      <c r="B3560" s="2" t="s">
        <v>88</v>
      </c>
      <c r="C3560" s="8" t="s">
        <v>12</v>
      </c>
      <c r="D3560" s="4">
        <f>1220/(60*60*24)</f>
        <v>1.412037037037037E-2</v>
      </c>
      <c r="E3560" s="3">
        <f>6402/(60*60*24)</f>
        <v>7.4097222222222217E-2</v>
      </c>
      <c r="F3560" s="5">
        <f>18539/(60*60*24)</f>
        <v>0.21457175925925925</v>
      </c>
      <c r="G3560" s="7" t="s">
        <v>9</v>
      </c>
    </row>
    <row r="3561" spans="1:7" x14ac:dyDescent="0.45">
      <c r="A3561" t="s">
        <v>3656</v>
      </c>
      <c r="B3561" s="2" t="s">
        <v>86</v>
      </c>
      <c r="C3561" s="8" t="s">
        <v>12</v>
      </c>
      <c r="D3561" s="4">
        <f>1216/(60*60*24)</f>
        <v>1.4074074074074074E-2</v>
      </c>
      <c r="E3561" s="3">
        <f>6047/(60*60*24)</f>
        <v>6.9988425925925926E-2</v>
      </c>
      <c r="F3561" s="5">
        <f>18531/(60*60*24)</f>
        <v>0.21447916666666667</v>
      </c>
      <c r="G3561" s="7" t="s">
        <v>9</v>
      </c>
    </row>
    <row r="3562" spans="1:7" x14ac:dyDescent="0.45">
      <c r="A3562" t="s">
        <v>3657</v>
      </c>
      <c r="B3562" s="2" t="s">
        <v>90</v>
      </c>
      <c r="C3562" s="3">
        <f>4672/(60*60*24)</f>
        <v>5.4074074074074073E-2</v>
      </c>
      <c r="D3562" s="4">
        <f>1210/(60*60*24)</f>
        <v>1.4004629629629629E-2</v>
      </c>
      <c r="E3562" s="5">
        <f>5869/(60*60*24)</f>
        <v>6.7928240740740747E-2</v>
      </c>
      <c r="F3562" s="6">
        <f>17938/(60*60*24)</f>
        <v>0.20761574074074074</v>
      </c>
      <c r="G3562" s="7" t="s">
        <v>9</v>
      </c>
    </row>
    <row r="3563" spans="1:7" x14ac:dyDescent="0.45">
      <c r="A3563" t="s">
        <v>3658</v>
      </c>
      <c r="B3563" s="2" t="s">
        <v>92</v>
      </c>
      <c r="C3563" s="3">
        <f>4935/(60*60*24)</f>
        <v>5.7118055555555554E-2</v>
      </c>
      <c r="D3563" s="4">
        <f>1359/(60*60*24)</f>
        <v>1.5729166666666666E-2</v>
      </c>
      <c r="E3563" s="5">
        <f>5909/(60*60*24)</f>
        <v>6.8391203703703704E-2</v>
      </c>
      <c r="F3563" s="6">
        <f>17999/(60*60*24)</f>
        <v>0.20832175925925925</v>
      </c>
      <c r="G3563" s="7" t="s">
        <v>9</v>
      </c>
    </row>
    <row r="3564" spans="1:7" x14ac:dyDescent="0.45">
      <c r="A3564" t="s">
        <v>3659</v>
      </c>
      <c r="B3564" s="2" t="s">
        <v>94</v>
      </c>
      <c r="C3564" s="5">
        <f>7307/(60*60*24)</f>
        <v>8.4571759259259263E-2</v>
      </c>
      <c r="D3564" s="4">
        <f>1407/(60*60*24)</f>
        <v>1.6284722222222221E-2</v>
      </c>
      <c r="E3564" s="3">
        <f>5928/(60*60*24)</f>
        <v>6.8611111111111109E-2</v>
      </c>
      <c r="F3564" s="6">
        <f>17739/(60*60*24)</f>
        <v>0.20531250000000001</v>
      </c>
      <c r="G3564" s="7" t="s">
        <v>9</v>
      </c>
    </row>
    <row r="3565" spans="1:7" x14ac:dyDescent="0.45">
      <c r="A3565" t="s">
        <v>3660</v>
      </c>
      <c r="B3565" s="2" t="s">
        <v>96</v>
      </c>
      <c r="C3565" s="8" t="s">
        <v>12</v>
      </c>
      <c r="D3565" s="4">
        <f>1471/(60*60*24)</f>
        <v>1.7025462962962964E-2</v>
      </c>
      <c r="E3565" s="3">
        <f>6059/(60*60*24)</f>
        <v>7.0127314814814809E-2</v>
      </c>
      <c r="F3565" s="5">
        <f>18154/(60*60*24)</f>
        <v>0.21011574074074074</v>
      </c>
      <c r="G3565" s="7" t="s">
        <v>9</v>
      </c>
    </row>
    <row r="3566" spans="1:7" x14ac:dyDescent="0.45">
      <c r="A3566" t="s">
        <v>3661</v>
      </c>
      <c r="B3566" s="2" t="s">
        <v>98</v>
      </c>
      <c r="C3566" s="8" t="s">
        <v>12</v>
      </c>
      <c r="D3566" s="4">
        <f>1481/(60*60*24)</f>
        <v>1.7141203703703704E-2</v>
      </c>
      <c r="E3566" s="3">
        <f>5937/(60*60*24)</f>
        <v>6.8715277777777778E-2</v>
      </c>
      <c r="F3566" s="5">
        <f>18316/(60*60*24)</f>
        <v>0.21199074074074073</v>
      </c>
      <c r="G3566" s="7" t="s">
        <v>9</v>
      </c>
    </row>
    <row r="3567" spans="1:7" x14ac:dyDescent="0.45">
      <c r="A3567" t="s">
        <v>3662</v>
      </c>
      <c r="B3567" s="2" t="s">
        <v>100</v>
      </c>
      <c r="C3567" s="8" t="s">
        <v>12</v>
      </c>
      <c r="D3567" s="4">
        <f>1792/(60*60*24)</f>
        <v>2.074074074074074E-2</v>
      </c>
      <c r="E3567" s="3">
        <f>6294/(60*60*24)</f>
        <v>7.2847222222222216E-2</v>
      </c>
      <c r="F3567" s="5">
        <f>17974/(60*60*24)</f>
        <v>0.20803240740740742</v>
      </c>
      <c r="G3567" s="7" t="s">
        <v>9</v>
      </c>
    </row>
    <row r="3568" spans="1:7" x14ac:dyDescent="0.45">
      <c r="A3568" t="s">
        <v>3663</v>
      </c>
      <c r="B3568" s="2" t="s">
        <v>104</v>
      </c>
      <c r="C3568" s="8" t="s">
        <v>12</v>
      </c>
      <c r="D3568" s="4">
        <f>1676/(60*60*24)</f>
        <v>1.9398148148148147E-2</v>
      </c>
      <c r="E3568" s="3">
        <f>6182/(60*60*24)</f>
        <v>7.1550925925925921E-2</v>
      </c>
      <c r="F3568" s="5">
        <f>17985/(60*60*24)</f>
        <v>0.20815972222222223</v>
      </c>
      <c r="G3568" s="7" t="s">
        <v>9</v>
      </c>
    </row>
    <row r="3569" spans="1:7" x14ac:dyDescent="0.45">
      <c r="A3569" t="s">
        <v>3664</v>
      </c>
      <c r="B3569" s="2" t="s">
        <v>102</v>
      </c>
      <c r="C3569" s="8" t="s">
        <v>12</v>
      </c>
      <c r="D3569" s="4">
        <f>1993/(60*60*24)</f>
        <v>2.3067129629629628E-2</v>
      </c>
      <c r="E3569" s="3">
        <f>6599/(60*60*24)</f>
        <v>7.6377314814814815E-2</v>
      </c>
      <c r="F3569" s="5">
        <f>17477/(60*60*24)</f>
        <v>0.20228009259259258</v>
      </c>
      <c r="G3569" s="7" t="s">
        <v>9</v>
      </c>
    </row>
    <row r="3570" spans="1:7" x14ac:dyDescent="0.45">
      <c r="A3570" t="s">
        <v>3665</v>
      </c>
      <c r="B3570" s="2" t="s">
        <v>106</v>
      </c>
      <c r="C3570" s="8" t="s">
        <v>12</v>
      </c>
      <c r="D3570" s="4">
        <f>1847/(60*60*24)</f>
        <v>2.1377314814814814E-2</v>
      </c>
      <c r="E3570" s="3">
        <f>5261/(60*60*24)</f>
        <v>6.0891203703703704E-2</v>
      </c>
      <c r="F3570" s="5">
        <f>17519/(60*60*24)</f>
        <v>0.20276620370370371</v>
      </c>
      <c r="G3570" s="7" t="s">
        <v>9</v>
      </c>
    </row>
    <row r="3571" spans="1:7" x14ac:dyDescent="0.45">
      <c r="A3571" t="s">
        <v>3666</v>
      </c>
      <c r="B3571" s="2" t="s">
        <v>108</v>
      </c>
      <c r="C3571" s="8" t="s">
        <v>12</v>
      </c>
      <c r="D3571" s="4">
        <f>2032/(60*60*24)</f>
        <v>2.3518518518518518E-2</v>
      </c>
      <c r="E3571" s="3">
        <f>5224/(60*60*24)</f>
        <v>6.0462962962962961E-2</v>
      </c>
      <c r="F3571" s="5">
        <f>17636/(60*60*24)</f>
        <v>0.20412037037037037</v>
      </c>
      <c r="G3571" s="7" t="s">
        <v>9</v>
      </c>
    </row>
    <row r="3572" spans="1:7" x14ac:dyDescent="0.45">
      <c r="A3572" t="s">
        <v>3667</v>
      </c>
      <c r="B3572" s="2" t="s">
        <v>110</v>
      </c>
      <c r="C3572" s="8" t="s">
        <v>12</v>
      </c>
      <c r="D3572" s="4">
        <f>2129/(60*60*24)</f>
        <v>2.4641203703703703E-2</v>
      </c>
      <c r="E3572" s="3">
        <f>5264/(60*60*24)</f>
        <v>6.0925925925925925E-2</v>
      </c>
      <c r="F3572" s="5">
        <f>17953/(60*60*24)</f>
        <v>0.20778935185185185</v>
      </c>
      <c r="G3572" s="7" t="s">
        <v>9</v>
      </c>
    </row>
    <row r="3573" spans="1:7" x14ac:dyDescent="0.45">
      <c r="A3573" t="s">
        <v>3668</v>
      </c>
      <c r="B3573" s="2" t="s">
        <v>112</v>
      </c>
      <c r="C3573" s="8" t="s">
        <v>12</v>
      </c>
      <c r="D3573" s="4">
        <f>2111/(60*60*24)</f>
        <v>2.4432870370370369E-2</v>
      </c>
      <c r="E3573" s="3">
        <f>5284/(60*60*24)</f>
        <v>6.115740740740741E-2</v>
      </c>
      <c r="F3573" s="5">
        <f>18305/(60*60*24)</f>
        <v>0.21186342592592591</v>
      </c>
      <c r="G3573" s="7" t="s">
        <v>9</v>
      </c>
    </row>
    <row r="3574" spans="1:7" x14ac:dyDescent="0.45">
      <c r="A3574" t="s">
        <v>3669</v>
      </c>
      <c r="B3574" s="2" t="s">
        <v>116</v>
      </c>
      <c r="C3574" s="5">
        <f>6452/(60*60*24)</f>
        <v>7.4675925925925923E-2</v>
      </c>
      <c r="D3574" s="4">
        <f>2148/(60*60*24)</f>
        <v>2.4861111111111112E-2</v>
      </c>
      <c r="E3574" s="3">
        <f>6031/(60*60*24)</f>
        <v>6.9803240740740735E-2</v>
      </c>
      <c r="F3574" s="6">
        <f>18583/(60*60*24)</f>
        <v>0.21508101851851852</v>
      </c>
      <c r="G3574" s="7" t="s">
        <v>9</v>
      </c>
    </row>
    <row r="3575" spans="1:7" x14ac:dyDescent="0.45">
      <c r="A3575" t="s">
        <v>3670</v>
      </c>
      <c r="B3575" s="2" t="s">
        <v>114</v>
      </c>
      <c r="C3575" s="8" t="s">
        <v>12</v>
      </c>
      <c r="D3575" s="4">
        <f>2221/(60*60*24)</f>
        <v>2.5706018518518517E-2</v>
      </c>
      <c r="E3575" s="3">
        <f>5506/(60*60*24)</f>
        <v>6.3726851851851854E-2</v>
      </c>
      <c r="F3575" s="5">
        <f>18991/(60*60*24)</f>
        <v>0.21980324074074073</v>
      </c>
      <c r="G3575" s="7" t="s">
        <v>9</v>
      </c>
    </row>
    <row r="3576" spans="1:7" x14ac:dyDescent="0.45">
      <c r="A3576" t="s">
        <v>3671</v>
      </c>
      <c r="B3576" s="2" t="s">
        <v>118</v>
      </c>
      <c r="C3576" s="5">
        <f>6283/(60*60*24)</f>
        <v>7.2719907407407414E-2</v>
      </c>
      <c r="D3576" s="4">
        <f>2093/(60*60*24)</f>
        <v>2.4224537037037037E-2</v>
      </c>
      <c r="E3576" s="3">
        <f>5851/(60*60*24)</f>
        <v>6.7719907407407409E-2</v>
      </c>
      <c r="F3576" s="6">
        <f>18715/(60*60*24)</f>
        <v>0.21660879629629629</v>
      </c>
      <c r="G3576" s="7" t="s">
        <v>9</v>
      </c>
    </row>
    <row r="3577" spans="1:7" x14ac:dyDescent="0.45">
      <c r="A3577" t="s">
        <v>3672</v>
      </c>
      <c r="B3577" s="2" t="s">
        <v>120</v>
      </c>
      <c r="C3577" s="8" t="s">
        <v>12</v>
      </c>
      <c r="D3577" s="4">
        <f>2188/(60*60*24)</f>
        <v>2.5324074074074075E-2</v>
      </c>
      <c r="E3577" s="3">
        <f>5904/(60*60*24)</f>
        <v>6.8333333333333329E-2</v>
      </c>
      <c r="F3577" s="5">
        <f>20102/(60*60*24)</f>
        <v>0.23266203703703703</v>
      </c>
      <c r="G3577" s="7" t="s">
        <v>9</v>
      </c>
    </row>
    <row r="3578" spans="1:7" x14ac:dyDescent="0.45">
      <c r="A3578" t="s">
        <v>3673</v>
      </c>
      <c r="B3578" s="2" t="s">
        <v>124</v>
      </c>
      <c r="C3578" s="5">
        <f>13261/(60*60*24)</f>
        <v>0.1534837962962963</v>
      </c>
      <c r="D3578" s="4">
        <f>2163/(60*60*24)</f>
        <v>2.5034722222222222E-2</v>
      </c>
      <c r="E3578" s="3">
        <f>5877/(60*60*24)</f>
        <v>6.8020833333333336E-2</v>
      </c>
      <c r="F3578" s="6">
        <f>19614/(60*60*24)</f>
        <v>0.22701388888888888</v>
      </c>
      <c r="G3578" s="7" t="s">
        <v>9</v>
      </c>
    </row>
    <row r="3579" spans="1:7" x14ac:dyDescent="0.45">
      <c r="A3579" t="s">
        <v>3674</v>
      </c>
      <c r="B3579" s="2" t="s">
        <v>122</v>
      </c>
      <c r="C3579" s="8" t="s">
        <v>12</v>
      </c>
      <c r="D3579" s="4">
        <f>2048/(60*60*24)</f>
        <v>2.3703703703703703E-2</v>
      </c>
      <c r="E3579" s="3">
        <f>5806/(60*60*24)</f>
        <v>6.7199074074074078E-2</v>
      </c>
      <c r="F3579" s="5">
        <f>20007/(60*60*24)</f>
        <v>0.2315625</v>
      </c>
      <c r="G3579" s="7" t="s">
        <v>9</v>
      </c>
    </row>
    <row r="3580" spans="1:7" x14ac:dyDescent="0.45">
      <c r="A3580" t="s">
        <v>3675</v>
      </c>
      <c r="B3580" s="2" t="s">
        <v>126</v>
      </c>
      <c r="C3580" s="5">
        <f>9887/(60*60*24)</f>
        <v>0.11443287037037037</v>
      </c>
      <c r="D3580" s="4">
        <f>2013/(60*60*24)</f>
        <v>2.329861111111111E-2</v>
      </c>
      <c r="E3580" s="3">
        <f>5794/(60*60*24)</f>
        <v>6.7060185185185181E-2</v>
      </c>
      <c r="F3580" s="6">
        <f>20921/(60*60*24)</f>
        <v>0.24214120370370371</v>
      </c>
      <c r="G3580" s="7" t="s">
        <v>9</v>
      </c>
    </row>
    <row r="3581" spans="1:7" x14ac:dyDescent="0.45">
      <c r="A3581" t="s">
        <v>3676</v>
      </c>
      <c r="B3581" s="2" t="s">
        <v>128</v>
      </c>
      <c r="C3581" s="5">
        <f>9250/(60*60*24)</f>
        <v>0.10706018518518519</v>
      </c>
      <c r="D3581" s="4">
        <f>2089/(60*60*24)</f>
        <v>2.417824074074074E-2</v>
      </c>
      <c r="E3581" s="3">
        <f>5999/(60*60*24)</f>
        <v>6.9432870370370367E-2</v>
      </c>
      <c r="F3581" s="6">
        <f>21191/(60*60*24)</f>
        <v>0.24526620370370369</v>
      </c>
      <c r="G3581" s="7" t="s">
        <v>9</v>
      </c>
    </row>
    <row r="3582" spans="1:7" x14ac:dyDescent="0.45">
      <c r="A3582" t="s">
        <v>3677</v>
      </c>
      <c r="B3582" s="2" t="s">
        <v>130</v>
      </c>
      <c r="C3582" s="8" t="s">
        <v>12</v>
      </c>
      <c r="D3582" s="4">
        <f>2289/(60*60*24)</f>
        <v>2.6493055555555554E-2</v>
      </c>
      <c r="E3582" s="3">
        <f>6812/(60*60*24)</f>
        <v>7.8842592592592589E-2</v>
      </c>
      <c r="F3582" s="5">
        <f>22952/(60*60*24)</f>
        <v>0.26564814814814813</v>
      </c>
      <c r="G3582" s="7" t="s">
        <v>9</v>
      </c>
    </row>
    <row r="3583" spans="1:7" x14ac:dyDescent="0.45">
      <c r="A3583" t="s">
        <v>3678</v>
      </c>
      <c r="B3583" s="2" t="s">
        <v>132</v>
      </c>
      <c r="C3583" s="8" t="s">
        <v>12</v>
      </c>
      <c r="D3583" s="4">
        <f>2193/(60*60*24)</f>
        <v>2.5381944444444443E-2</v>
      </c>
      <c r="E3583" s="3">
        <f>6603/(60*60*24)</f>
        <v>7.6423611111111109E-2</v>
      </c>
      <c r="F3583" s="5">
        <f>22584/(60*60*24)</f>
        <v>0.26138888888888889</v>
      </c>
      <c r="G3583" s="7" t="s">
        <v>9</v>
      </c>
    </row>
    <row r="3584" spans="1:7" x14ac:dyDescent="0.45">
      <c r="A3584" t="s">
        <v>3679</v>
      </c>
      <c r="B3584" s="2" t="s">
        <v>136</v>
      </c>
      <c r="C3584" s="8" t="s">
        <v>12</v>
      </c>
      <c r="D3584" s="4">
        <f>2202/(60*60*24)</f>
        <v>2.5486111111111112E-2</v>
      </c>
      <c r="E3584" s="3">
        <f>6471/(60*60*24)</f>
        <v>7.4895833333333328E-2</v>
      </c>
      <c r="F3584" s="5">
        <f>22676/(60*60*24)</f>
        <v>0.26245370370370369</v>
      </c>
      <c r="G3584" s="7" t="s">
        <v>9</v>
      </c>
    </row>
    <row r="3585" spans="1:7" x14ac:dyDescent="0.45">
      <c r="A3585" t="s">
        <v>3680</v>
      </c>
      <c r="B3585" s="2" t="s">
        <v>134</v>
      </c>
      <c r="C3585" s="8" t="s">
        <v>12</v>
      </c>
      <c r="D3585" s="4">
        <f>2378/(60*60*24)</f>
        <v>2.7523148148148147E-2</v>
      </c>
      <c r="E3585" s="3">
        <f>6599/(60*60*24)</f>
        <v>7.6377314814814815E-2</v>
      </c>
      <c r="F3585" s="5">
        <f>22268/(60*60*24)</f>
        <v>0.25773148148148151</v>
      </c>
      <c r="G3585" s="7" t="s">
        <v>9</v>
      </c>
    </row>
    <row r="3586" spans="1:7" x14ac:dyDescent="0.45">
      <c r="A3586" t="s">
        <v>3681</v>
      </c>
      <c r="B3586" s="2" t="s">
        <v>138</v>
      </c>
      <c r="C3586" s="8" t="s">
        <v>12</v>
      </c>
      <c r="D3586" s="4">
        <f>2554/(60*60*24)</f>
        <v>2.9560185185185186E-2</v>
      </c>
      <c r="E3586" s="3">
        <f>6433/(60*60*24)</f>
        <v>7.4456018518518519E-2</v>
      </c>
      <c r="F3586" s="5">
        <f>23527/(60*60*24)</f>
        <v>0.27230324074074075</v>
      </c>
      <c r="G3586" s="7" t="s">
        <v>9</v>
      </c>
    </row>
    <row r="3587" spans="1:7" x14ac:dyDescent="0.45">
      <c r="A3587" t="s">
        <v>3682</v>
      </c>
      <c r="B3587" s="2" t="s">
        <v>140</v>
      </c>
      <c r="C3587" s="8" t="s">
        <v>12</v>
      </c>
      <c r="D3587" s="4">
        <f>2784/(60*60*24)</f>
        <v>3.2222222222222222E-2</v>
      </c>
      <c r="E3587" s="3">
        <f>7064/(60*60*24)</f>
        <v>8.1759259259259254E-2</v>
      </c>
      <c r="F3587" s="5">
        <f>24835/(60*60*24)</f>
        <v>0.28744212962962962</v>
      </c>
      <c r="G3587" s="7" t="s">
        <v>9</v>
      </c>
    </row>
    <row r="3588" spans="1:7" x14ac:dyDescent="0.45">
      <c r="A3588" t="s">
        <v>3683</v>
      </c>
      <c r="B3588" s="2" t="s">
        <v>142</v>
      </c>
      <c r="C3588" s="8" t="s">
        <v>12</v>
      </c>
      <c r="D3588" s="4">
        <f>2708/(60*60*24)</f>
        <v>3.1342592592592596E-2</v>
      </c>
      <c r="E3588" s="3">
        <f>6941/(60*60*24)</f>
        <v>8.0335648148148142E-2</v>
      </c>
      <c r="F3588" s="5">
        <f>24626/(60*60*24)</f>
        <v>0.28502314814814816</v>
      </c>
      <c r="G3588" s="7" t="s">
        <v>9</v>
      </c>
    </row>
    <row r="3589" spans="1:7" x14ac:dyDescent="0.45">
      <c r="A3589" t="s">
        <v>3684</v>
      </c>
      <c r="B3589" s="2" t="s">
        <v>144</v>
      </c>
      <c r="C3589" s="8" t="s">
        <v>12</v>
      </c>
      <c r="D3589" s="4">
        <f>2782/(60*60*24)</f>
        <v>3.2199074074074074E-2</v>
      </c>
      <c r="E3589" s="3">
        <f>7273/(60*60*24)</f>
        <v>8.4178240740740734E-2</v>
      </c>
      <c r="F3589" s="5">
        <f>24804/(60*60*24)</f>
        <v>0.28708333333333336</v>
      </c>
      <c r="G3589" s="7" t="s">
        <v>9</v>
      </c>
    </row>
    <row r="3590" spans="1:7" x14ac:dyDescent="0.45">
      <c r="A3590" t="s">
        <v>3685</v>
      </c>
      <c r="B3590" s="2" t="s">
        <v>146</v>
      </c>
      <c r="C3590" s="8" t="s">
        <v>12</v>
      </c>
      <c r="D3590" s="4">
        <f>2908/(60*60*24)</f>
        <v>3.3657407407407407E-2</v>
      </c>
      <c r="E3590" s="3">
        <f>7580/(60*60*24)</f>
        <v>8.773148148148148E-2</v>
      </c>
      <c r="F3590" s="5">
        <f>25070/(60*60*24)</f>
        <v>0.29016203703703702</v>
      </c>
      <c r="G3590" s="7" t="s">
        <v>9</v>
      </c>
    </row>
    <row r="3591" spans="1:7" x14ac:dyDescent="0.45">
      <c r="A3591" t="s">
        <v>3686</v>
      </c>
      <c r="B3591" s="2" t="s">
        <v>148</v>
      </c>
      <c r="C3591" s="8" t="s">
        <v>12</v>
      </c>
      <c r="D3591" s="4">
        <f>2953/(60*60*24)</f>
        <v>3.4178240740740738E-2</v>
      </c>
      <c r="E3591" s="3">
        <f>8033/(60*60*24)</f>
        <v>9.2974537037037036E-2</v>
      </c>
      <c r="F3591" s="5">
        <f>26450/(60*60*24)</f>
        <v>0.30613425925925924</v>
      </c>
      <c r="G3591" s="7" t="s">
        <v>9</v>
      </c>
    </row>
    <row r="3592" spans="1:7" x14ac:dyDescent="0.45">
      <c r="A3592" t="s">
        <v>3687</v>
      </c>
      <c r="B3592" s="2" t="s">
        <v>150</v>
      </c>
      <c r="C3592" s="8" t="s">
        <v>12</v>
      </c>
      <c r="D3592" s="4">
        <f>3130/(60*60*24)</f>
        <v>3.622685185185185E-2</v>
      </c>
      <c r="E3592" s="3">
        <f>8387/(60*60*24)</f>
        <v>9.707175925925926E-2</v>
      </c>
      <c r="F3592" s="5">
        <f>27620/(60*60*24)</f>
        <v>0.31967592592592592</v>
      </c>
      <c r="G3592" s="7" t="s">
        <v>9</v>
      </c>
    </row>
    <row r="3593" spans="1:7" x14ac:dyDescent="0.45">
      <c r="A3593" t="s">
        <v>3688</v>
      </c>
      <c r="B3593" s="2" t="s">
        <v>152</v>
      </c>
      <c r="C3593" s="8" t="s">
        <v>12</v>
      </c>
      <c r="D3593" s="4">
        <f>2988/(60*60*24)</f>
        <v>3.4583333333333334E-2</v>
      </c>
      <c r="E3593" s="3">
        <f>8031/(60*60*24)</f>
        <v>9.2951388888888889E-2</v>
      </c>
      <c r="F3593" s="5">
        <f>27672/(60*60*24)</f>
        <v>0.32027777777777777</v>
      </c>
      <c r="G3593" s="7" t="s">
        <v>9</v>
      </c>
    </row>
    <row r="3594" spans="1:7" x14ac:dyDescent="0.45">
      <c r="A3594" t="s">
        <v>3689</v>
      </c>
      <c r="B3594" s="2" t="s">
        <v>154</v>
      </c>
      <c r="C3594" s="8" t="s">
        <v>12</v>
      </c>
      <c r="D3594" s="4">
        <f>3167/(60*60*24)</f>
        <v>3.6655092592592593E-2</v>
      </c>
      <c r="E3594" s="3">
        <f>8160/(60*60*24)</f>
        <v>9.4444444444444442E-2</v>
      </c>
      <c r="F3594" s="5">
        <f>28261/(60*60*24)</f>
        <v>0.32709490740740743</v>
      </c>
      <c r="G3594" s="7" t="s">
        <v>9</v>
      </c>
    </row>
    <row r="3595" spans="1:7" x14ac:dyDescent="0.45">
      <c r="A3595" t="s">
        <v>3690</v>
      </c>
      <c r="B3595" s="2" t="s">
        <v>156</v>
      </c>
      <c r="C3595" s="8" t="s">
        <v>12</v>
      </c>
      <c r="D3595" s="4">
        <f>3401/(60*60*24)</f>
        <v>3.9363425925925927E-2</v>
      </c>
      <c r="E3595" s="3">
        <f>8782/(60*60*24)</f>
        <v>0.10164351851851852</v>
      </c>
      <c r="F3595" s="5">
        <f>29957/(60*60*24)</f>
        <v>0.34672453703703704</v>
      </c>
      <c r="G3595" s="7" t="s">
        <v>9</v>
      </c>
    </row>
    <row r="3596" spans="1:7" x14ac:dyDescent="0.45">
      <c r="A3596" t="s">
        <v>3691</v>
      </c>
      <c r="B3596" s="2" t="s">
        <v>160</v>
      </c>
      <c r="C3596" s="8" t="s">
        <v>12</v>
      </c>
      <c r="D3596" s="4">
        <f>3500/(60*60*24)</f>
        <v>4.0509259259259259E-2</v>
      </c>
      <c r="E3596" s="3">
        <f>9040/(60*60*24)</f>
        <v>0.10462962962962963</v>
      </c>
      <c r="F3596" s="5">
        <f>31299/(60*60*24)</f>
        <v>0.36225694444444445</v>
      </c>
      <c r="G3596" s="7" t="s">
        <v>9</v>
      </c>
    </row>
    <row r="3597" spans="1:7" x14ac:dyDescent="0.45">
      <c r="A3597" t="s">
        <v>3692</v>
      </c>
      <c r="B3597" s="2" t="s">
        <v>158</v>
      </c>
      <c r="C3597" s="8" t="s">
        <v>12</v>
      </c>
      <c r="D3597" s="4">
        <f>3418/(60*60*24)</f>
        <v>3.9560185185185184E-2</v>
      </c>
      <c r="E3597" s="3">
        <f>9163/(60*60*24)</f>
        <v>0.10605324074074074</v>
      </c>
      <c r="F3597" s="5">
        <f>31593/(60*60*24)</f>
        <v>0.36565972222222221</v>
      </c>
      <c r="G3597" s="7" t="s">
        <v>9</v>
      </c>
    </row>
    <row r="3598" spans="1:7" x14ac:dyDescent="0.45">
      <c r="A3598" t="s">
        <v>3693</v>
      </c>
      <c r="B3598" s="2" t="s">
        <v>164</v>
      </c>
      <c r="C3598" s="3">
        <f>6800/(60*60*24)</f>
        <v>7.8703703703703706E-2</v>
      </c>
      <c r="D3598" s="4">
        <f>3300/(60*60*24)</f>
        <v>3.8194444444444448E-2</v>
      </c>
      <c r="E3598" s="5">
        <f>9447/(60*60*24)</f>
        <v>0.10934027777777777</v>
      </c>
      <c r="F3598" s="6">
        <f>32198/(60*60*24)</f>
        <v>0.37266203703703704</v>
      </c>
      <c r="G3598" s="7" t="s">
        <v>9</v>
      </c>
    </row>
    <row r="3599" spans="1:7" x14ac:dyDescent="0.45">
      <c r="A3599" t="s">
        <v>3694</v>
      </c>
      <c r="B3599" s="2" t="s">
        <v>162</v>
      </c>
      <c r="C3599" s="8" t="s">
        <v>12</v>
      </c>
      <c r="D3599" s="4">
        <f>3403/(60*60*24)</f>
        <v>3.9386574074074074E-2</v>
      </c>
      <c r="E3599" s="3">
        <f>9524/(60*60*24)</f>
        <v>0.11023148148148149</v>
      </c>
      <c r="F3599" s="5">
        <f>32176/(60*60*24)</f>
        <v>0.37240740740740741</v>
      </c>
      <c r="G3599" s="7" t="s">
        <v>9</v>
      </c>
    </row>
    <row r="3600" spans="1:7" x14ac:dyDescent="0.45">
      <c r="A3600" t="s">
        <v>3695</v>
      </c>
      <c r="B3600" s="2" t="s">
        <v>168</v>
      </c>
      <c r="C3600" s="3">
        <f>6963/(60*60*24)</f>
        <v>8.0590277777777775E-2</v>
      </c>
      <c r="D3600" s="4">
        <f>3416/(60*60*24)</f>
        <v>3.9537037037037037E-2</v>
      </c>
      <c r="E3600" s="5">
        <f>9502/(60*60*24)</f>
        <v>0.10997685185185185</v>
      </c>
      <c r="F3600" s="6">
        <f>32537/(60*60*24)</f>
        <v>0.37658564814814816</v>
      </c>
      <c r="G3600" s="7" t="s">
        <v>9</v>
      </c>
    </row>
    <row r="3601" spans="1:7" x14ac:dyDescent="0.45">
      <c r="A3601" t="s">
        <v>3696</v>
      </c>
      <c r="B3601" s="2" t="s">
        <v>166</v>
      </c>
      <c r="C3601" s="3">
        <f>8426/(60*60*24)</f>
        <v>9.752314814814815E-2</v>
      </c>
      <c r="D3601" s="4">
        <f>3515/(60*60*24)</f>
        <v>4.0682870370370369E-2</v>
      </c>
      <c r="E3601" s="5">
        <f>9872/(60*60*24)</f>
        <v>0.11425925925925925</v>
      </c>
      <c r="F3601" s="6">
        <f>33245/(60*60*24)</f>
        <v>0.3847800925925926</v>
      </c>
      <c r="G3601" s="7" t="s">
        <v>9</v>
      </c>
    </row>
    <row r="3602" spans="1:7" x14ac:dyDescent="0.45">
      <c r="A3602" t="s">
        <v>3697</v>
      </c>
      <c r="B3602" s="2" t="s">
        <v>172</v>
      </c>
      <c r="C3602" s="3">
        <f>8245/(60*60*24)</f>
        <v>9.5428240740740744E-2</v>
      </c>
      <c r="D3602" s="4">
        <f>3453/(60*60*24)</f>
        <v>3.996527777777778E-2</v>
      </c>
      <c r="E3602" s="5">
        <f>10857/(60*60*24)</f>
        <v>0.12565972222222221</v>
      </c>
      <c r="F3602" s="6">
        <f>35710/(60*60*24)</f>
        <v>0.4133101851851852</v>
      </c>
      <c r="G3602" s="7" t="s">
        <v>9</v>
      </c>
    </row>
    <row r="3603" spans="1:7" x14ac:dyDescent="0.45">
      <c r="A3603" t="s">
        <v>3698</v>
      </c>
      <c r="B3603" s="2" t="s">
        <v>170</v>
      </c>
      <c r="C3603" s="8" t="s">
        <v>12</v>
      </c>
      <c r="D3603" s="4">
        <f>3499/(60*60*24)</f>
        <v>4.0497685185185185E-2</v>
      </c>
      <c r="E3603" s="3">
        <f>10935/(60*60*24)</f>
        <v>0.12656249999999999</v>
      </c>
      <c r="F3603" s="5">
        <f>35874/(60*60*24)</f>
        <v>0.41520833333333335</v>
      </c>
      <c r="G3603" s="7" t="s">
        <v>9</v>
      </c>
    </row>
    <row r="3604" spans="1:7" x14ac:dyDescent="0.45">
      <c r="A3604" t="s">
        <v>3699</v>
      </c>
      <c r="B3604" s="2" t="s">
        <v>176</v>
      </c>
      <c r="C3604" s="3">
        <f>8200/(60*60*24)</f>
        <v>9.4907407407407413E-2</v>
      </c>
      <c r="D3604" s="4">
        <f>3453/(60*60*24)</f>
        <v>3.996527777777778E-2</v>
      </c>
      <c r="E3604" s="5">
        <f>10878/(60*60*24)</f>
        <v>0.12590277777777778</v>
      </c>
      <c r="F3604" s="6">
        <f>36122/(60*60*24)</f>
        <v>0.4180787037037037</v>
      </c>
      <c r="G3604" s="7" t="s">
        <v>9</v>
      </c>
    </row>
    <row r="3605" spans="1:7" x14ac:dyDescent="0.45">
      <c r="A3605" t="s">
        <v>3700</v>
      </c>
      <c r="B3605" s="2" t="s">
        <v>174</v>
      </c>
      <c r="C3605" s="8" t="s">
        <v>12</v>
      </c>
      <c r="D3605" s="4">
        <f>3605/(60*60*24)</f>
        <v>4.1724537037037039E-2</v>
      </c>
      <c r="E3605" s="3">
        <f>11158/(60*60*24)</f>
        <v>0.12914351851851852</v>
      </c>
      <c r="F3605" s="5">
        <f>36738/(60*60*24)</f>
        <v>0.42520833333333335</v>
      </c>
      <c r="G3605" s="7" t="s">
        <v>9</v>
      </c>
    </row>
    <row r="3606" spans="1:7" x14ac:dyDescent="0.45">
      <c r="A3606" t="s">
        <v>3701</v>
      </c>
      <c r="B3606" s="2" t="s">
        <v>180</v>
      </c>
      <c r="C3606" s="8" t="s">
        <v>12</v>
      </c>
      <c r="D3606" s="4">
        <f>3569/(60*60*24)</f>
        <v>4.130787037037037E-2</v>
      </c>
      <c r="E3606" s="3">
        <f>11339/(60*60*24)</f>
        <v>0.13123842592592594</v>
      </c>
      <c r="F3606" s="5">
        <f>37623/(60*60*24)</f>
        <v>0.4354513888888889</v>
      </c>
      <c r="G3606" s="7" t="s">
        <v>9</v>
      </c>
    </row>
    <row r="3607" spans="1:7" x14ac:dyDescent="0.45">
      <c r="A3607" t="s">
        <v>3702</v>
      </c>
      <c r="B3607" s="2" t="s">
        <v>178</v>
      </c>
      <c r="C3607" s="8" t="s">
        <v>12</v>
      </c>
      <c r="D3607" s="4">
        <f>3506/(60*60*24)</f>
        <v>4.0578703703703707E-2</v>
      </c>
      <c r="E3607" s="3">
        <f>11339/(60*60*24)</f>
        <v>0.13123842592592594</v>
      </c>
      <c r="F3607" s="5">
        <f>37702/(60*60*24)</f>
        <v>0.43636574074074075</v>
      </c>
      <c r="G3607" s="7" t="s">
        <v>9</v>
      </c>
    </row>
    <row r="3608" spans="1:7" x14ac:dyDescent="0.45">
      <c r="A3608" t="s">
        <v>3703</v>
      </c>
      <c r="B3608" s="2" t="s">
        <v>182</v>
      </c>
      <c r="C3608" s="3">
        <f>6872/(60*60*24)</f>
        <v>7.9537037037037031E-2</v>
      </c>
      <c r="D3608" s="4">
        <f>3537/(60*60*24)</f>
        <v>4.0937500000000002E-2</v>
      </c>
      <c r="E3608" s="5">
        <f>11493/(60*60*24)</f>
        <v>0.13302083333333334</v>
      </c>
      <c r="F3608" s="6">
        <f>38259/(60*60*24)</f>
        <v>0.4428125</v>
      </c>
      <c r="G3608" s="7" t="s">
        <v>9</v>
      </c>
    </row>
    <row r="3609" spans="1:7" x14ac:dyDescent="0.45">
      <c r="A3609" t="s">
        <v>3704</v>
      </c>
      <c r="B3609" s="2" t="s">
        <v>184</v>
      </c>
      <c r="C3609" s="3">
        <f>6953/(60*60*24)</f>
        <v>8.0474537037037039E-2</v>
      </c>
      <c r="D3609" s="4">
        <f>3611/(60*60*24)</f>
        <v>4.1793981481481481E-2</v>
      </c>
      <c r="E3609" s="5">
        <f>12318/(60*60*24)</f>
        <v>0.14256944444444444</v>
      </c>
      <c r="F3609" s="6">
        <f>39374/(60*60*24)</f>
        <v>0.45571759259259259</v>
      </c>
      <c r="G3609" s="7" t="s">
        <v>9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  <hyperlink ref="G59" r:id="rId58" xr:uid="{00000000-0004-0000-0000-000039000000}"/>
    <hyperlink ref="G60" r:id="rId59" xr:uid="{00000000-0004-0000-0000-00003A000000}"/>
    <hyperlink ref="G61" r:id="rId60" xr:uid="{00000000-0004-0000-0000-00003B000000}"/>
    <hyperlink ref="G62" r:id="rId61" xr:uid="{00000000-0004-0000-0000-00003C000000}"/>
    <hyperlink ref="G63" r:id="rId62" xr:uid="{00000000-0004-0000-0000-00003D000000}"/>
    <hyperlink ref="G64" r:id="rId63" xr:uid="{00000000-0004-0000-0000-00003E000000}"/>
    <hyperlink ref="G65" r:id="rId64" xr:uid="{00000000-0004-0000-0000-00003F000000}"/>
    <hyperlink ref="G66" r:id="rId65" xr:uid="{00000000-0004-0000-0000-000040000000}"/>
    <hyperlink ref="G67" r:id="rId66" xr:uid="{00000000-0004-0000-0000-000041000000}"/>
    <hyperlink ref="G68" r:id="rId67" xr:uid="{00000000-0004-0000-0000-000042000000}"/>
    <hyperlink ref="G69" r:id="rId68" xr:uid="{00000000-0004-0000-0000-000043000000}"/>
    <hyperlink ref="G70" r:id="rId69" xr:uid="{00000000-0004-0000-0000-000044000000}"/>
    <hyperlink ref="G71" r:id="rId70" xr:uid="{00000000-0004-0000-0000-000045000000}"/>
    <hyperlink ref="G72" r:id="rId71" xr:uid="{00000000-0004-0000-0000-000046000000}"/>
    <hyperlink ref="G73" r:id="rId72" xr:uid="{00000000-0004-0000-0000-000047000000}"/>
    <hyperlink ref="G74" r:id="rId73" xr:uid="{00000000-0004-0000-0000-000048000000}"/>
    <hyperlink ref="G75" r:id="rId74" xr:uid="{00000000-0004-0000-0000-000049000000}"/>
    <hyperlink ref="G76" r:id="rId75" xr:uid="{00000000-0004-0000-0000-00004A000000}"/>
    <hyperlink ref="G77" r:id="rId76" xr:uid="{00000000-0004-0000-0000-00004B000000}"/>
    <hyperlink ref="G78" r:id="rId77" xr:uid="{00000000-0004-0000-0000-00004C000000}"/>
    <hyperlink ref="G79" r:id="rId78" xr:uid="{00000000-0004-0000-0000-00004D000000}"/>
    <hyperlink ref="G80" r:id="rId79" xr:uid="{00000000-0004-0000-0000-00004E000000}"/>
    <hyperlink ref="G81" r:id="rId80" xr:uid="{00000000-0004-0000-0000-00004F000000}"/>
    <hyperlink ref="G82" r:id="rId81" xr:uid="{00000000-0004-0000-0000-000050000000}"/>
    <hyperlink ref="G83" r:id="rId82" xr:uid="{00000000-0004-0000-0000-000051000000}"/>
    <hyperlink ref="G84" r:id="rId83" xr:uid="{00000000-0004-0000-0000-000052000000}"/>
    <hyperlink ref="G85" r:id="rId84" xr:uid="{00000000-0004-0000-0000-000053000000}"/>
    <hyperlink ref="G86" r:id="rId85" xr:uid="{00000000-0004-0000-0000-000054000000}"/>
    <hyperlink ref="G87" r:id="rId86" xr:uid="{00000000-0004-0000-0000-000055000000}"/>
    <hyperlink ref="G88" r:id="rId87" xr:uid="{00000000-0004-0000-0000-000056000000}"/>
    <hyperlink ref="G89" r:id="rId88" xr:uid="{00000000-0004-0000-0000-000057000000}"/>
    <hyperlink ref="G90" r:id="rId89" xr:uid="{00000000-0004-0000-0000-000058000000}"/>
    <hyperlink ref="G91" r:id="rId90" xr:uid="{00000000-0004-0000-0000-000059000000}"/>
    <hyperlink ref="G92" r:id="rId91" xr:uid="{00000000-0004-0000-0000-00005A000000}"/>
    <hyperlink ref="G93" r:id="rId92" xr:uid="{00000000-0004-0000-0000-00005B000000}"/>
    <hyperlink ref="G94" r:id="rId93" xr:uid="{00000000-0004-0000-0000-00005C000000}"/>
    <hyperlink ref="G95" r:id="rId94" xr:uid="{00000000-0004-0000-0000-00005D000000}"/>
    <hyperlink ref="G96" r:id="rId95" xr:uid="{00000000-0004-0000-0000-00005E000000}"/>
    <hyperlink ref="G97" r:id="rId96" xr:uid="{00000000-0004-0000-0000-00005F000000}"/>
    <hyperlink ref="G98" r:id="rId97" xr:uid="{00000000-0004-0000-0000-000060000000}"/>
    <hyperlink ref="G99" r:id="rId98" xr:uid="{00000000-0004-0000-0000-000061000000}"/>
    <hyperlink ref="G100" r:id="rId99" xr:uid="{00000000-0004-0000-0000-000062000000}"/>
    <hyperlink ref="G101" r:id="rId100" xr:uid="{00000000-0004-0000-0000-000063000000}"/>
    <hyperlink ref="G102" r:id="rId101" xr:uid="{00000000-0004-0000-0000-000064000000}"/>
    <hyperlink ref="G103" r:id="rId102" xr:uid="{00000000-0004-0000-0000-000065000000}"/>
    <hyperlink ref="G104" r:id="rId103" xr:uid="{00000000-0004-0000-0000-000066000000}"/>
    <hyperlink ref="G105" r:id="rId104" xr:uid="{00000000-0004-0000-0000-000067000000}"/>
    <hyperlink ref="G106" r:id="rId105" xr:uid="{00000000-0004-0000-0000-000068000000}"/>
    <hyperlink ref="G107" r:id="rId106" xr:uid="{00000000-0004-0000-0000-000069000000}"/>
    <hyperlink ref="G108" r:id="rId107" xr:uid="{00000000-0004-0000-0000-00006A000000}"/>
    <hyperlink ref="G109" r:id="rId108" xr:uid="{00000000-0004-0000-0000-00006B000000}"/>
    <hyperlink ref="G110" r:id="rId109" xr:uid="{00000000-0004-0000-0000-00006C000000}"/>
    <hyperlink ref="G111" r:id="rId110" xr:uid="{00000000-0004-0000-0000-00006D000000}"/>
    <hyperlink ref="G112" r:id="rId111" xr:uid="{00000000-0004-0000-0000-00006E000000}"/>
    <hyperlink ref="G113" r:id="rId112" xr:uid="{00000000-0004-0000-0000-00006F000000}"/>
    <hyperlink ref="G114" r:id="rId113" xr:uid="{00000000-0004-0000-0000-000070000000}"/>
    <hyperlink ref="G115" r:id="rId114" xr:uid="{00000000-0004-0000-0000-000071000000}"/>
    <hyperlink ref="G116" r:id="rId115" xr:uid="{00000000-0004-0000-0000-000072000000}"/>
    <hyperlink ref="G117" r:id="rId116" xr:uid="{00000000-0004-0000-0000-000073000000}"/>
    <hyperlink ref="G118" r:id="rId117" xr:uid="{00000000-0004-0000-0000-000074000000}"/>
    <hyperlink ref="G119" r:id="rId118" xr:uid="{00000000-0004-0000-0000-000075000000}"/>
    <hyperlink ref="G120" r:id="rId119" xr:uid="{00000000-0004-0000-0000-000076000000}"/>
    <hyperlink ref="G121" r:id="rId120" xr:uid="{00000000-0004-0000-0000-000077000000}"/>
    <hyperlink ref="G122" r:id="rId121" xr:uid="{00000000-0004-0000-0000-000078000000}"/>
    <hyperlink ref="G123" r:id="rId122" xr:uid="{00000000-0004-0000-0000-000079000000}"/>
    <hyperlink ref="G124" r:id="rId123" xr:uid="{00000000-0004-0000-0000-00007A000000}"/>
    <hyperlink ref="G125" r:id="rId124" xr:uid="{00000000-0004-0000-0000-00007B000000}"/>
    <hyperlink ref="G126" r:id="rId125" xr:uid="{00000000-0004-0000-0000-00007C000000}"/>
    <hyperlink ref="G127" r:id="rId126" xr:uid="{00000000-0004-0000-0000-00007D000000}"/>
    <hyperlink ref="G128" r:id="rId127" xr:uid="{00000000-0004-0000-0000-00007E000000}"/>
    <hyperlink ref="G129" r:id="rId128" xr:uid="{00000000-0004-0000-0000-00007F000000}"/>
    <hyperlink ref="G130" r:id="rId129" xr:uid="{00000000-0004-0000-0000-000080000000}"/>
    <hyperlink ref="G131" r:id="rId130" xr:uid="{00000000-0004-0000-0000-000081000000}"/>
    <hyperlink ref="G132" r:id="rId131" xr:uid="{00000000-0004-0000-0000-000082000000}"/>
    <hyperlink ref="G133" r:id="rId132" xr:uid="{00000000-0004-0000-0000-000083000000}"/>
    <hyperlink ref="G134" r:id="rId133" xr:uid="{00000000-0004-0000-0000-000084000000}"/>
    <hyperlink ref="G135" r:id="rId134" xr:uid="{00000000-0004-0000-0000-000085000000}"/>
    <hyperlink ref="G136" r:id="rId135" xr:uid="{00000000-0004-0000-0000-000086000000}"/>
    <hyperlink ref="G137" r:id="rId136" xr:uid="{00000000-0004-0000-0000-000087000000}"/>
    <hyperlink ref="G138" r:id="rId137" xr:uid="{00000000-0004-0000-0000-000088000000}"/>
    <hyperlink ref="G139" r:id="rId138" xr:uid="{00000000-0004-0000-0000-000089000000}"/>
    <hyperlink ref="G140" r:id="rId139" xr:uid="{00000000-0004-0000-0000-00008A000000}"/>
    <hyperlink ref="G141" r:id="rId140" xr:uid="{00000000-0004-0000-0000-00008B000000}"/>
    <hyperlink ref="G142" r:id="rId141" xr:uid="{00000000-0004-0000-0000-00008C000000}"/>
    <hyperlink ref="G143" r:id="rId142" xr:uid="{00000000-0004-0000-0000-00008D000000}"/>
    <hyperlink ref="G144" r:id="rId143" xr:uid="{00000000-0004-0000-0000-00008E000000}"/>
    <hyperlink ref="G145" r:id="rId144" xr:uid="{00000000-0004-0000-0000-00008F000000}"/>
    <hyperlink ref="G146" r:id="rId145" xr:uid="{00000000-0004-0000-0000-000090000000}"/>
    <hyperlink ref="G147" r:id="rId146" xr:uid="{00000000-0004-0000-0000-000091000000}"/>
    <hyperlink ref="G148" r:id="rId147" xr:uid="{00000000-0004-0000-0000-000092000000}"/>
    <hyperlink ref="G149" r:id="rId148" xr:uid="{00000000-0004-0000-0000-000093000000}"/>
    <hyperlink ref="G150" r:id="rId149" xr:uid="{00000000-0004-0000-0000-000094000000}"/>
    <hyperlink ref="G151" r:id="rId150" xr:uid="{00000000-0004-0000-0000-000095000000}"/>
    <hyperlink ref="G152" r:id="rId151" xr:uid="{00000000-0004-0000-0000-000096000000}"/>
    <hyperlink ref="G153" r:id="rId152" xr:uid="{00000000-0004-0000-0000-000097000000}"/>
    <hyperlink ref="G154" r:id="rId153" xr:uid="{00000000-0004-0000-0000-000098000000}"/>
    <hyperlink ref="G155" r:id="rId154" xr:uid="{00000000-0004-0000-0000-000099000000}"/>
    <hyperlink ref="G156" r:id="rId155" xr:uid="{00000000-0004-0000-0000-00009A000000}"/>
    <hyperlink ref="G157" r:id="rId156" xr:uid="{00000000-0004-0000-0000-00009B000000}"/>
    <hyperlink ref="G158" r:id="rId157" xr:uid="{00000000-0004-0000-0000-00009C000000}"/>
    <hyperlink ref="G159" r:id="rId158" xr:uid="{00000000-0004-0000-0000-00009D000000}"/>
    <hyperlink ref="G160" r:id="rId159" xr:uid="{00000000-0004-0000-0000-00009E000000}"/>
    <hyperlink ref="G161" r:id="rId160" xr:uid="{00000000-0004-0000-0000-00009F000000}"/>
    <hyperlink ref="G162" r:id="rId161" xr:uid="{00000000-0004-0000-0000-0000A0000000}"/>
    <hyperlink ref="G163" r:id="rId162" xr:uid="{00000000-0004-0000-0000-0000A1000000}"/>
    <hyperlink ref="G164" r:id="rId163" xr:uid="{00000000-0004-0000-0000-0000A2000000}"/>
    <hyperlink ref="G165" r:id="rId164" xr:uid="{00000000-0004-0000-0000-0000A3000000}"/>
    <hyperlink ref="G166" r:id="rId165" xr:uid="{00000000-0004-0000-0000-0000A4000000}"/>
    <hyperlink ref="G167" r:id="rId166" xr:uid="{00000000-0004-0000-0000-0000A5000000}"/>
    <hyperlink ref="G168" r:id="rId167" xr:uid="{00000000-0004-0000-0000-0000A6000000}"/>
    <hyperlink ref="G169" r:id="rId168" xr:uid="{00000000-0004-0000-0000-0000A7000000}"/>
    <hyperlink ref="G170" r:id="rId169" xr:uid="{00000000-0004-0000-0000-0000A8000000}"/>
    <hyperlink ref="G171" r:id="rId170" xr:uid="{00000000-0004-0000-0000-0000A9000000}"/>
    <hyperlink ref="G172" r:id="rId171" xr:uid="{00000000-0004-0000-0000-0000AA000000}"/>
    <hyperlink ref="G173" r:id="rId172" xr:uid="{00000000-0004-0000-0000-0000AB000000}"/>
    <hyperlink ref="G174" r:id="rId173" xr:uid="{00000000-0004-0000-0000-0000AC000000}"/>
    <hyperlink ref="G175" r:id="rId174" xr:uid="{00000000-0004-0000-0000-0000AD000000}"/>
    <hyperlink ref="G176" r:id="rId175" xr:uid="{00000000-0004-0000-0000-0000AE000000}"/>
    <hyperlink ref="G177" r:id="rId176" xr:uid="{00000000-0004-0000-0000-0000AF000000}"/>
    <hyperlink ref="G178" r:id="rId177" xr:uid="{00000000-0004-0000-0000-0000B0000000}"/>
    <hyperlink ref="G179" r:id="rId178" xr:uid="{00000000-0004-0000-0000-0000B1000000}"/>
    <hyperlink ref="G180" r:id="rId179" xr:uid="{00000000-0004-0000-0000-0000B2000000}"/>
    <hyperlink ref="G181" r:id="rId180" xr:uid="{00000000-0004-0000-0000-0000B3000000}"/>
    <hyperlink ref="G182" r:id="rId181" xr:uid="{00000000-0004-0000-0000-0000B4000000}"/>
    <hyperlink ref="G183" r:id="rId182" xr:uid="{00000000-0004-0000-0000-0000B5000000}"/>
    <hyperlink ref="G184" r:id="rId183" xr:uid="{00000000-0004-0000-0000-0000B6000000}"/>
    <hyperlink ref="G185" r:id="rId184" xr:uid="{00000000-0004-0000-0000-0000B7000000}"/>
    <hyperlink ref="G186" r:id="rId185" xr:uid="{00000000-0004-0000-0000-0000B8000000}"/>
    <hyperlink ref="G187" r:id="rId186" xr:uid="{00000000-0004-0000-0000-0000B9000000}"/>
    <hyperlink ref="G188" r:id="rId187" xr:uid="{00000000-0004-0000-0000-0000BA000000}"/>
    <hyperlink ref="G189" r:id="rId188" xr:uid="{00000000-0004-0000-0000-0000BB000000}"/>
    <hyperlink ref="G190" r:id="rId189" xr:uid="{00000000-0004-0000-0000-0000BC000000}"/>
    <hyperlink ref="G191" r:id="rId190" xr:uid="{00000000-0004-0000-0000-0000BD000000}"/>
    <hyperlink ref="G192" r:id="rId191" xr:uid="{00000000-0004-0000-0000-0000BE000000}"/>
    <hyperlink ref="G193" r:id="rId192" xr:uid="{00000000-0004-0000-0000-0000BF000000}"/>
    <hyperlink ref="G194" r:id="rId193" xr:uid="{00000000-0004-0000-0000-0000C0000000}"/>
    <hyperlink ref="G195" r:id="rId194" xr:uid="{00000000-0004-0000-0000-0000C1000000}"/>
    <hyperlink ref="G196" r:id="rId195" xr:uid="{00000000-0004-0000-0000-0000C2000000}"/>
    <hyperlink ref="G197" r:id="rId196" xr:uid="{00000000-0004-0000-0000-0000C3000000}"/>
    <hyperlink ref="G198" r:id="rId197" xr:uid="{00000000-0004-0000-0000-0000C4000000}"/>
    <hyperlink ref="G199" r:id="rId198" xr:uid="{00000000-0004-0000-0000-0000C5000000}"/>
    <hyperlink ref="G200" r:id="rId199" xr:uid="{00000000-0004-0000-0000-0000C6000000}"/>
    <hyperlink ref="G201" r:id="rId200" xr:uid="{00000000-0004-0000-0000-0000C7000000}"/>
    <hyperlink ref="G202" r:id="rId201" xr:uid="{00000000-0004-0000-0000-0000C8000000}"/>
    <hyperlink ref="G203" r:id="rId202" xr:uid="{00000000-0004-0000-0000-0000C9000000}"/>
    <hyperlink ref="G204" r:id="rId203" xr:uid="{00000000-0004-0000-0000-0000CA000000}"/>
    <hyperlink ref="G205" r:id="rId204" xr:uid="{00000000-0004-0000-0000-0000CB000000}"/>
    <hyperlink ref="G206" r:id="rId205" xr:uid="{00000000-0004-0000-0000-0000CC000000}"/>
    <hyperlink ref="G207" r:id="rId206" xr:uid="{00000000-0004-0000-0000-0000CD000000}"/>
    <hyperlink ref="G208" r:id="rId207" xr:uid="{00000000-0004-0000-0000-0000CE000000}"/>
    <hyperlink ref="G209" r:id="rId208" xr:uid="{00000000-0004-0000-0000-0000CF000000}"/>
    <hyperlink ref="G210" r:id="rId209" xr:uid="{00000000-0004-0000-0000-0000D0000000}"/>
    <hyperlink ref="G211" r:id="rId210" xr:uid="{00000000-0004-0000-0000-0000D1000000}"/>
    <hyperlink ref="G212" r:id="rId211" xr:uid="{00000000-0004-0000-0000-0000D2000000}"/>
    <hyperlink ref="G213" r:id="rId212" xr:uid="{00000000-0004-0000-0000-0000D3000000}"/>
    <hyperlink ref="G214" r:id="rId213" xr:uid="{00000000-0004-0000-0000-0000D4000000}"/>
    <hyperlink ref="G215" r:id="rId214" xr:uid="{00000000-0004-0000-0000-0000D5000000}"/>
    <hyperlink ref="G216" r:id="rId215" xr:uid="{00000000-0004-0000-0000-0000D6000000}"/>
    <hyperlink ref="G217" r:id="rId216" xr:uid="{00000000-0004-0000-0000-0000D7000000}"/>
    <hyperlink ref="G218" r:id="rId217" xr:uid="{00000000-0004-0000-0000-0000D8000000}"/>
    <hyperlink ref="G219" r:id="rId218" xr:uid="{00000000-0004-0000-0000-0000D9000000}"/>
    <hyperlink ref="G220" r:id="rId219" xr:uid="{00000000-0004-0000-0000-0000DA000000}"/>
    <hyperlink ref="G221" r:id="rId220" xr:uid="{00000000-0004-0000-0000-0000DB000000}"/>
    <hyperlink ref="G222" r:id="rId221" xr:uid="{00000000-0004-0000-0000-0000DC000000}"/>
    <hyperlink ref="G223" r:id="rId222" xr:uid="{00000000-0004-0000-0000-0000DD000000}"/>
    <hyperlink ref="G224" r:id="rId223" xr:uid="{00000000-0004-0000-0000-0000DE000000}"/>
    <hyperlink ref="G225" r:id="rId224" xr:uid="{00000000-0004-0000-0000-0000DF000000}"/>
    <hyperlink ref="G226" r:id="rId225" xr:uid="{00000000-0004-0000-0000-0000E0000000}"/>
    <hyperlink ref="G227" r:id="rId226" xr:uid="{00000000-0004-0000-0000-0000E1000000}"/>
    <hyperlink ref="G228" r:id="rId227" xr:uid="{00000000-0004-0000-0000-0000E2000000}"/>
    <hyperlink ref="G229" r:id="rId228" xr:uid="{00000000-0004-0000-0000-0000E3000000}"/>
    <hyperlink ref="G230" r:id="rId229" xr:uid="{00000000-0004-0000-0000-0000E4000000}"/>
    <hyperlink ref="G231" r:id="rId230" xr:uid="{00000000-0004-0000-0000-0000E5000000}"/>
    <hyperlink ref="G232" r:id="rId231" xr:uid="{00000000-0004-0000-0000-0000E6000000}"/>
    <hyperlink ref="G233" r:id="rId232" xr:uid="{00000000-0004-0000-0000-0000E7000000}"/>
    <hyperlink ref="G234" r:id="rId233" xr:uid="{00000000-0004-0000-0000-0000E8000000}"/>
    <hyperlink ref="G235" r:id="rId234" xr:uid="{00000000-0004-0000-0000-0000E9000000}"/>
    <hyperlink ref="G236" r:id="rId235" xr:uid="{00000000-0004-0000-0000-0000EA000000}"/>
    <hyperlink ref="G237" r:id="rId236" xr:uid="{00000000-0004-0000-0000-0000EB000000}"/>
    <hyperlink ref="G238" r:id="rId237" xr:uid="{00000000-0004-0000-0000-0000EC000000}"/>
    <hyperlink ref="G239" r:id="rId238" xr:uid="{00000000-0004-0000-0000-0000ED000000}"/>
    <hyperlink ref="G240" r:id="rId239" xr:uid="{00000000-0004-0000-0000-0000EE000000}"/>
    <hyperlink ref="G241" r:id="rId240" xr:uid="{00000000-0004-0000-0000-0000EF000000}"/>
    <hyperlink ref="G242" r:id="rId241" xr:uid="{00000000-0004-0000-0000-0000F0000000}"/>
    <hyperlink ref="G243" r:id="rId242" xr:uid="{00000000-0004-0000-0000-0000F1000000}"/>
    <hyperlink ref="G244" r:id="rId243" xr:uid="{00000000-0004-0000-0000-0000F2000000}"/>
    <hyperlink ref="G245" r:id="rId244" xr:uid="{00000000-0004-0000-0000-0000F3000000}"/>
    <hyperlink ref="G246" r:id="rId245" xr:uid="{00000000-0004-0000-0000-0000F4000000}"/>
    <hyperlink ref="G247" r:id="rId246" xr:uid="{00000000-0004-0000-0000-0000F5000000}"/>
    <hyperlink ref="G248" r:id="rId247" xr:uid="{00000000-0004-0000-0000-0000F6000000}"/>
    <hyperlink ref="G249" r:id="rId248" xr:uid="{00000000-0004-0000-0000-0000F7000000}"/>
    <hyperlink ref="G250" r:id="rId249" xr:uid="{00000000-0004-0000-0000-0000F8000000}"/>
    <hyperlink ref="G251" r:id="rId250" xr:uid="{00000000-0004-0000-0000-0000F9000000}"/>
    <hyperlink ref="G252" r:id="rId251" xr:uid="{00000000-0004-0000-0000-0000FA000000}"/>
    <hyperlink ref="G253" r:id="rId252" xr:uid="{00000000-0004-0000-0000-0000FB000000}"/>
    <hyperlink ref="G254" r:id="rId253" xr:uid="{00000000-0004-0000-0000-0000FC000000}"/>
    <hyperlink ref="G255" r:id="rId254" xr:uid="{00000000-0004-0000-0000-0000FD000000}"/>
    <hyperlink ref="G256" r:id="rId255" xr:uid="{00000000-0004-0000-0000-0000FE000000}"/>
    <hyperlink ref="G257" r:id="rId256" xr:uid="{00000000-0004-0000-0000-0000FF000000}"/>
    <hyperlink ref="G258" r:id="rId257" xr:uid="{00000000-0004-0000-0000-000000010000}"/>
    <hyperlink ref="G259" r:id="rId258" xr:uid="{00000000-0004-0000-0000-000001010000}"/>
    <hyperlink ref="G260" r:id="rId259" xr:uid="{00000000-0004-0000-0000-000002010000}"/>
    <hyperlink ref="G261" r:id="rId260" xr:uid="{00000000-0004-0000-0000-000003010000}"/>
    <hyperlink ref="G262" r:id="rId261" xr:uid="{00000000-0004-0000-0000-000004010000}"/>
    <hyperlink ref="G263" r:id="rId262" xr:uid="{00000000-0004-0000-0000-000005010000}"/>
    <hyperlink ref="G264" r:id="rId263" xr:uid="{00000000-0004-0000-0000-000006010000}"/>
    <hyperlink ref="G265" r:id="rId264" xr:uid="{00000000-0004-0000-0000-000007010000}"/>
    <hyperlink ref="G266" r:id="rId265" xr:uid="{00000000-0004-0000-0000-000008010000}"/>
    <hyperlink ref="G267" r:id="rId266" xr:uid="{00000000-0004-0000-0000-000009010000}"/>
    <hyperlink ref="G268" r:id="rId267" xr:uid="{00000000-0004-0000-0000-00000A010000}"/>
    <hyperlink ref="G269" r:id="rId268" xr:uid="{00000000-0004-0000-0000-00000B010000}"/>
    <hyperlink ref="G270" r:id="rId269" xr:uid="{00000000-0004-0000-0000-00000C010000}"/>
    <hyperlink ref="G271" r:id="rId270" xr:uid="{00000000-0004-0000-0000-00000D010000}"/>
    <hyperlink ref="G272" r:id="rId271" xr:uid="{00000000-0004-0000-0000-00000E010000}"/>
    <hyperlink ref="G273" r:id="rId272" xr:uid="{00000000-0004-0000-0000-00000F010000}"/>
    <hyperlink ref="G274" r:id="rId273" xr:uid="{00000000-0004-0000-0000-000010010000}"/>
    <hyperlink ref="G275" r:id="rId274" xr:uid="{00000000-0004-0000-0000-000011010000}"/>
    <hyperlink ref="G276" r:id="rId275" xr:uid="{00000000-0004-0000-0000-000012010000}"/>
    <hyperlink ref="G277" r:id="rId276" xr:uid="{00000000-0004-0000-0000-000013010000}"/>
    <hyperlink ref="G278" r:id="rId277" xr:uid="{00000000-0004-0000-0000-000014010000}"/>
    <hyperlink ref="G279" r:id="rId278" xr:uid="{00000000-0004-0000-0000-000015010000}"/>
    <hyperlink ref="G280" r:id="rId279" xr:uid="{00000000-0004-0000-0000-000016010000}"/>
    <hyperlink ref="G281" r:id="rId280" xr:uid="{00000000-0004-0000-0000-000017010000}"/>
    <hyperlink ref="G282" r:id="rId281" xr:uid="{00000000-0004-0000-0000-000018010000}"/>
    <hyperlink ref="G283" r:id="rId282" xr:uid="{00000000-0004-0000-0000-000019010000}"/>
    <hyperlink ref="G284" r:id="rId283" xr:uid="{00000000-0004-0000-0000-00001A010000}"/>
    <hyperlink ref="G285" r:id="rId284" xr:uid="{00000000-0004-0000-0000-00001B010000}"/>
    <hyperlink ref="G286" r:id="rId285" xr:uid="{00000000-0004-0000-0000-00001C010000}"/>
    <hyperlink ref="G287" r:id="rId286" xr:uid="{00000000-0004-0000-0000-00001D010000}"/>
    <hyperlink ref="G288" r:id="rId287" xr:uid="{00000000-0004-0000-0000-00001E010000}"/>
    <hyperlink ref="G289" r:id="rId288" xr:uid="{00000000-0004-0000-0000-00001F010000}"/>
    <hyperlink ref="G290" r:id="rId289" xr:uid="{00000000-0004-0000-0000-000020010000}"/>
    <hyperlink ref="G291" r:id="rId290" xr:uid="{00000000-0004-0000-0000-000021010000}"/>
    <hyperlink ref="G292" r:id="rId291" xr:uid="{00000000-0004-0000-0000-000022010000}"/>
    <hyperlink ref="G293" r:id="rId292" xr:uid="{00000000-0004-0000-0000-000023010000}"/>
    <hyperlink ref="G294" r:id="rId293" xr:uid="{00000000-0004-0000-0000-000024010000}"/>
    <hyperlink ref="G295" r:id="rId294" xr:uid="{00000000-0004-0000-0000-000025010000}"/>
    <hyperlink ref="G296" r:id="rId295" xr:uid="{00000000-0004-0000-0000-000026010000}"/>
    <hyperlink ref="G297" r:id="rId296" xr:uid="{00000000-0004-0000-0000-000027010000}"/>
    <hyperlink ref="G298" r:id="rId297" xr:uid="{00000000-0004-0000-0000-000028010000}"/>
    <hyperlink ref="G299" r:id="rId298" xr:uid="{00000000-0004-0000-0000-000029010000}"/>
    <hyperlink ref="G300" r:id="rId299" xr:uid="{00000000-0004-0000-0000-00002A010000}"/>
    <hyperlink ref="G301" r:id="rId300" xr:uid="{00000000-0004-0000-0000-00002B010000}"/>
    <hyperlink ref="G302" r:id="rId301" xr:uid="{00000000-0004-0000-0000-00002C010000}"/>
    <hyperlink ref="G303" r:id="rId302" xr:uid="{00000000-0004-0000-0000-00002D010000}"/>
    <hyperlink ref="G304" r:id="rId303" xr:uid="{00000000-0004-0000-0000-00002E010000}"/>
    <hyperlink ref="G305" r:id="rId304" xr:uid="{00000000-0004-0000-0000-00002F010000}"/>
    <hyperlink ref="G306" r:id="rId305" xr:uid="{00000000-0004-0000-0000-000030010000}"/>
    <hyperlink ref="G307" r:id="rId306" xr:uid="{00000000-0004-0000-0000-000031010000}"/>
    <hyperlink ref="G308" r:id="rId307" xr:uid="{00000000-0004-0000-0000-000032010000}"/>
    <hyperlink ref="G309" r:id="rId308" xr:uid="{00000000-0004-0000-0000-000033010000}"/>
    <hyperlink ref="G310" r:id="rId309" xr:uid="{00000000-0004-0000-0000-000034010000}"/>
    <hyperlink ref="G311" r:id="rId310" xr:uid="{00000000-0004-0000-0000-000035010000}"/>
    <hyperlink ref="G312" r:id="rId311" xr:uid="{00000000-0004-0000-0000-000036010000}"/>
    <hyperlink ref="G313" r:id="rId312" xr:uid="{00000000-0004-0000-0000-000037010000}"/>
    <hyperlink ref="G314" r:id="rId313" xr:uid="{00000000-0004-0000-0000-000038010000}"/>
    <hyperlink ref="G315" r:id="rId314" xr:uid="{00000000-0004-0000-0000-000039010000}"/>
    <hyperlink ref="G316" r:id="rId315" xr:uid="{00000000-0004-0000-0000-00003A010000}"/>
    <hyperlink ref="G317" r:id="rId316" xr:uid="{00000000-0004-0000-0000-00003B010000}"/>
    <hyperlink ref="G318" r:id="rId317" xr:uid="{00000000-0004-0000-0000-00003C010000}"/>
    <hyperlink ref="G319" r:id="rId318" xr:uid="{00000000-0004-0000-0000-00003D010000}"/>
    <hyperlink ref="G320" r:id="rId319" xr:uid="{00000000-0004-0000-0000-00003E010000}"/>
    <hyperlink ref="G321" r:id="rId320" xr:uid="{00000000-0004-0000-0000-00003F010000}"/>
    <hyperlink ref="G322" r:id="rId321" xr:uid="{00000000-0004-0000-0000-000040010000}"/>
    <hyperlink ref="G323" r:id="rId322" xr:uid="{00000000-0004-0000-0000-000041010000}"/>
    <hyperlink ref="G324" r:id="rId323" xr:uid="{00000000-0004-0000-0000-000042010000}"/>
    <hyperlink ref="G325" r:id="rId324" xr:uid="{00000000-0004-0000-0000-000043010000}"/>
    <hyperlink ref="G326" r:id="rId325" xr:uid="{00000000-0004-0000-0000-000044010000}"/>
    <hyperlink ref="G327" r:id="rId326" xr:uid="{00000000-0004-0000-0000-000045010000}"/>
    <hyperlink ref="G328" r:id="rId327" xr:uid="{00000000-0004-0000-0000-000046010000}"/>
    <hyperlink ref="G329" r:id="rId328" xr:uid="{00000000-0004-0000-0000-000047010000}"/>
    <hyperlink ref="G330" r:id="rId329" xr:uid="{00000000-0004-0000-0000-000048010000}"/>
    <hyperlink ref="G331" r:id="rId330" xr:uid="{00000000-0004-0000-0000-000049010000}"/>
    <hyperlink ref="G332" r:id="rId331" xr:uid="{00000000-0004-0000-0000-00004A010000}"/>
    <hyperlink ref="G333" r:id="rId332" xr:uid="{00000000-0004-0000-0000-00004B010000}"/>
    <hyperlink ref="G334" r:id="rId333" xr:uid="{00000000-0004-0000-0000-00004C010000}"/>
    <hyperlink ref="G335" r:id="rId334" xr:uid="{00000000-0004-0000-0000-00004D010000}"/>
    <hyperlink ref="G336" r:id="rId335" xr:uid="{00000000-0004-0000-0000-00004E010000}"/>
    <hyperlink ref="G337" r:id="rId336" xr:uid="{00000000-0004-0000-0000-00004F010000}"/>
    <hyperlink ref="G338" r:id="rId337" xr:uid="{00000000-0004-0000-0000-000050010000}"/>
    <hyperlink ref="G339" r:id="rId338" xr:uid="{00000000-0004-0000-0000-000051010000}"/>
    <hyperlink ref="G340" r:id="rId339" xr:uid="{00000000-0004-0000-0000-000052010000}"/>
    <hyperlink ref="G341" r:id="rId340" xr:uid="{00000000-0004-0000-0000-000053010000}"/>
    <hyperlink ref="G342" r:id="rId341" xr:uid="{00000000-0004-0000-0000-000054010000}"/>
    <hyperlink ref="G343" r:id="rId342" xr:uid="{00000000-0004-0000-0000-000055010000}"/>
    <hyperlink ref="G344" r:id="rId343" xr:uid="{00000000-0004-0000-0000-000056010000}"/>
    <hyperlink ref="G345" r:id="rId344" xr:uid="{00000000-0004-0000-0000-000057010000}"/>
    <hyperlink ref="G346" r:id="rId345" xr:uid="{00000000-0004-0000-0000-000058010000}"/>
    <hyperlink ref="G347" r:id="rId346" xr:uid="{00000000-0004-0000-0000-000059010000}"/>
    <hyperlink ref="G348" r:id="rId347" xr:uid="{00000000-0004-0000-0000-00005A010000}"/>
    <hyperlink ref="G349" r:id="rId348" xr:uid="{00000000-0004-0000-0000-00005B010000}"/>
    <hyperlink ref="G350" r:id="rId349" xr:uid="{00000000-0004-0000-0000-00005C010000}"/>
    <hyperlink ref="G351" r:id="rId350" xr:uid="{00000000-0004-0000-0000-00005D010000}"/>
    <hyperlink ref="G352" r:id="rId351" xr:uid="{00000000-0004-0000-0000-00005E010000}"/>
    <hyperlink ref="G353" r:id="rId352" xr:uid="{00000000-0004-0000-0000-00005F010000}"/>
    <hyperlink ref="G354" r:id="rId353" xr:uid="{00000000-0004-0000-0000-000060010000}"/>
    <hyperlink ref="G355" r:id="rId354" xr:uid="{00000000-0004-0000-0000-000061010000}"/>
    <hyperlink ref="G356" r:id="rId355" xr:uid="{00000000-0004-0000-0000-000062010000}"/>
    <hyperlink ref="G357" r:id="rId356" xr:uid="{00000000-0004-0000-0000-000063010000}"/>
    <hyperlink ref="G358" r:id="rId357" xr:uid="{00000000-0004-0000-0000-000064010000}"/>
    <hyperlink ref="G359" r:id="rId358" xr:uid="{00000000-0004-0000-0000-000065010000}"/>
    <hyperlink ref="G360" r:id="rId359" xr:uid="{00000000-0004-0000-0000-000066010000}"/>
    <hyperlink ref="G361" r:id="rId360" xr:uid="{00000000-0004-0000-0000-000067010000}"/>
    <hyperlink ref="G362" r:id="rId361" xr:uid="{00000000-0004-0000-0000-000068010000}"/>
    <hyperlink ref="G363" r:id="rId362" xr:uid="{00000000-0004-0000-0000-000069010000}"/>
    <hyperlink ref="G364" r:id="rId363" xr:uid="{00000000-0004-0000-0000-00006A010000}"/>
    <hyperlink ref="G365" r:id="rId364" xr:uid="{00000000-0004-0000-0000-00006B010000}"/>
    <hyperlink ref="G366" r:id="rId365" xr:uid="{00000000-0004-0000-0000-00006C010000}"/>
    <hyperlink ref="G367" r:id="rId366" xr:uid="{00000000-0004-0000-0000-00006D010000}"/>
    <hyperlink ref="G368" r:id="rId367" xr:uid="{00000000-0004-0000-0000-00006E010000}"/>
    <hyperlink ref="G369" r:id="rId368" xr:uid="{00000000-0004-0000-0000-00006F010000}"/>
    <hyperlink ref="G370" r:id="rId369" xr:uid="{00000000-0004-0000-0000-000070010000}"/>
    <hyperlink ref="G371" r:id="rId370" xr:uid="{00000000-0004-0000-0000-000071010000}"/>
    <hyperlink ref="G372" r:id="rId371" xr:uid="{00000000-0004-0000-0000-000072010000}"/>
    <hyperlink ref="G373" r:id="rId372" xr:uid="{00000000-0004-0000-0000-000073010000}"/>
    <hyperlink ref="G374" r:id="rId373" xr:uid="{00000000-0004-0000-0000-000074010000}"/>
    <hyperlink ref="G375" r:id="rId374" xr:uid="{00000000-0004-0000-0000-000075010000}"/>
    <hyperlink ref="G376" r:id="rId375" xr:uid="{00000000-0004-0000-0000-000076010000}"/>
    <hyperlink ref="G377" r:id="rId376" xr:uid="{00000000-0004-0000-0000-000077010000}"/>
    <hyperlink ref="G378" r:id="rId377" xr:uid="{00000000-0004-0000-0000-000078010000}"/>
    <hyperlink ref="G379" r:id="rId378" xr:uid="{00000000-0004-0000-0000-000079010000}"/>
    <hyperlink ref="G380" r:id="rId379" xr:uid="{00000000-0004-0000-0000-00007A010000}"/>
    <hyperlink ref="G381" r:id="rId380" xr:uid="{00000000-0004-0000-0000-00007B010000}"/>
    <hyperlink ref="G382" r:id="rId381" xr:uid="{00000000-0004-0000-0000-00007C010000}"/>
    <hyperlink ref="G383" r:id="rId382" xr:uid="{00000000-0004-0000-0000-00007D010000}"/>
    <hyperlink ref="G384" r:id="rId383" xr:uid="{00000000-0004-0000-0000-00007E010000}"/>
    <hyperlink ref="G385" r:id="rId384" xr:uid="{00000000-0004-0000-0000-00007F010000}"/>
    <hyperlink ref="G386" r:id="rId385" xr:uid="{00000000-0004-0000-0000-000080010000}"/>
    <hyperlink ref="G387" r:id="rId386" xr:uid="{00000000-0004-0000-0000-000081010000}"/>
    <hyperlink ref="G388" r:id="rId387" xr:uid="{00000000-0004-0000-0000-000082010000}"/>
    <hyperlink ref="G389" r:id="rId388" xr:uid="{00000000-0004-0000-0000-000083010000}"/>
    <hyperlink ref="G390" r:id="rId389" xr:uid="{00000000-0004-0000-0000-000084010000}"/>
    <hyperlink ref="G391" r:id="rId390" xr:uid="{00000000-0004-0000-0000-000085010000}"/>
    <hyperlink ref="G392" r:id="rId391" xr:uid="{00000000-0004-0000-0000-000086010000}"/>
    <hyperlink ref="G393" r:id="rId392" xr:uid="{00000000-0004-0000-0000-000087010000}"/>
    <hyperlink ref="G394" r:id="rId393" xr:uid="{00000000-0004-0000-0000-000088010000}"/>
    <hyperlink ref="G395" r:id="rId394" xr:uid="{00000000-0004-0000-0000-000089010000}"/>
    <hyperlink ref="G396" r:id="rId395" xr:uid="{00000000-0004-0000-0000-00008A010000}"/>
    <hyperlink ref="G397" r:id="rId396" xr:uid="{00000000-0004-0000-0000-00008B010000}"/>
    <hyperlink ref="G398" r:id="rId397" xr:uid="{00000000-0004-0000-0000-00008C010000}"/>
    <hyperlink ref="G399" r:id="rId398" xr:uid="{00000000-0004-0000-0000-00008D010000}"/>
    <hyperlink ref="G400" r:id="rId399" xr:uid="{00000000-0004-0000-0000-00008E010000}"/>
    <hyperlink ref="G401" r:id="rId400" xr:uid="{00000000-0004-0000-0000-00008F010000}"/>
    <hyperlink ref="G402" r:id="rId401" xr:uid="{00000000-0004-0000-0000-000090010000}"/>
    <hyperlink ref="G403" r:id="rId402" xr:uid="{00000000-0004-0000-0000-000091010000}"/>
    <hyperlink ref="G404" r:id="rId403" xr:uid="{00000000-0004-0000-0000-000092010000}"/>
    <hyperlink ref="G405" r:id="rId404" xr:uid="{00000000-0004-0000-0000-000093010000}"/>
    <hyperlink ref="G406" r:id="rId405" xr:uid="{00000000-0004-0000-0000-000094010000}"/>
    <hyperlink ref="G407" r:id="rId406" xr:uid="{00000000-0004-0000-0000-000095010000}"/>
    <hyperlink ref="G408" r:id="rId407" xr:uid="{00000000-0004-0000-0000-000096010000}"/>
    <hyperlink ref="G409" r:id="rId408" xr:uid="{00000000-0004-0000-0000-000097010000}"/>
    <hyperlink ref="G410" r:id="rId409" xr:uid="{00000000-0004-0000-0000-000098010000}"/>
    <hyperlink ref="G411" r:id="rId410" xr:uid="{00000000-0004-0000-0000-000099010000}"/>
    <hyperlink ref="G412" r:id="rId411" xr:uid="{00000000-0004-0000-0000-00009A010000}"/>
    <hyperlink ref="G413" r:id="rId412" xr:uid="{00000000-0004-0000-0000-00009B010000}"/>
    <hyperlink ref="G414" r:id="rId413" xr:uid="{00000000-0004-0000-0000-00009C010000}"/>
    <hyperlink ref="G415" r:id="rId414" xr:uid="{00000000-0004-0000-0000-00009D010000}"/>
    <hyperlink ref="G416" r:id="rId415" xr:uid="{00000000-0004-0000-0000-00009E010000}"/>
    <hyperlink ref="G417" r:id="rId416" xr:uid="{00000000-0004-0000-0000-00009F010000}"/>
    <hyperlink ref="G418" r:id="rId417" xr:uid="{00000000-0004-0000-0000-0000A0010000}"/>
    <hyperlink ref="G419" r:id="rId418" xr:uid="{00000000-0004-0000-0000-0000A1010000}"/>
    <hyperlink ref="G420" r:id="rId419" xr:uid="{00000000-0004-0000-0000-0000A2010000}"/>
    <hyperlink ref="G421" r:id="rId420" xr:uid="{00000000-0004-0000-0000-0000A3010000}"/>
    <hyperlink ref="G422" r:id="rId421" xr:uid="{00000000-0004-0000-0000-0000A4010000}"/>
    <hyperlink ref="G423" r:id="rId422" xr:uid="{00000000-0004-0000-0000-0000A5010000}"/>
    <hyperlink ref="G424" r:id="rId423" xr:uid="{00000000-0004-0000-0000-0000A6010000}"/>
    <hyperlink ref="G425" r:id="rId424" xr:uid="{00000000-0004-0000-0000-0000A7010000}"/>
    <hyperlink ref="G426" r:id="rId425" xr:uid="{00000000-0004-0000-0000-0000A8010000}"/>
    <hyperlink ref="G427" r:id="rId426" xr:uid="{00000000-0004-0000-0000-0000A9010000}"/>
    <hyperlink ref="G428" r:id="rId427" xr:uid="{00000000-0004-0000-0000-0000AA010000}"/>
    <hyperlink ref="G429" r:id="rId428" xr:uid="{00000000-0004-0000-0000-0000AB010000}"/>
    <hyperlink ref="G430" r:id="rId429" xr:uid="{00000000-0004-0000-0000-0000AC010000}"/>
    <hyperlink ref="G431" r:id="rId430" xr:uid="{00000000-0004-0000-0000-0000AD010000}"/>
    <hyperlink ref="G432" r:id="rId431" xr:uid="{00000000-0004-0000-0000-0000AE010000}"/>
    <hyperlink ref="G433" r:id="rId432" xr:uid="{00000000-0004-0000-0000-0000AF010000}"/>
    <hyperlink ref="G434" r:id="rId433" xr:uid="{00000000-0004-0000-0000-0000B0010000}"/>
    <hyperlink ref="G435" r:id="rId434" xr:uid="{00000000-0004-0000-0000-0000B1010000}"/>
    <hyperlink ref="G436" r:id="rId435" xr:uid="{00000000-0004-0000-0000-0000B2010000}"/>
    <hyperlink ref="G437" r:id="rId436" xr:uid="{00000000-0004-0000-0000-0000B3010000}"/>
    <hyperlink ref="G438" r:id="rId437" xr:uid="{00000000-0004-0000-0000-0000B4010000}"/>
    <hyperlink ref="G439" r:id="rId438" xr:uid="{00000000-0004-0000-0000-0000B5010000}"/>
    <hyperlink ref="G440" r:id="rId439" xr:uid="{00000000-0004-0000-0000-0000B6010000}"/>
    <hyperlink ref="G441" r:id="rId440" xr:uid="{00000000-0004-0000-0000-0000B7010000}"/>
    <hyperlink ref="G442" r:id="rId441" xr:uid="{00000000-0004-0000-0000-0000B8010000}"/>
    <hyperlink ref="G443" r:id="rId442" xr:uid="{00000000-0004-0000-0000-0000B9010000}"/>
    <hyperlink ref="G444" r:id="rId443" xr:uid="{00000000-0004-0000-0000-0000BA010000}"/>
    <hyperlink ref="G445" r:id="rId444" xr:uid="{00000000-0004-0000-0000-0000BB010000}"/>
    <hyperlink ref="G446" r:id="rId445" xr:uid="{00000000-0004-0000-0000-0000BC010000}"/>
    <hyperlink ref="G447" r:id="rId446" xr:uid="{00000000-0004-0000-0000-0000BD010000}"/>
    <hyperlink ref="G448" r:id="rId447" xr:uid="{00000000-0004-0000-0000-0000BE010000}"/>
    <hyperlink ref="G449" r:id="rId448" xr:uid="{00000000-0004-0000-0000-0000BF010000}"/>
    <hyperlink ref="G450" r:id="rId449" xr:uid="{00000000-0004-0000-0000-0000C0010000}"/>
    <hyperlink ref="G451" r:id="rId450" xr:uid="{00000000-0004-0000-0000-0000C1010000}"/>
    <hyperlink ref="G452" r:id="rId451" xr:uid="{00000000-0004-0000-0000-0000C2010000}"/>
    <hyperlink ref="G453" r:id="rId452" xr:uid="{00000000-0004-0000-0000-0000C3010000}"/>
    <hyperlink ref="G454" r:id="rId453" xr:uid="{00000000-0004-0000-0000-0000C4010000}"/>
    <hyperlink ref="G455" r:id="rId454" xr:uid="{00000000-0004-0000-0000-0000C5010000}"/>
    <hyperlink ref="G456" r:id="rId455" xr:uid="{00000000-0004-0000-0000-0000C6010000}"/>
    <hyperlink ref="G457" r:id="rId456" xr:uid="{00000000-0004-0000-0000-0000C7010000}"/>
    <hyperlink ref="G458" r:id="rId457" xr:uid="{00000000-0004-0000-0000-0000C8010000}"/>
    <hyperlink ref="G459" r:id="rId458" xr:uid="{00000000-0004-0000-0000-0000C9010000}"/>
    <hyperlink ref="G460" r:id="rId459" xr:uid="{00000000-0004-0000-0000-0000CA010000}"/>
    <hyperlink ref="G461" r:id="rId460" xr:uid="{00000000-0004-0000-0000-0000CB010000}"/>
    <hyperlink ref="G462" r:id="rId461" xr:uid="{00000000-0004-0000-0000-0000CC010000}"/>
    <hyperlink ref="G463" r:id="rId462" xr:uid="{00000000-0004-0000-0000-0000CD010000}"/>
    <hyperlink ref="G464" r:id="rId463" xr:uid="{00000000-0004-0000-0000-0000CE010000}"/>
    <hyperlink ref="G465" r:id="rId464" xr:uid="{00000000-0004-0000-0000-0000CF010000}"/>
    <hyperlink ref="G466" r:id="rId465" xr:uid="{00000000-0004-0000-0000-0000D0010000}"/>
    <hyperlink ref="G467" r:id="rId466" xr:uid="{00000000-0004-0000-0000-0000D1010000}"/>
    <hyperlink ref="G468" r:id="rId467" xr:uid="{00000000-0004-0000-0000-0000D2010000}"/>
    <hyperlink ref="G469" r:id="rId468" xr:uid="{00000000-0004-0000-0000-0000D3010000}"/>
    <hyperlink ref="G470" r:id="rId469" xr:uid="{00000000-0004-0000-0000-0000D4010000}"/>
    <hyperlink ref="G471" r:id="rId470" xr:uid="{00000000-0004-0000-0000-0000D5010000}"/>
    <hyperlink ref="G472" r:id="rId471" xr:uid="{00000000-0004-0000-0000-0000D6010000}"/>
    <hyperlink ref="G473" r:id="rId472" xr:uid="{00000000-0004-0000-0000-0000D7010000}"/>
    <hyperlink ref="G474" r:id="rId473" xr:uid="{00000000-0004-0000-0000-0000D8010000}"/>
    <hyperlink ref="G475" r:id="rId474" xr:uid="{00000000-0004-0000-0000-0000D9010000}"/>
    <hyperlink ref="G476" r:id="rId475" xr:uid="{00000000-0004-0000-0000-0000DA010000}"/>
    <hyperlink ref="G477" r:id="rId476" xr:uid="{00000000-0004-0000-0000-0000DB010000}"/>
    <hyperlink ref="G478" r:id="rId477" xr:uid="{00000000-0004-0000-0000-0000DC010000}"/>
    <hyperlink ref="G479" r:id="rId478" xr:uid="{00000000-0004-0000-0000-0000DD010000}"/>
    <hyperlink ref="G480" r:id="rId479" xr:uid="{00000000-0004-0000-0000-0000DE010000}"/>
    <hyperlink ref="G481" r:id="rId480" xr:uid="{00000000-0004-0000-0000-0000DF010000}"/>
    <hyperlink ref="G482" r:id="rId481" xr:uid="{00000000-0004-0000-0000-0000E0010000}"/>
    <hyperlink ref="G483" r:id="rId482" xr:uid="{00000000-0004-0000-0000-0000E1010000}"/>
    <hyperlink ref="G484" r:id="rId483" xr:uid="{00000000-0004-0000-0000-0000E2010000}"/>
    <hyperlink ref="G485" r:id="rId484" xr:uid="{00000000-0004-0000-0000-0000E3010000}"/>
    <hyperlink ref="G486" r:id="rId485" xr:uid="{00000000-0004-0000-0000-0000E4010000}"/>
    <hyperlink ref="G487" r:id="rId486" xr:uid="{00000000-0004-0000-0000-0000E5010000}"/>
    <hyperlink ref="G488" r:id="rId487" xr:uid="{00000000-0004-0000-0000-0000E6010000}"/>
    <hyperlink ref="G489" r:id="rId488" xr:uid="{00000000-0004-0000-0000-0000E7010000}"/>
    <hyperlink ref="G490" r:id="rId489" xr:uid="{00000000-0004-0000-0000-0000E8010000}"/>
    <hyperlink ref="G491" r:id="rId490" xr:uid="{00000000-0004-0000-0000-0000E9010000}"/>
    <hyperlink ref="G492" r:id="rId491" xr:uid="{00000000-0004-0000-0000-0000EA010000}"/>
    <hyperlink ref="G493" r:id="rId492" xr:uid="{00000000-0004-0000-0000-0000EB010000}"/>
    <hyperlink ref="G494" r:id="rId493" xr:uid="{00000000-0004-0000-0000-0000EC010000}"/>
    <hyperlink ref="G495" r:id="rId494" xr:uid="{00000000-0004-0000-0000-0000ED010000}"/>
    <hyperlink ref="G496" r:id="rId495" xr:uid="{00000000-0004-0000-0000-0000EE010000}"/>
    <hyperlink ref="G497" r:id="rId496" xr:uid="{00000000-0004-0000-0000-0000EF010000}"/>
    <hyperlink ref="G498" r:id="rId497" xr:uid="{00000000-0004-0000-0000-0000F0010000}"/>
    <hyperlink ref="G499" r:id="rId498" xr:uid="{00000000-0004-0000-0000-0000F1010000}"/>
    <hyperlink ref="G500" r:id="rId499" xr:uid="{00000000-0004-0000-0000-0000F2010000}"/>
    <hyperlink ref="G501" r:id="rId500" xr:uid="{00000000-0004-0000-0000-0000F3010000}"/>
    <hyperlink ref="G502" r:id="rId501" xr:uid="{00000000-0004-0000-0000-0000F4010000}"/>
    <hyperlink ref="G503" r:id="rId502" xr:uid="{00000000-0004-0000-0000-0000F5010000}"/>
    <hyperlink ref="G504" r:id="rId503" xr:uid="{00000000-0004-0000-0000-0000F6010000}"/>
    <hyperlink ref="G505" r:id="rId504" xr:uid="{00000000-0004-0000-0000-0000F7010000}"/>
    <hyperlink ref="G506" r:id="rId505" xr:uid="{00000000-0004-0000-0000-0000F8010000}"/>
    <hyperlink ref="G507" r:id="rId506" xr:uid="{00000000-0004-0000-0000-0000F9010000}"/>
    <hyperlink ref="G508" r:id="rId507" xr:uid="{00000000-0004-0000-0000-0000FA010000}"/>
    <hyperlink ref="G509" r:id="rId508" xr:uid="{00000000-0004-0000-0000-0000FB010000}"/>
    <hyperlink ref="G510" r:id="rId509" xr:uid="{00000000-0004-0000-0000-0000FC010000}"/>
    <hyperlink ref="G511" r:id="rId510" xr:uid="{00000000-0004-0000-0000-0000FD010000}"/>
    <hyperlink ref="G512" r:id="rId511" xr:uid="{00000000-0004-0000-0000-0000FE010000}"/>
    <hyperlink ref="G513" r:id="rId512" xr:uid="{00000000-0004-0000-0000-0000FF010000}"/>
    <hyperlink ref="G514" r:id="rId513" xr:uid="{00000000-0004-0000-0000-000000020000}"/>
    <hyperlink ref="G515" r:id="rId514" xr:uid="{00000000-0004-0000-0000-000001020000}"/>
    <hyperlink ref="G516" r:id="rId515" xr:uid="{00000000-0004-0000-0000-000002020000}"/>
    <hyperlink ref="G517" r:id="rId516" xr:uid="{00000000-0004-0000-0000-000003020000}"/>
    <hyperlink ref="G518" r:id="rId517" xr:uid="{00000000-0004-0000-0000-000004020000}"/>
    <hyperlink ref="G519" r:id="rId518" xr:uid="{00000000-0004-0000-0000-000005020000}"/>
    <hyperlink ref="G520" r:id="rId519" xr:uid="{00000000-0004-0000-0000-000006020000}"/>
    <hyperlink ref="G521" r:id="rId520" xr:uid="{00000000-0004-0000-0000-000007020000}"/>
    <hyperlink ref="G522" r:id="rId521" xr:uid="{00000000-0004-0000-0000-000008020000}"/>
    <hyperlink ref="G523" r:id="rId522" xr:uid="{00000000-0004-0000-0000-000009020000}"/>
    <hyperlink ref="G524" r:id="rId523" xr:uid="{00000000-0004-0000-0000-00000A020000}"/>
    <hyperlink ref="G525" r:id="rId524" xr:uid="{00000000-0004-0000-0000-00000B020000}"/>
    <hyperlink ref="G526" r:id="rId525" xr:uid="{00000000-0004-0000-0000-00000C020000}"/>
    <hyperlink ref="G527" r:id="rId526" xr:uid="{00000000-0004-0000-0000-00000D020000}"/>
    <hyperlink ref="G528" r:id="rId527" xr:uid="{00000000-0004-0000-0000-00000E020000}"/>
    <hyperlink ref="G529" r:id="rId528" xr:uid="{00000000-0004-0000-0000-00000F020000}"/>
    <hyperlink ref="G530" r:id="rId529" xr:uid="{00000000-0004-0000-0000-000010020000}"/>
    <hyperlink ref="G531" r:id="rId530" xr:uid="{00000000-0004-0000-0000-000011020000}"/>
    <hyperlink ref="G532" r:id="rId531" xr:uid="{00000000-0004-0000-0000-000012020000}"/>
    <hyperlink ref="G533" r:id="rId532" xr:uid="{00000000-0004-0000-0000-000013020000}"/>
    <hyperlink ref="G534" r:id="rId533" xr:uid="{00000000-0004-0000-0000-000014020000}"/>
    <hyperlink ref="G535" r:id="rId534" xr:uid="{00000000-0004-0000-0000-000015020000}"/>
    <hyperlink ref="G536" r:id="rId535" xr:uid="{00000000-0004-0000-0000-000016020000}"/>
    <hyperlink ref="G537" r:id="rId536" xr:uid="{00000000-0004-0000-0000-000017020000}"/>
    <hyperlink ref="G538" r:id="rId537" xr:uid="{00000000-0004-0000-0000-000018020000}"/>
    <hyperlink ref="G539" r:id="rId538" xr:uid="{00000000-0004-0000-0000-000019020000}"/>
    <hyperlink ref="G540" r:id="rId539" xr:uid="{00000000-0004-0000-0000-00001A020000}"/>
    <hyperlink ref="G541" r:id="rId540" xr:uid="{00000000-0004-0000-0000-00001B020000}"/>
    <hyperlink ref="G542" r:id="rId541" xr:uid="{00000000-0004-0000-0000-00001C020000}"/>
    <hyperlink ref="G543" r:id="rId542" xr:uid="{00000000-0004-0000-0000-00001D020000}"/>
    <hyperlink ref="G544" r:id="rId543" xr:uid="{00000000-0004-0000-0000-00001E020000}"/>
    <hyperlink ref="G545" r:id="rId544" xr:uid="{00000000-0004-0000-0000-00001F020000}"/>
    <hyperlink ref="G546" r:id="rId545" xr:uid="{00000000-0004-0000-0000-000020020000}"/>
    <hyperlink ref="G547" r:id="rId546" xr:uid="{00000000-0004-0000-0000-000021020000}"/>
    <hyperlink ref="G548" r:id="rId547" xr:uid="{00000000-0004-0000-0000-000022020000}"/>
    <hyperlink ref="G549" r:id="rId548" xr:uid="{00000000-0004-0000-0000-000023020000}"/>
    <hyperlink ref="G550" r:id="rId549" xr:uid="{00000000-0004-0000-0000-000024020000}"/>
    <hyperlink ref="G551" r:id="rId550" xr:uid="{00000000-0004-0000-0000-000025020000}"/>
    <hyperlink ref="G552" r:id="rId551" xr:uid="{00000000-0004-0000-0000-000026020000}"/>
    <hyperlink ref="G553" r:id="rId552" xr:uid="{00000000-0004-0000-0000-000027020000}"/>
    <hyperlink ref="G554" r:id="rId553" xr:uid="{00000000-0004-0000-0000-000028020000}"/>
    <hyperlink ref="G555" r:id="rId554" xr:uid="{00000000-0004-0000-0000-000029020000}"/>
    <hyperlink ref="G556" r:id="rId555" xr:uid="{00000000-0004-0000-0000-00002A020000}"/>
    <hyperlink ref="G557" r:id="rId556" xr:uid="{00000000-0004-0000-0000-00002B020000}"/>
    <hyperlink ref="G558" r:id="rId557" xr:uid="{00000000-0004-0000-0000-00002C020000}"/>
    <hyperlink ref="G559" r:id="rId558" xr:uid="{00000000-0004-0000-0000-00002D020000}"/>
    <hyperlink ref="G560" r:id="rId559" xr:uid="{00000000-0004-0000-0000-00002E020000}"/>
    <hyperlink ref="G561" r:id="rId560" xr:uid="{00000000-0004-0000-0000-00002F020000}"/>
    <hyperlink ref="G562" r:id="rId561" xr:uid="{00000000-0004-0000-0000-000030020000}"/>
    <hyperlink ref="G563" r:id="rId562" xr:uid="{00000000-0004-0000-0000-000031020000}"/>
    <hyperlink ref="G564" r:id="rId563" xr:uid="{00000000-0004-0000-0000-000032020000}"/>
    <hyperlink ref="G565" r:id="rId564" xr:uid="{00000000-0004-0000-0000-000033020000}"/>
    <hyperlink ref="G566" r:id="rId565" xr:uid="{00000000-0004-0000-0000-000034020000}"/>
    <hyperlink ref="G567" r:id="rId566" xr:uid="{00000000-0004-0000-0000-000035020000}"/>
    <hyperlink ref="G568" r:id="rId567" xr:uid="{00000000-0004-0000-0000-000036020000}"/>
    <hyperlink ref="G569" r:id="rId568" xr:uid="{00000000-0004-0000-0000-000037020000}"/>
    <hyperlink ref="G570" r:id="rId569" xr:uid="{00000000-0004-0000-0000-000038020000}"/>
    <hyperlink ref="G571" r:id="rId570" xr:uid="{00000000-0004-0000-0000-000039020000}"/>
    <hyperlink ref="G572" r:id="rId571" xr:uid="{00000000-0004-0000-0000-00003A020000}"/>
    <hyperlink ref="G573" r:id="rId572" xr:uid="{00000000-0004-0000-0000-00003B020000}"/>
    <hyperlink ref="G574" r:id="rId573" xr:uid="{00000000-0004-0000-0000-00003C020000}"/>
    <hyperlink ref="G575" r:id="rId574" xr:uid="{00000000-0004-0000-0000-00003D020000}"/>
    <hyperlink ref="G576" r:id="rId575" xr:uid="{00000000-0004-0000-0000-00003E020000}"/>
    <hyperlink ref="G577" r:id="rId576" xr:uid="{00000000-0004-0000-0000-00003F020000}"/>
    <hyperlink ref="G578" r:id="rId577" xr:uid="{00000000-0004-0000-0000-000040020000}"/>
    <hyperlink ref="G579" r:id="rId578" xr:uid="{00000000-0004-0000-0000-000041020000}"/>
    <hyperlink ref="G580" r:id="rId579" xr:uid="{00000000-0004-0000-0000-000042020000}"/>
    <hyperlink ref="G581" r:id="rId580" xr:uid="{00000000-0004-0000-0000-000043020000}"/>
    <hyperlink ref="G582" r:id="rId581" xr:uid="{00000000-0004-0000-0000-000044020000}"/>
    <hyperlink ref="G583" r:id="rId582" xr:uid="{00000000-0004-0000-0000-000045020000}"/>
    <hyperlink ref="G584" r:id="rId583" xr:uid="{00000000-0004-0000-0000-000046020000}"/>
    <hyperlink ref="G585" r:id="rId584" xr:uid="{00000000-0004-0000-0000-000047020000}"/>
    <hyperlink ref="G586" r:id="rId585" xr:uid="{00000000-0004-0000-0000-000048020000}"/>
    <hyperlink ref="G587" r:id="rId586" xr:uid="{00000000-0004-0000-0000-000049020000}"/>
    <hyperlink ref="G588" r:id="rId587" xr:uid="{00000000-0004-0000-0000-00004A020000}"/>
    <hyperlink ref="G589" r:id="rId588" xr:uid="{00000000-0004-0000-0000-00004B020000}"/>
    <hyperlink ref="G590" r:id="rId589" xr:uid="{00000000-0004-0000-0000-00004C020000}"/>
    <hyperlink ref="G591" r:id="rId590" xr:uid="{00000000-0004-0000-0000-00004D020000}"/>
    <hyperlink ref="G592" r:id="rId591" xr:uid="{00000000-0004-0000-0000-00004E020000}"/>
    <hyperlink ref="G593" r:id="rId592" xr:uid="{00000000-0004-0000-0000-00004F020000}"/>
    <hyperlink ref="G594" r:id="rId593" xr:uid="{00000000-0004-0000-0000-000050020000}"/>
    <hyperlink ref="G595" r:id="rId594" xr:uid="{00000000-0004-0000-0000-000051020000}"/>
    <hyperlink ref="G596" r:id="rId595" xr:uid="{00000000-0004-0000-0000-000052020000}"/>
    <hyperlink ref="G597" r:id="rId596" xr:uid="{00000000-0004-0000-0000-000053020000}"/>
    <hyperlink ref="G598" r:id="rId597" xr:uid="{00000000-0004-0000-0000-000054020000}"/>
    <hyperlink ref="G599" r:id="rId598" xr:uid="{00000000-0004-0000-0000-000055020000}"/>
    <hyperlink ref="G600" r:id="rId599" xr:uid="{00000000-0004-0000-0000-000056020000}"/>
    <hyperlink ref="G601" r:id="rId600" xr:uid="{00000000-0004-0000-0000-000057020000}"/>
    <hyperlink ref="G602" r:id="rId601" xr:uid="{00000000-0004-0000-0000-000058020000}"/>
    <hyperlink ref="G603" r:id="rId602" xr:uid="{00000000-0004-0000-0000-000059020000}"/>
    <hyperlink ref="G604" r:id="rId603" xr:uid="{00000000-0004-0000-0000-00005A020000}"/>
    <hyperlink ref="G605" r:id="rId604" xr:uid="{00000000-0004-0000-0000-00005B020000}"/>
    <hyperlink ref="G606" r:id="rId605" xr:uid="{00000000-0004-0000-0000-00005C020000}"/>
    <hyperlink ref="G607" r:id="rId606" xr:uid="{00000000-0004-0000-0000-00005D020000}"/>
    <hyperlink ref="G608" r:id="rId607" xr:uid="{00000000-0004-0000-0000-00005E020000}"/>
    <hyperlink ref="G609" r:id="rId608" xr:uid="{00000000-0004-0000-0000-00005F020000}"/>
    <hyperlink ref="G610" r:id="rId609" xr:uid="{00000000-0004-0000-0000-000060020000}"/>
    <hyperlink ref="G611" r:id="rId610" xr:uid="{00000000-0004-0000-0000-000061020000}"/>
    <hyperlink ref="G612" r:id="rId611" xr:uid="{00000000-0004-0000-0000-000062020000}"/>
    <hyperlink ref="G613" r:id="rId612" xr:uid="{00000000-0004-0000-0000-000063020000}"/>
    <hyperlink ref="G614" r:id="rId613" xr:uid="{00000000-0004-0000-0000-000064020000}"/>
    <hyperlink ref="G615" r:id="rId614" xr:uid="{00000000-0004-0000-0000-000065020000}"/>
    <hyperlink ref="G616" r:id="rId615" xr:uid="{00000000-0004-0000-0000-000066020000}"/>
    <hyperlink ref="G617" r:id="rId616" xr:uid="{00000000-0004-0000-0000-000067020000}"/>
    <hyperlink ref="G618" r:id="rId617" xr:uid="{00000000-0004-0000-0000-000068020000}"/>
    <hyperlink ref="G619" r:id="rId618" xr:uid="{00000000-0004-0000-0000-000069020000}"/>
    <hyperlink ref="G620" r:id="rId619" xr:uid="{00000000-0004-0000-0000-00006A020000}"/>
    <hyperlink ref="G621" r:id="rId620" xr:uid="{00000000-0004-0000-0000-00006B020000}"/>
    <hyperlink ref="G622" r:id="rId621" xr:uid="{00000000-0004-0000-0000-00006C020000}"/>
    <hyperlink ref="G623" r:id="rId622" xr:uid="{00000000-0004-0000-0000-00006D020000}"/>
    <hyperlink ref="G624" r:id="rId623" xr:uid="{00000000-0004-0000-0000-00006E020000}"/>
    <hyperlink ref="G625" r:id="rId624" xr:uid="{00000000-0004-0000-0000-00006F020000}"/>
    <hyperlink ref="G626" r:id="rId625" xr:uid="{00000000-0004-0000-0000-000070020000}"/>
    <hyperlink ref="G627" r:id="rId626" xr:uid="{00000000-0004-0000-0000-000071020000}"/>
    <hyperlink ref="G628" r:id="rId627" xr:uid="{00000000-0004-0000-0000-000072020000}"/>
    <hyperlink ref="G629" r:id="rId628" xr:uid="{00000000-0004-0000-0000-000073020000}"/>
    <hyperlink ref="G630" r:id="rId629" xr:uid="{00000000-0004-0000-0000-000074020000}"/>
    <hyperlink ref="G631" r:id="rId630" xr:uid="{00000000-0004-0000-0000-000075020000}"/>
    <hyperlink ref="G632" r:id="rId631" xr:uid="{00000000-0004-0000-0000-000076020000}"/>
    <hyperlink ref="G633" r:id="rId632" xr:uid="{00000000-0004-0000-0000-000077020000}"/>
    <hyperlink ref="G634" r:id="rId633" xr:uid="{00000000-0004-0000-0000-000078020000}"/>
    <hyperlink ref="G635" r:id="rId634" xr:uid="{00000000-0004-0000-0000-000079020000}"/>
    <hyperlink ref="G636" r:id="rId635" xr:uid="{00000000-0004-0000-0000-00007A020000}"/>
    <hyperlink ref="G637" r:id="rId636" xr:uid="{00000000-0004-0000-0000-00007B020000}"/>
    <hyperlink ref="G638" r:id="rId637" xr:uid="{00000000-0004-0000-0000-00007C020000}"/>
    <hyperlink ref="G639" r:id="rId638" xr:uid="{00000000-0004-0000-0000-00007D020000}"/>
    <hyperlink ref="G640" r:id="rId639" xr:uid="{00000000-0004-0000-0000-00007E020000}"/>
    <hyperlink ref="G641" r:id="rId640" xr:uid="{00000000-0004-0000-0000-00007F020000}"/>
    <hyperlink ref="G642" r:id="rId641" xr:uid="{00000000-0004-0000-0000-000080020000}"/>
    <hyperlink ref="G643" r:id="rId642" xr:uid="{00000000-0004-0000-0000-000081020000}"/>
    <hyperlink ref="G644" r:id="rId643" xr:uid="{00000000-0004-0000-0000-000082020000}"/>
    <hyperlink ref="G645" r:id="rId644" xr:uid="{00000000-0004-0000-0000-000083020000}"/>
    <hyperlink ref="G646" r:id="rId645" xr:uid="{00000000-0004-0000-0000-000084020000}"/>
    <hyperlink ref="G647" r:id="rId646" xr:uid="{00000000-0004-0000-0000-000085020000}"/>
    <hyperlink ref="G648" r:id="rId647" xr:uid="{00000000-0004-0000-0000-000086020000}"/>
    <hyperlink ref="G649" r:id="rId648" xr:uid="{00000000-0004-0000-0000-000087020000}"/>
    <hyperlink ref="G650" r:id="rId649" xr:uid="{00000000-0004-0000-0000-000088020000}"/>
    <hyperlink ref="G651" r:id="rId650" xr:uid="{00000000-0004-0000-0000-000089020000}"/>
    <hyperlink ref="G652" r:id="rId651" xr:uid="{00000000-0004-0000-0000-00008A020000}"/>
    <hyperlink ref="G653" r:id="rId652" xr:uid="{00000000-0004-0000-0000-00008B020000}"/>
    <hyperlink ref="G654" r:id="rId653" xr:uid="{00000000-0004-0000-0000-00008C020000}"/>
    <hyperlink ref="G655" r:id="rId654" xr:uid="{00000000-0004-0000-0000-00008D020000}"/>
    <hyperlink ref="G656" r:id="rId655" xr:uid="{00000000-0004-0000-0000-00008E020000}"/>
    <hyperlink ref="G657" r:id="rId656" xr:uid="{00000000-0004-0000-0000-00008F020000}"/>
    <hyperlink ref="G658" r:id="rId657" xr:uid="{00000000-0004-0000-0000-000090020000}"/>
    <hyperlink ref="G659" r:id="rId658" xr:uid="{00000000-0004-0000-0000-000091020000}"/>
    <hyperlink ref="G660" r:id="rId659" xr:uid="{00000000-0004-0000-0000-000092020000}"/>
    <hyperlink ref="G661" r:id="rId660" xr:uid="{00000000-0004-0000-0000-000093020000}"/>
    <hyperlink ref="G662" r:id="rId661" xr:uid="{00000000-0004-0000-0000-000094020000}"/>
    <hyperlink ref="G663" r:id="rId662" xr:uid="{00000000-0004-0000-0000-000095020000}"/>
    <hyperlink ref="G664" r:id="rId663" xr:uid="{00000000-0004-0000-0000-000096020000}"/>
    <hyperlink ref="G665" r:id="rId664" xr:uid="{00000000-0004-0000-0000-000097020000}"/>
    <hyperlink ref="G666" r:id="rId665" xr:uid="{00000000-0004-0000-0000-000098020000}"/>
    <hyperlink ref="G667" r:id="rId666" xr:uid="{00000000-0004-0000-0000-000099020000}"/>
    <hyperlink ref="G668" r:id="rId667" xr:uid="{00000000-0004-0000-0000-00009A020000}"/>
    <hyperlink ref="G669" r:id="rId668" xr:uid="{00000000-0004-0000-0000-00009B020000}"/>
    <hyperlink ref="G670" r:id="rId669" xr:uid="{00000000-0004-0000-0000-00009C020000}"/>
    <hyperlink ref="G671" r:id="rId670" xr:uid="{00000000-0004-0000-0000-00009D020000}"/>
    <hyperlink ref="G672" r:id="rId671" xr:uid="{00000000-0004-0000-0000-00009E020000}"/>
    <hyperlink ref="G673" r:id="rId672" xr:uid="{00000000-0004-0000-0000-00009F020000}"/>
    <hyperlink ref="G674" r:id="rId673" xr:uid="{00000000-0004-0000-0000-0000A0020000}"/>
    <hyperlink ref="G675" r:id="rId674" xr:uid="{00000000-0004-0000-0000-0000A1020000}"/>
    <hyperlink ref="G676" r:id="rId675" xr:uid="{00000000-0004-0000-0000-0000A2020000}"/>
    <hyperlink ref="G677" r:id="rId676" xr:uid="{00000000-0004-0000-0000-0000A3020000}"/>
    <hyperlink ref="G678" r:id="rId677" xr:uid="{00000000-0004-0000-0000-0000A4020000}"/>
    <hyperlink ref="G679" r:id="rId678" xr:uid="{00000000-0004-0000-0000-0000A5020000}"/>
    <hyperlink ref="G680" r:id="rId679" xr:uid="{00000000-0004-0000-0000-0000A6020000}"/>
    <hyperlink ref="G681" r:id="rId680" xr:uid="{00000000-0004-0000-0000-0000A7020000}"/>
    <hyperlink ref="G682" r:id="rId681" xr:uid="{00000000-0004-0000-0000-0000A8020000}"/>
    <hyperlink ref="G683" r:id="rId682" xr:uid="{00000000-0004-0000-0000-0000A9020000}"/>
    <hyperlink ref="G684" r:id="rId683" xr:uid="{00000000-0004-0000-0000-0000AA020000}"/>
    <hyperlink ref="G685" r:id="rId684" xr:uid="{00000000-0004-0000-0000-0000AB020000}"/>
    <hyperlink ref="G686" r:id="rId685" xr:uid="{00000000-0004-0000-0000-0000AC020000}"/>
    <hyperlink ref="G687" r:id="rId686" xr:uid="{00000000-0004-0000-0000-0000AD020000}"/>
    <hyperlink ref="G688" r:id="rId687" xr:uid="{00000000-0004-0000-0000-0000AE020000}"/>
    <hyperlink ref="G689" r:id="rId688" xr:uid="{00000000-0004-0000-0000-0000AF020000}"/>
    <hyperlink ref="G690" r:id="rId689" xr:uid="{00000000-0004-0000-0000-0000B0020000}"/>
    <hyperlink ref="G691" r:id="rId690" xr:uid="{00000000-0004-0000-0000-0000B1020000}"/>
    <hyperlink ref="G692" r:id="rId691" xr:uid="{00000000-0004-0000-0000-0000B2020000}"/>
    <hyperlink ref="G693" r:id="rId692" xr:uid="{00000000-0004-0000-0000-0000B3020000}"/>
    <hyperlink ref="G694" r:id="rId693" xr:uid="{00000000-0004-0000-0000-0000B4020000}"/>
    <hyperlink ref="G695" r:id="rId694" xr:uid="{00000000-0004-0000-0000-0000B5020000}"/>
    <hyperlink ref="G696" r:id="rId695" xr:uid="{00000000-0004-0000-0000-0000B6020000}"/>
    <hyperlink ref="G697" r:id="rId696" xr:uid="{00000000-0004-0000-0000-0000B7020000}"/>
    <hyperlink ref="G698" r:id="rId697" xr:uid="{00000000-0004-0000-0000-0000B8020000}"/>
    <hyperlink ref="G699" r:id="rId698" xr:uid="{00000000-0004-0000-0000-0000B9020000}"/>
    <hyperlink ref="G700" r:id="rId699" xr:uid="{00000000-0004-0000-0000-0000BA020000}"/>
    <hyperlink ref="G701" r:id="rId700" xr:uid="{00000000-0004-0000-0000-0000BB020000}"/>
    <hyperlink ref="G702" r:id="rId701" xr:uid="{00000000-0004-0000-0000-0000BC020000}"/>
    <hyperlink ref="G703" r:id="rId702" xr:uid="{00000000-0004-0000-0000-0000BD020000}"/>
    <hyperlink ref="G704" r:id="rId703" xr:uid="{00000000-0004-0000-0000-0000BE020000}"/>
    <hyperlink ref="G705" r:id="rId704" xr:uid="{00000000-0004-0000-0000-0000BF020000}"/>
    <hyperlink ref="G706" r:id="rId705" xr:uid="{00000000-0004-0000-0000-0000C0020000}"/>
    <hyperlink ref="G707" r:id="rId706" xr:uid="{00000000-0004-0000-0000-0000C1020000}"/>
    <hyperlink ref="G708" r:id="rId707" xr:uid="{00000000-0004-0000-0000-0000C2020000}"/>
    <hyperlink ref="G709" r:id="rId708" xr:uid="{00000000-0004-0000-0000-0000C3020000}"/>
    <hyperlink ref="G710" r:id="rId709" xr:uid="{00000000-0004-0000-0000-0000C4020000}"/>
    <hyperlink ref="G711" r:id="rId710" xr:uid="{00000000-0004-0000-0000-0000C5020000}"/>
    <hyperlink ref="G712" r:id="rId711" xr:uid="{00000000-0004-0000-0000-0000C6020000}"/>
    <hyperlink ref="G713" r:id="rId712" xr:uid="{00000000-0004-0000-0000-0000C7020000}"/>
    <hyperlink ref="G714" r:id="rId713" xr:uid="{00000000-0004-0000-0000-0000C8020000}"/>
    <hyperlink ref="G715" r:id="rId714" xr:uid="{00000000-0004-0000-0000-0000C9020000}"/>
    <hyperlink ref="G716" r:id="rId715" xr:uid="{00000000-0004-0000-0000-0000CA020000}"/>
    <hyperlink ref="G717" r:id="rId716" xr:uid="{00000000-0004-0000-0000-0000CB020000}"/>
    <hyperlink ref="G718" r:id="rId717" xr:uid="{00000000-0004-0000-0000-0000CC020000}"/>
    <hyperlink ref="G719" r:id="rId718" xr:uid="{00000000-0004-0000-0000-0000CD020000}"/>
    <hyperlink ref="G720" r:id="rId719" xr:uid="{00000000-0004-0000-0000-0000CE020000}"/>
    <hyperlink ref="G721" r:id="rId720" xr:uid="{00000000-0004-0000-0000-0000CF020000}"/>
    <hyperlink ref="G722" r:id="rId721" xr:uid="{00000000-0004-0000-0000-0000D0020000}"/>
    <hyperlink ref="G723" r:id="rId722" xr:uid="{00000000-0004-0000-0000-0000D1020000}"/>
    <hyperlink ref="G724" r:id="rId723" xr:uid="{00000000-0004-0000-0000-0000D2020000}"/>
    <hyperlink ref="G725" r:id="rId724" xr:uid="{00000000-0004-0000-0000-0000D3020000}"/>
    <hyperlink ref="G726" r:id="rId725" xr:uid="{00000000-0004-0000-0000-0000D4020000}"/>
    <hyperlink ref="G727" r:id="rId726" xr:uid="{00000000-0004-0000-0000-0000D5020000}"/>
    <hyperlink ref="G728" r:id="rId727" xr:uid="{00000000-0004-0000-0000-0000D6020000}"/>
    <hyperlink ref="G729" r:id="rId728" xr:uid="{00000000-0004-0000-0000-0000D7020000}"/>
    <hyperlink ref="G730" r:id="rId729" xr:uid="{00000000-0004-0000-0000-0000D8020000}"/>
    <hyperlink ref="G731" r:id="rId730" xr:uid="{00000000-0004-0000-0000-0000D9020000}"/>
    <hyperlink ref="G732" r:id="rId731" xr:uid="{00000000-0004-0000-0000-0000DA020000}"/>
    <hyperlink ref="G733" r:id="rId732" xr:uid="{00000000-0004-0000-0000-0000DB020000}"/>
    <hyperlink ref="G734" r:id="rId733" xr:uid="{00000000-0004-0000-0000-0000DC020000}"/>
    <hyperlink ref="G735" r:id="rId734" xr:uid="{00000000-0004-0000-0000-0000DD020000}"/>
    <hyperlink ref="G736" r:id="rId735" xr:uid="{00000000-0004-0000-0000-0000DE020000}"/>
    <hyperlink ref="G737" r:id="rId736" xr:uid="{00000000-0004-0000-0000-0000DF020000}"/>
    <hyperlink ref="G738" r:id="rId737" xr:uid="{00000000-0004-0000-0000-0000E0020000}"/>
    <hyperlink ref="G739" r:id="rId738" xr:uid="{00000000-0004-0000-0000-0000E1020000}"/>
    <hyperlink ref="G740" r:id="rId739" xr:uid="{00000000-0004-0000-0000-0000E2020000}"/>
    <hyperlink ref="G741" r:id="rId740" xr:uid="{00000000-0004-0000-0000-0000E3020000}"/>
    <hyperlink ref="G742" r:id="rId741" xr:uid="{00000000-0004-0000-0000-0000E4020000}"/>
    <hyperlink ref="G743" r:id="rId742" xr:uid="{00000000-0004-0000-0000-0000E5020000}"/>
    <hyperlink ref="G744" r:id="rId743" xr:uid="{00000000-0004-0000-0000-0000E6020000}"/>
    <hyperlink ref="G745" r:id="rId744" xr:uid="{00000000-0004-0000-0000-0000E7020000}"/>
    <hyperlink ref="G746" r:id="rId745" xr:uid="{00000000-0004-0000-0000-0000E8020000}"/>
    <hyperlink ref="G747" r:id="rId746" xr:uid="{00000000-0004-0000-0000-0000E9020000}"/>
    <hyperlink ref="G748" r:id="rId747" xr:uid="{00000000-0004-0000-0000-0000EA020000}"/>
    <hyperlink ref="G749" r:id="rId748" xr:uid="{00000000-0004-0000-0000-0000EB020000}"/>
    <hyperlink ref="G750" r:id="rId749" xr:uid="{00000000-0004-0000-0000-0000EC020000}"/>
    <hyperlink ref="G751" r:id="rId750" xr:uid="{00000000-0004-0000-0000-0000ED020000}"/>
    <hyperlink ref="G752" r:id="rId751" xr:uid="{00000000-0004-0000-0000-0000EE020000}"/>
    <hyperlink ref="G753" r:id="rId752" xr:uid="{00000000-0004-0000-0000-0000EF020000}"/>
    <hyperlink ref="G754" r:id="rId753" xr:uid="{00000000-0004-0000-0000-0000F0020000}"/>
    <hyperlink ref="G755" r:id="rId754" xr:uid="{00000000-0004-0000-0000-0000F1020000}"/>
    <hyperlink ref="G756" r:id="rId755" xr:uid="{00000000-0004-0000-0000-0000F2020000}"/>
    <hyperlink ref="G757" r:id="rId756" xr:uid="{00000000-0004-0000-0000-0000F3020000}"/>
    <hyperlink ref="G758" r:id="rId757" xr:uid="{00000000-0004-0000-0000-0000F4020000}"/>
    <hyperlink ref="G759" r:id="rId758" xr:uid="{00000000-0004-0000-0000-0000F5020000}"/>
    <hyperlink ref="G760" r:id="rId759" xr:uid="{00000000-0004-0000-0000-0000F6020000}"/>
    <hyperlink ref="G761" r:id="rId760" xr:uid="{00000000-0004-0000-0000-0000F7020000}"/>
    <hyperlink ref="G762" r:id="rId761" xr:uid="{00000000-0004-0000-0000-0000F8020000}"/>
    <hyperlink ref="G763" r:id="rId762" xr:uid="{00000000-0004-0000-0000-0000F9020000}"/>
    <hyperlink ref="G764" r:id="rId763" xr:uid="{00000000-0004-0000-0000-0000FA020000}"/>
    <hyperlink ref="G765" r:id="rId764" xr:uid="{00000000-0004-0000-0000-0000FB020000}"/>
    <hyperlink ref="G766" r:id="rId765" xr:uid="{00000000-0004-0000-0000-0000FC020000}"/>
    <hyperlink ref="G767" r:id="rId766" xr:uid="{00000000-0004-0000-0000-0000FD020000}"/>
    <hyperlink ref="G768" r:id="rId767" xr:uid="{00000000-0004-0000-0000-0000FE020000}"/>
    <hyperlink ref="G769" r:id="rId768" xr:uid="{00000000-0004-0000-0000-0000FF020000}"/>
    <hyperlink ref="G770" r:id="rId769" xr:uid="{00000000-0004-0000-0000-000000030000}"/>
    <hyperlink ref="G771" r:id="rId770" xr:uid="{00000000-0004-0000-0000-000001030000}"/>
    <hyperlink ref="G772" r:id="rId771" xr:uid="{00000000-0004-0000-0000-000002030000}"/>
    <hyperlink ref="G773" r:id="rId772" xr:uid="{00000000-0004-0000-0000-000003030000}"/>
    <hyperlink ref="G774" r:id="rId773" xr:uid="{00000000-0004-0000-0000-000004030000}"/>
    <hyperlink ref="G775" r:id="rId774" xr:uid="{00000000-0004-0000-0000-000005030000}"/>
    <hyperlink ref="G776" r:id="rId775" xr:uid="{00000000-0004-0000-0000-000006030000}"/>
    <hyperlink ref="G777" r:id="rId776" xr:uid="{00000000-0004-0000-0000-000007030000}"/>
    <hyperlink ref="G778" r:id="rId777" xr:uid="{00000000-0004-0000-0000-000008030000}"/>
    <hyperlink ref="G779" r:id="rId778" xr:uid="{00000000-0004-0000-0000-000009030000}"/>
    <hyperlink ref="G780" r:id="rId779" xr:uid="{00000000-0004-0000-0000-00000A030000}"/>
    <hyperlink ref="G781" r:id="rId780" xr:uid="{00000000-0004-0000-0000-00000B030000}"/>
    <hyperlink ref="G782" r:id="rId781" xr:uid="{00000000-0004-0000-0000-00000C030000}"/>
    <hyperlink ref="G783" r:id="rId782" xr:uid="{00000000-0004-0000-0000-00000D030000}"/>
    <hyperlink ref="G784" r:id="rId783" xr:uid="{00000000-0004-0000-0000-00000E030000}"/>
    <hyperlink ref="G785" r:id="rId784" xr:uid="{00000000-0004-0000-0000-00000F030000}"/>
    <hyperlink ref="G786" r:id="rId785" xr:uid="{00000000-0004-0000-0000-000010030000}"/>
    <hyperlink ref="G787" r:id="rId786" xr:uid="{00000000-0004-0000-0000-000011030000}"/>
    <hyperlink ref="G788" r:id="rId787" xr:uid="{00000000-0004-0000-0000-000012030000}"/>
    <hyperlink ref="G789" r:id="rId788" xr:uid="{00000000-0004-0000-0000-000013030000}"/>
    <hyperlink ref="G790" r:id="rId789" xr:uid="{00000000-0004-0000-0000-000014030000}"/>
    <hyperlink ref="G791" r:id="rId790" xr:uid="{00000000-0004-0000-0000-000015030000}"/>
    <hyperlink ref="G792" r:id="rId791" xr:uid="{00000000-0004-0000-0000-000016030000}"/>
    <hyperlink ref="G793" r:id="rId792" xr:uid="{00000000-0004-0000-0000-000017030000}"/>
    <hyperlink ref="G794" r:id="rId793" xr:uid="{00000000-0004-0000-0000-000018030000}"/>
    <hyperlink ref="G795" r:id="rId794" xr:uid="{00000000-0004-0000-0000-000019030000}"/>
    <hyperlink ref="G796" r:id="rId795" xr:uid="{00000000-0004-0000-0000-00001A030000}"/>
    <hyperlink ref="G797" r:id="rId796" xr:uid="{00000000-0004-0000-0000-00001B030000}"/>
    <hyperlink ref="G798" r:id="rId797" xr:uid="{00000000-0004-0000-0000-00001C030000}"/>
    <hyperlink ref="G799" r:id="rId798" xr:uid="{00000000-0004-0000-0000-00001D030000}"/>
    <hyperlink ref="G800" r:id="rId799" xr:uid="{00000000-0004-0000-0000-00001E030000}"/>
    <hyperlink ref="G801" r:id="rId800" xr:uid="{00000000-0004-0000-0000-00001F030000}"/>
    <hyperlink ref="G802" r:id="rId801" xr:uid="{00000000-0004-0000-0000-000020030000}"/>
    <hyperlink ref="G803" r:id="rId802" xr:uid="{00000000-0004-0000-0000-000021030000}"/>
    <hyperlink ref="G804" r:id="rId803" xr:uid="{00000000-0004-0000-0000-000022030000}"/>
    <hyperlink ref="G805" r:id="rId804" xr:uid="{00000000-0004-0000-0000-000023030000}"/>
    <hyperlink ref="G806" r:id="rId805" xr:uid="{00000000-0004-0000-0000-000024030000}"/>
    <hyperlink ref="G807" r:id="rId806" xr:uid="{00000000-0004-0000-0000-000025030000}"/>
    <hyperlink ref="G808" r:id="rId807" xr:uid="{00000000-0004-0000-0000-000026030000}"/>
    <hyperlink ref="G809" r:id="rId808" xr:uid="{00000000-0004-0000-0000-000027030000}"/>
    <hyperlink ref="G810" r:id="rId809" xr:uid="{00000000-0004-0000-0000-000028030000}"/>
    <hyperlink ref="G811" r:id="rId810" xr:uid="{00000000-0004-0000-0000-000029030000}"/>
    <hyperlink ref="G812" r:id="rId811" xr:uid="{00000000-0004-0000-0000-00002A030000}"/>
    <hyperlink ref="G813" r:id="rId812" xr:uid="{00000000-0004-0000-0000-00002B030000}"/>
    <hyperlink ref="G814" r:id="rId813" xr:uid="{00000000-0004-0000-0000-00002C030000}"/>
    <hyperlink ref="G815" r:id="rId814" xr:uid="{00000000-0004-0000-0000-00002D030000}"/>
    <hyperlink ref="G816" r:id="rId815" xr:uid="{00000000-0004-0000-0000-00002E030000}"/>
    <hyperlink ref="G817" r:id="rId816" xr:uid="{00000000-0004-0000-0000-00002F030000}"/>
    <hyperlink ref="G818" r:id="rId817" xr:uid="{00000000-0004-0000-0000-000030030000}"/>
    <hyperlink ref="G819" r:id="rId818" xr:uid="{00000000-0004-0000-0000-000031030000}"/>
    <hyperlink ref="G820" r:id="rId819" xr:uid="{00000000-0004-0000-0000-000032030000}"/>
    <hyperlink ref="G821" r:id="rId820" xr:uid="{00000000-0004-0000-0000-000033030000}"/>
    <hyperlink ref="G822" r:id="rId821" xr:uid="{00000000-0004-0000-0000-000034030000}"/>
    <hyperlink ref="G823" r:id="rId822" xr:uid="{00000000-0004-0000-0000-000035030000}"/>
    <hyperlink ref="G824" r:id="rId823" xr:uid="{00000000-0004-0000-0000-000036030000}"/>
    <hyperlink ref="G825" r:id="rId824" xr:uid="{00000000-0004-0000-0000-000037030000}"/>
    <hyperlink ref="G826" r:id="rId825" xr:uid="{00000000-0004-0000-0000-000038030000}"/>
    <hyperlink ref="G827" r:id="rId826" xr:uid="{00000000-0004-0000-0000-000039030000}"/>
    <hyperlink ref="G828" r:id="rId827" xr:uid="{00000000-0004-0000-0000-00003A030000}"/>
    <hyperlink ref="G829" r:id="rId828" xr:uid="{00000000-0004-0000-0000-00003B030000}"/>
    <hyperlink ref="G830" r:id="rId829" xr:uid="{00000000-0004-0000-0000-00003C030000}"/>
    <hyperlink ref="G831" r:id="rId830" xr:uid="{00000000-0004-0000-0000-00003D030000}"/>
    <hyperlink ref="G832" r:id="rId831" xr:uid="{00000000-0004-0000-0000-00003E030000}"/>
    <hyperlink ref="G833" r:id="rId832" xr:uid="{00000000-0004-0000-0000-00003F030000}"/>
    <hyperlink ref="G834" r:id="rId833" xr:uid="{00000000-0004-0000-0000-000040030000}"/>
    <hyperlink ref="G835" r:id="rId834" xr:uid="{00000000-0004-0000-0000-000041030000}"/>
    <hyperlink ref="G836" r:id="rId835" xr:uid="{00000000-0004-0000-0000-000042030000}"/>
    <hyperlink ref="G837" r:id="rId836" xr:uid="{00000000-0004-0000-0000-000043030000}"/>
    <hyperlink ref="G838" r:id="rId837" xr:uid="{00000000-0004-0000-0000-000044030000}"/>
    <hyperlink ref="G839" r:id="rId838" xr:uid="{00000000-0004-0000-0000-000045030000}"/>
    <hyperlink ref="G840" r:id="rId839" xr:uid="{00000000-0004-0000-0000-000046030000}"/>
    <hyperlink ref="G841" r:id="rId840" xr:uid="{00000000-0004-0000-0000-000047030000}"/>
    <hyperlink ref="G842" r:id="rId841" xr:uid="{00000000-0004-0000-0000-000048030000}"/>
    <hyperlink ref="G843" r:id="rId842" xr:uid="{00000000-0004-0000-0000-000049030000}"/>
    <hyperlink ref="G844" r:id="rId843" xr:uid="{00000000-0004-0000-0000-00004A030000}"/>
    <hyperlink ref="G845" r:id="rId844" xr:uid="{00000000-0004-0000-0000-00004B030000}"/>
    <hyperlink ref="G846" r:id="rId845" xr:uid="{00000000-0004-0000-0000-00004C030000}"/>
    <hyperlink ref="G847" r:id="rId846" xr:uid="{00000000-0004-0000-0000-00004D030000}"/>
    <hyperlink ref="G848" r:id="rId847" xr:uid="{00000000-0004-0000-0000-00004E030000}"/>
    <hyperlink ref="G849" r:id="rId848" xr:uid="{00000000-0004-0000-0000-00004F030000}"/>
    <hyperlink ref="G850" r:id="rId849" xr:uid="{00000000-0004-0000-0000-000050030000}"/>
    <hyperlink ref="G851" r:id="rId850" xr:uid="{00000000-0004-0000-0000-000051030000}"/>
    <hyperlink ref="G852" r:id="rId851" xr:uid="{00000000-0004-0000-0000-000052030000}"/>
    <hyperlink ref="G853" r:id="rId852" xr:uid="{00000000-0004-0000-0000-000053030000}"/>
    <hyperlink ref="G854" r:id="rId853" xr:uid="{00000000-0004-0000-0000-000054030000}"/>
    <hyperlink ref="G855" r:id="rId854" xr:uid="{00000000-0004-0000-0000-000055030000}"/>
    <hyperlink ref="G856" r:id="rId855" xr:uid="{00000000-0004-0000-0000-000056030000}"/>
    <hyperlink ref="G857" r:id="rId856" xr:uid="{00000000-0004-0000-0000-000057030000}"/>
    <hyperlink ref="G858" r:id="rId857" xr:uid="{00000000-0004-0000-0000-000058030000}"/>
    <hyperlink ref="G859" r:id="rId858" xr:uid="{00000000-0004-0000-0000-000059030000}"/>
    <hyperlink ref="G860" r:id="rId859" xr:uid="{00000000-0004-0000-0000-00005A030000}"/>
    <hyperlink ref="G861" r:id="rId860" xr:uid="{00000000-0004-0000-0000-00005B030000}"/>
    <hyperlink ref="G862" r:id="rId861" xr:uid="{00000000-0004-0000-0000-00005C030000}"/>
    <hyperlink ref="G863" r:id="rId862" xr:uid="{00000000-0004-0000-0000-00005D030000}"/>
    <hyperlink ref="G864" r:id="rId863" xr:uid="{00000000-0004-0000-0000-00005E030000}"/>
    <hyperlink ref="G865" r:id="rId864" xr:uid="{00000000-0004-0000-0000-00005F030000}"/>
    <hyperlink ref="G866" r:id="rId865" xr:uid="{00000000-0004-0000-0000-000060030000}"/>
    <hyperlink ref="G867" r:id="rId866" xr:uid="{00000000-0004-0000-0000-000061030000}"/>
    <hyperlink ref="G868" r:id="rId867" xr:uid="{00000000-0004-0000-0000-000062030000}"/>
    <hyperlink ref="G869" r:id="rId868" xr:uid="{00000000-0004-0000-0000-000063030000}"/>
    <hyperlink ref="G870" r:id="rId869" xr:uid="{00000000-0004-0000-0000-000064030000}"/>
    <hyperlink ref="G871" r:id="rId870" xr:uid="{00000000-0004-0000-0000-000065030000}"/>
    <hyperlink ref="G872" r:id="rId871" xr:uid="{00000000-0004-0000-0000-000066030000}"/>
    <hyperlink ref="G873" r:id="rId872" xr:uid="{00000000-0004-0000-0000-000067030000}"/>
    <hyperlink ref="G874" r:id="rId873" xr:uid="{00000000-0004-0000-0000-000068030000}"/>
    <hyperlink ref="G875" r:id="rId874" xr:uid="{00000000-0004-0000-0000-000069030000}"/>
    <hyperlink ref="G876" r:id="rId875" xr:uid="{00000000-0004-0000-0000-00006A030000}"/>
    <hyperlink ref="G877" r:id="rId876" xr:uid="{00000000-0004-0000-0000-00006B030000}"/>
    <hyperlink ref="G878" r:id="rId877" xr:uid="{00000000-0004-0000-0000-00006C030000}"/>
    <hyperlink ref="G879" r:id="rId878" xr:uid="{00000000-0004-0000-0000-00006D030000}"/>
    <hyperlink ref="G880" r:id="rId879" xr:uid="{00000000-0004-0000-0000-00006E030000}"/>
    <hyperlink ref="G881" r:id="rId880" xr:uid="{00000000-0004-0000-0000-00006F030000}"/>
    <hyperlink ref="G882" r:id="rId881" xr:uid="{00000000-0004-0000-0000-000070030000}"/>
    <hyperlink ref="G883" r:id="rId882" xr:uid="{00000000-0004-0000-0000-000071030000}"/>
    <hyperlink ref="G884" r:id="rId883" xr:uid="{00000000-0004-0000-0000-000072030000}"/>
    <hyperlink ref="G885" r:id="rId884" xr:uid="{00000000-0004-0000-0000-000073030000}"/>
    <hyperlink ref="G886" r:id="rId885" xr:uid="{00000000-0004-0000-0000-000074030000}"/>
    <hyperlink ref="G887" r:id="rId886" xr:uid="{00000000-0004-0000-0000-000075030000}"/>
    <hyperlink ref="G888" r:id="rId887" xr:uid="{00000000-0004-0000-0000-000076030000}"/>
    <hyperlink ref="G889" r:id="rId888" xr:uid="{00000000-0004-0000-0000-000077030000}"/>
    <hyperlink ref="G890" r:id="rId889" xr:uid="{00000000-0004-0000-0000-000078030000}"/>
    <hyperlink ref="G891" r:id="rId890" xr:uid="{00000000-0004-0000-0000-000079030000}"/>
    <hyperlink ref="G892" r:id="rId891" xr:uid="{00000000-0004-0000-0000-00007A030000}"/>
    <hyperlink ref="G893" r:id="rId892" xr:uid="{00000000-0004-0000-0000-00007B030000}"/>
    <hyperlink ref="G894" r:id="rId893" xr:uid="{00000000-0004-0000-0000-00007C030000}"/>
    <hyperlink ref="G895" r:id="rId894" xr:uid="{00000000-0004-0000-0000-00007D030000}"/>
    <hyperlink ref="G896" r:id="rId895" xr:uid="{00000000-0004-0000-0000-00007E030000}"/>
    <hyperlink ref="G897" r:id="rId896" xr:uid="{00000000-0004-0000-0000-00007F030000}"/>
    <hyperlink ref="G898" r:id="rId897" xr:uid="{00000000-0004-0000-0000-000080030000}"/>
    <hyperlink ref="G899" r:id="rId898" xr:uid="{00000000-0004-0000-0000-000081030000}"/>
    <hyperlink ref="G900" r:id="rId899" xr:uid="{00000000-0004-0000-0000-000082030000}"/>
    <hyperlink ref="G901" r:id="rId900" xr:uid="{00000000-0004-0000-0000-000083030000}"/>
    <hyperlink ref="G902" r:id="rId901" xr:uid="{00000000-0004-0000-0000-000084030000}"/>
    <hyperlink ref="G903" r:id="rId902" xr:uid="{00000000-0004-0000-0000-000085030000}"/>
    <hyperlink ref="G904" r:id="rId903" xr:uid="{00000000-0004-0000-0000-000086030000}"/>
    <hyperlink ref="G905" r:id="rId904" xr:uid="{00000000-0004-0000-0000-000087030000}"/>
    <hyperlink ref="G906" r:id="rId905" xr:uid="{00000000-0004-0000-0000-000088030000}"/>
    <hyperlink ref="G907" r:id="rId906" xr:uid="{00000000-0004-0000-0000-000089030000}"/>
    <hyperlink ref="G908" r:id="rId907" xr:uid="{00000000-0004-0000-0000-00008A030000}"/>
    <hyperlink ref="G909" r:id="rId908" xr:uid="{00000000-0004-0000-0000-00008B030000}"/>
    <hyperlink ref="G910" r:id="rId909" xr:uid="{00000000-0004-0000-0000-00008C030000}"/>
    <hyperlink ref="G911" r:id="rId910" xr:uid="{00000000-0004-0000-0000-00008D030000}"/>
    <hyperlink ref="G912" r:id="rId911" xr:uid="{00000000-0004-0000-0000-00008E030000}"/>
    <hyperlink ref="G913" r:id="rId912" xr:uid="{00000000-0004-0000-0000-00008F030000}"/>
    <hyperlink ref="G914" r:id="rId913" xr:uid="{00000000-0004-0000-0000-000090030000}"/>
    <hyperlink ref="G915" r:id="rId914" xr:uid="{00000000-0004-0000-0000-000091030000}"/>
    <hyperlink ref="G916" r:id="rId915" xr:uid="{00000000-0004-0000-0000-000092030000}"/>
    <hyperlink ref="G917" r:id="rId916" xr:uid="{00000000-0004-0000-0000-000093030000}"/>
    <hyperlink ref="G918" r:id="rId917" xr:uid="{00000000-0004-0000-0000-000094030000}"/>
    <hyperlink ref="G919" r:id="rId918" xr:uid="{00000000-0004-0000-0000-000095030000}"/>
    <hyperlink ref="G920" r:id="rId919" xr:uid="{00000000-0004-0000-0000-000096030000}"/>
    <hyperlink ref="G921" r:id="rId920" xr:uid="{00000000-0004-0000-0000-000097030000}"/>
    <hyperlink ref="G922" r:id="rId921" xr:uid="{00000000-0004-0000-0000-000098030000}"/>
    <hyperlink ref="G923" r:id="rId922" xr:uid="{00000000-0004-0000-0000-000099030000}"/>
    <hyperlink ref="G924" r:id="rId923" xr:uid="{00000000-0004-0000-0000-00009A030000}"/>
    <hyperlink ref="G925" r:id="rId924" xr:uid="{00000000-0004-0000-0000-00009B030000}"/>
    <hyperlink ref="G926" r:id="rId925" xr:uid="{00000000-0004-0000-0000-00009C030000}"/>
    <hyperlink ref="G927" r:id="rId926" xr:uid="{00000000-0004-0000-0000-00009D030000}"/>
    <hyperlink ref="G928" r:id="rId927" xr:uid="{00000000-0004-0000-0000-00009E030000}"/>
    <hyperlink ref="G929" r:id="rId928" xr:uid="{00000000-0004-0000-0000-00009F030000}"/>
    <hyperlink ref="G930" r:id="rId929" xr:uid="{00000000-0004-0000-0000-0000A0030000}"/>
    <hyperlink ref="G931" r:id="rId930" xr:uid="{00000000-0004-0000-0000-0000A1030000}"/>
    <hyperlink ref="G932" r:id="rId931" xr:uid="{00000000-0004-0000-0000-0000A2030000}"/>
    <hyperlink ref="G933" r:id="rId932" xr:uid="{00000000-0004-0000-0000-0000A3030000}"/>
    <hyperlink ref="G934" r:id="rId933" xr:uid="{00000000-0004-0000-0000-0000A4030000}"/>
    <hyperlink ref="G935" r:id="rId934" xr:uid="{00000000-0004-0000-0000-0000A5030000}"/>
    <hyperlink ref="G936" r:id="rId935" xr:uid="{00000000-0004-0000-0000-0000A6030000}"/>
    <hyperlink ref="G937" r:id="rId936" xr:uid="{00000000-0004-0000-0000-0000A7030000}"/>
    <hyperlink ref="G938" r:id="rId937" xr:uid="{00000000-0004-0000-0000-0000A8030000}"/>
    <hyperlink ref="G939" r:id="rId938" xr:uid="{00000000-0004-0000-0000-0000A9030000}"/>
    <hyperlink ref="G940" r:id="rId939" xr:uid="{00000000-0004-0000-0000-0000AA030000}"/>
    <hyperlink ref="G941" r:id="rId940" xr:uid="{00000000-0004-0000-0000-0000AB030000}"/>
    <hyperlink ref="G942" r:id="rId941" xr:uid="{00000000-0004-0000-0000-0000AC030000}"/>
    <hyperlink ref="G943" r:id="rId942" xr:uid="{00000000-0004-0000-0000-0000AD030000}"/>
    <hyperlink ref="G944" r:id="rId943" xr:uid="{00000000-0004-0000-0000-0000AE030000}"/>
    <hyperlink ref="G945" r:id="rId944" xr:uid="{00000000-0004-0000-0000-0000AF030000}"/>
    <hyperlink ref="G946" r:id="rId945" xr:uid="{00000000-0004-0000-0000-0000B0030000}"/>
    <hyperlink ref="G947" r:id="rId946" xr:uid="{00000000-0004-0000-0000-0000B1030000}"/>
    <hyperlink ref="G948" r:id="rId947" xr:uid="{00000000-0004-0000-0000-0000B2030000}"/>
    <hyperlink ref="G949" r:id="rId948" xr:uid="{00000000-0004-0000-0000-0000B3030000}"/>
    <hyperlink ref="G950" r:id="rId949" xr:uid="{00000000-0004-0000-0000-0000B4030000}"/>
    <hyperlink ref="G951" r:id="rId950" xr:uid="{00000000-0004-0000-0000-0000B5030000}"/>
    <hyperlink ref="G952" r:id="rId951" xr:uid="{00000000-0004-0000-0000-0000B6030000}"/>
    <hyperlink ref="G953" r:id="rId952" xr:uid="{00000000-0004-0000-0000-0000B7030000}"/>
    <hyperlink ref="G954" r:id="rId953" xr:uid="{00000000-0004-0000-0000-0000B8030000}"/>
    <hyperlink ref="G955" r:id="rId954" xr:uid="{00000000-0004-0000-0000-0000B9030000}"/>
    <hyperlink ref="G956" r:id="rId955" xr:uid="{00000000-0004-0000-0000-0000BA030000}"/>
    <hyperlink ref="G957" r:id="rId956" xr:uid="{00000000-0004-0000-0000-0000BB030000}"/>
    <hyperlink ref="G958" r:id="rId957" xr:uid="{00000000-0004-0000-0000-0000BC030000}"/>
    <hyperlink ref="G959" r:id="rId958" xr:uid="{00000000-0004-0000-0000-0000BD030000}"/>
    <hyperlink ref="G960" r:id="rId959" xr:uid="{00000000-0004-0000-0000-0000BE030000}"/>
    <hyperlink ref="G961" r:id="rId960" xr:uid="{00000000-0004-0000-0000-0000BF030000}"/>
    <hyperlink ref="G962" r:id="rId961" xr:uid="{00000000-0004-0000-0000-0000C0030000}"/>
    <hyperlink ref="G963" r:id="rId962" xr:uid="{00000000-0004-0000-0000-0000C1030000}"/>
    <hyperlink ref="G964" r:id="rId963" xr:uid="{00000000-0004-0000-0000-0000C2030000}"/>
    <hyperlink ref="G965" r:id="rId964" xr:uid="{00000000-0004-0000-0000-0000C3030000}"/>
    <hyperlink ref="G966" r:id="rId965" xr:uid="{00000000-0004-0000-0000-0000C4030000}"/>
    <hyperlink ref="G967" r:id="rId966" xr:uid="{00000000-0004-0000-0000-0000C5030000}"/>
    <hyperlink ref="G968" r:id="rId967" xr:uid="{00000000-0004-0000-0000-0000C6030000}"/>
    <hyperlink ref="G969" r:id="rId968" xr:uid="{00000000-0004-0000-0000-0000C7030000}"/>
    <hyperlink ref="G970" r:id="rId969" xr:uid="{00000000-0004-0000-0000-0000C8030000}"/>
    <hyperlink ref="G971" r:id="rId970" xr:uid="{00000000-0004-0000-0000-0000C9030000}"/>
    <hyperlink ref="G972" r:id="rId971" xr:uid="{00000000-0004-0000-0000-0000CA030000}"/>
    <hyperlink ref="G973" r:id="rId972" xr:uid="{00000000-0004-0000-0000-0000CB030000}"/>
    <hyperlink ref="G974" r:id="rId973" xr:uid="{00000000-0004-0000-0000-0000CC030000}"/>
    <hyperlink ref="G975" r:id="rId974" xr:uid="{00000000-0004-0000-0000-0000CD030000}"/>
    <hyperlink ref="G976" r:id="rId975" xr:uid="{00000000-0004-0000-0000-0000CE030000}"/>
    <hyperlink ref="G977" r:id="rId976" xr:uid="{00000000-0004-0000-0000-0000CF030000}"/>
    <hyperlink ref="G978" r:id="rId977" xr:uid="{00000000-0004-0000-0000-0000D0030000}"/>
    <hyperlink ref="G979" r:id="rId978" xr:uid="{00000000-0004-0000-0000-0000D1030000}"/>
    <hyperlink ref="G980" r:id="rId979" xr:uid="{00000000-0004-0000-0000-0000D2030000}"/>
    <hyperlink ref="G981" r:id="rId980" xr:uid="{00000000-0004-0000-0000-0000D3030000}"/>
    <hyperlink ref="G982" r:id="rId981" xr:uid="{00000000-0004-0000-0000-0000D4030000}"/>
    <hyperlink ref="G983" r:id="rId982" xr:uid="{00000000-0004-0000-0000-0000D5030000}"/>
    <hyperlink ref="G984" r:id="rId983" xr:uid="{00000000-0004-0000-0000-0000D6030000}"/>
    <hyperlink ref="G985" r:id="rId984" xr:uid="{00000000-0004-0000-0000-0000D7030000}"/>
    <hyperlink ref="G986" r:id="rId985" xr:uid="{00000000-0004-0000-0000-0000D8030000}"/>
    <hyperlink ref="G987" r:id="rId986" xr:uid="{00000000-0004-0000-0000-0000D9030000}"/>
    <hyperlink ref="G988" r:id="rId987" xr:uid="{00000000-0004-0000-0000-0000DA030000}"/>
    <hyperlink ref="G989" r:id="rId988" xr:uid="{00000000-0004-0000-0000-0000DB030000}"/>
    <hyperlink ref="G990" r:id="rId989" xr:uid="{00000000-0004-0000-0000-0000DC030000}"/>
    <hyperlink ref="G991" r:id="rId990" xr:uid="{00000000-0004-0000-0000-0000DD030000}"/>
    <hyperlink ref="G992" r:id="rId991" xr:uid="{00000000-0004-0000-0000-0000DE030000}"/>
    <hyperlink ref="G993" r:id="rId992" xr:uid="{00000000-0004-0000-0000-0000DF030000}"/>
    <hyperlink ref="G994" r:id="rId993" xr:uid="{00000000-0004-0000-0000-0000E0030000}"/>
    <hyperlink ref="G995" r:id="rId994" xr:uid="{00000000-0004-0000-0000-0000E1030000}"/>
    <hyperlink ref="G996" r:id="rId995" xr:uid="{00000000-0004-0000-0000-0000E2030000}"/>
    <hyperlink ref="G997" r:id="rId996" xr:uid="{00000000-0004-0000-0000-0000E3030000}"/>
    <hyperlink ref="G998" r:id="rId997" xr:uid="{00000000-0004-0000-0000-0000E4030000}"/>
    <hyperlink ref="G999" r:id="rId998" xr:uid="{00000000-0004-0000-0000-0000E5030000}"/>
    <hyperlink ref="G1000" r:id="rId999" xr:uid="{00000000-0004-0000-0000-0000E6030000}"/>
    <hyperlink ref="G1001" r:id="rId1000" xr:uid="{00000000-0004-0000-0000-0000E7030000}"/>
    <hyperlink ref="G1002" r:id="rId1001" xr:uid="{00000000-0004-0000-0000-0000E8030000}"/>
    <hyperlink ref="G1003" r:id="rId1002" xr:uid="{00000000-0004-0000-0000-0000E9030000}"/>
    <hyperlink ref="G1004" r:id="rId1003" xr:uid="{00000000-0004-0000-0000-0000EA030000}"/>
    <hyperlink ref="G1005" r:id="rId1004" xr:uid="{00000000-0004-0000-0000-0000EB030000}"/>
    <hyperlink ref="G1006" r:id="rId1005" xr:uid="{00000000-0004-0000-0000-0000EC030000}"/>
    <hyperlink ref="G1007" r:id="rId1006" xr:uid="{00000000-0004-0000-0000-0000ED030000}"/>
    <hyperlink ref="G1008" r:id="rId1007" xr:uid="{00000000-0004-0000-0000-0000EE030000}"/>
    <hyperlink ref="G1009" r:id="rId1008" xr:uid="{00000000-0004-0000-0000-0000EF030000}"/>
    <hyperlink ref="G1010" r:id="rId1009" xr:uid="{00000000-0004-0000-0000-0000F0030000}"/>
    <hyperlink ref="G1011" r:id="rId1010" xr:uid="{00000000-0004-0000-0000-0000F1030000}"/>
    <hyperlink ref="G1012" r:id="rId1011" xr:uid="{00000000-0004-0000-0000-0000F2030000}"/>
    <hyperlink ref="G1013" r:id="rId1012" xr:uid="{00000000-0004-0000-0000-0000F3030000}"/>
    <hyperlink ref="G1014" r:id="rId1013" xr:uid="{00000000-0004-0000-0000-0000F4030000}"/>
    <hyperlink ref="G1015" r:id="rId1014" xr:uid="{00000000-0004-0000-0000-0000F5030000}"/>
    <hyperlink ref="G1016" r:id="rId1015" xr:uid="{00000000-0004-0000-0000-0000F6030000}"/>
    <hyperlink ref="G1017" r:id="rId1016" xr:uid="{00000000-0004-0000-0000-0000F7030000}"/>
    <hyperlink ref="G1018" r:id="rId1017" xr:uid="{00000000-0004-0000-0000-0000F8030000}"/>
    <hyperlink ref="G1019" r:id="rId1018" xr:uid="{00000000-0004-0000-0000-0000F9030000}"/>
    <hyperlink ref="G1020" r:id="rId1019" xr:uid="{00000000-0004-0000-0000-0000FA030000}"/>
    <hyperlink ref="G1021" r:id="rId1020" xr:uid="{00000000-0004-0000-0000-0000FB030000}"/>
    <hyperlink ref="G1022" r:id="rId1021" xr:uid="{00000000-0004-0000-0000-0000FC030000}"/>
    <hyperlink ref="G1023" r:id="rId1022" xr:uid="{00000000-0004-0000-0000-0000FD030000}"/>
    <hyperlink ref="G1024" r:id="rId1023" xr:uid="{00000000-0004-0000-0000-0000FE030000}"/>
    <hyperlink ref="G1025" r:id="rId1024" xr:uid="{00000000-0004-0000-0000-0000FF030000}"/>
    <hyperlink ref="G1026" r:id="rId1025" xr:uid="{00000000-0004-0000-0000-000000040000}"/>
    <hyperlink ref="G1027" r:id="rId1026" xr:uid="{00000000-0004-0000-0000-000001040000}"/>
    <hyperlink ref="G1028" r:id="rId1027" xr:uid="{00000000-0004-0000-0000-000002040000}"/>
    <hyperlink ref="G1029" r:id="rId1028" xr:uid="{00000000-0004-0000-0000-000003040000}"/>
    <hyperlink ref="G1030" r:id="rId1029" xr:uid="{00000000-0004-0000-0000-000004040000}"/>
    <hyperlink ref="G1031" r:id="rId1030" xr:uid="{00000000-0004-0000-0000-000005040000}"/>
    <hyperlink ref="G1032" r:id="rId1031" xr:uid="{00000000-0004-0000-0000-000006040000}"/>
    <hyperlink ref="G1033" r:id="rId1032" xr:uid="{00000000-0004-0000-0000-000007040000}"/>
    <hyperlink ref="G1034" r:id="rId1033" xr:uid="{00000000-0004-0000-0000-000008040000}"/>
    <hyperlink ref="G1035" r:id="rId1034" xr:uid="{00000000-0004-0000-0000-000009040000}"/>
    <hyperlink ref="G1036" r:id="rId1035" xr:uid="{00000000-0004-0000-0000-00000A040000}"/>
    <hyperlink ref="G1037" r:id="rId1036" xr:uid="{00000000-0004-0000-0000-00000B040000}"/>
    <hyperlink ref="G1038" r:id="rId1037" xr:uid="{00000000-0004-0000-0000-00000C040000}"/>
    <hyperlink ref="G1039" r:id="rId1038" xr:uid="{00000000-0004-0000-0000-00000D040000}"/>
    <hyperlink ref="G1040" r:id="rId1039" xr:uid="{00000000-0004-0000-0000-00000E040000}"/>
    <hyperlink ref="G1041" r:id="rId1040" xr:uid="{00000000-0004-0000-0000-00000F040000}"/>
    <hyperlink ref="G1042" r:id="rId1041" xr:uid="{00000000-0004-0000-0000-000010040000}"/>
    <hyperlink ref="G1043" r:id="rId1042" xr:uid="{00000000-0004-0000-0000-000011040000}"/>
    <hyperlink ref="G1044" r:id="rId1043" xr:uid="{00000000-0004-0000-0000-000012040000}"/>
    <hyperlink ref="G1045" r:id="rId1044" xr:uid="{00000000-0004-0000-0000-000013040000}"/>
    <hyperlink ref="G1046" r:id="rId1045" xr:uid="{00000000-0004-0000-0000-000014040000}"/>
    <hyperlink ref="G1047" r:id="rId1046" xr:uid="{00000000-0004-0000-0000-000015040000}"/>
    <hyperlink ref="G1048" r:id="rId1047" xr:uid="{00000000-0004-0000-0000-000016040000}"/>
    <hyperlink ref="G1049" r:id="rId1048" xr:uid="{00000000-0004-0000-0000-000017040000}"/>
    <hyperlink ref="G1050" r:id="rId1049" xr:uid="{00000000-0004-0000-0000-000018040000}"/>
    <hyperlink ref="G1051" r:id="rId1050" xr:uid="{00000000-0004-0000-0000-000019040000}"/>
    <hyperlink ref="G1052" r:id="rId1051" xr:uid="{00000000-0004-0000-0000-00001A040000}"/>
    <hyperlink ref="G1053" r:id="rId1052" xr:uid="{00000000-0004-0000-0000-00001B040000}"/>
    <hyperlink ref="G1054" r:id="rId1053" xr:uid="{00000000-0004-0000-0000-00001C040000}"/>
    <hyperlink ref="G1055" r:id="rId1054" xr:uid="{00000000-0004-0000-0000-00001D040000}"/>
    <hyperlink ref="G1056" r:id="rId1055" xr:uid="{00000000-0004-0000-0000-00001E040000}"/>
    <hyperlink ref="G1057" r:id="rId1056" xr:uid="{00000000-0004-0000-0000-00001F040000}"/>
    <hyperlink ref="G1058" r:id="rId1057" xr:uid="{00000000-0004-0000-0000-000020040000}"/>
    <hyperlink ref="G1059" r:id="rId1058" xr:uid="{00000000-0004-0000-0000-000021040000}"/>
    <hyperlink ref="G1060" r:id="rId1059" xr:uid="{00000000-0004-0000-0000-000022040000}"/>
    <hyperlink ref="G1061" r:id="rId1060" xr:uid="{00000000-0004-0000-0000-000023040000}"/>
    <hyperlink ref="G1062" r:id="rId1061" xr:uid="{00000000-0004-0000-0000-000024040000}"/>
    <hyperlink ref="G1063" r:id="rId1062" xr:uid="{00000000-0004-0000-0000-000025040000}"/>
    <hyperlink ref="G1064" r:id="rId1063" xr:uid="{00000000-0004-0000-0000-000026040000}"/>
    <hyperlink ref="G1065" r:id="rId1064" xr:uid="{00000000-0004-0000-0000-000027040000}"/>
    <hyperlink ref="G1066" r:id="rId1065" xr:uid="{00000000-0004-0000-0000-000028040000}"/>
    <hyperlink ref="G1067" r:id="rId1066" xr:uid="{00000000-0004-0000-0000-000029040000}"/>
    <hyperlink ref="G1068" r:id="rId1067" xr:uid="{00000000-0004-0000-0000-00002A040000}"/>
    <hyperlink ref="G1069" r:id="rId1068" xr:uid="{00000000-0004-0000-0000-00002B040000}"/>
    <hyperlink ref="G1070" r:id="rId1069" xr:uid="{00000000-0004-0000-0000-00002C040000}"/>
    <hyperlink ref="G1071" r:id="rId1070" xr:uid="{00000000-0004-0000-0000-00002D040000}"/>
    <hyperlink ref="G1072" r:id="rId1071" xr:uid="{00000000-0004-0000-0000-00002E040000}"/>
    <hyperlink ref="G1073" r:id="rId1072" xr:uid="{00000000-0004-0000-0000-00002F040000}"/>
    <hyperlink ref="G1074" r:id="rId1073" xr:uid="{00000000-0004-0000-0000-000030040000}"/>
    <hyperlink ref="G1075" r:id="rId1074" xr:uid="{00000000-0004-0000-0000-000031040000}"/>
    <hyperlink ref="G1076" r:id="rId1075" xr:uid="{00000000-0004-0000-0000-000032040000}"/>
    <hyperlink ref="G1077" r:id="rId1076" xr:uid="{00000000-0004-0000-0000-000033040000}"/>
    <hyperlink ref="G1078" r:id="rId1077" xr:uid="{00000000-0004-0000-0000-000034040000}"/>
    <hyperlink ref="G1079" r:id="rId1078" xr:uid="{00000000-0004-0000-0000-000035040000}"/>
    <hyperlink ref="G1080" r:id="rId1079" xr:uid="{00000000-0004-0000-0000-000036040000}"/>
    <hyperlink ref="G1081" r:id="rId1080" xr:uid="{00000000-0004-0000-0000-000037040000}"/>
    <hyperlink ref="G1082" r:id="rId1081" xr:uid="{00000000-0004-0000-0000-000038040000}"/>
    <hyperlink ref="G1083" r:id="rId1082" xr:uid="{00000000-0004-0000-0000-000039040000}"/>
    <hyperlink ref="G1084" r:id="rId1083" xr:uid="{00000000-0004-0000-0000-00003A040000}"/>
    <hyperlink ref="G1085" r:id="rId1084" xr:uid="{00000000-0004-0000-0000-00003B040000}"/>
    <hyperlink ref="G1086" r:id="rId1085" xr:uid="{00000000-0004-0000-0000-00003C040000}"/>
    <hyperlink ref="G1087" r:id="rId1086" xr:uid="{00000000-0004-0000-0000-00003D040000}"/>
    <hyperlink ref="G1088" r:id="rId1087" xr:uid="{00000000-0004-0000-0000-00003E040000}"/>
    <hyperlink ref="G1089" r:id="rId1088" xr:uid="{00000000-0004-0000-0000-00003F040000}"/>
    <hyperlink ref="G1090" r:id="rId1089" xr:uid="{00000000-0004-0000-0000-000040040000}"/>
    <hyperlink ref="G1091" r:id="rId1090" xr:uid="{00000000-0004-0000-0000-000041040000}"/>
    <hyperlink ref="G1092" r:id="rId1091" xr:uid="{00000000-0004-0000-0000-000042040000}"/>
    <hyperlink ref="G1093" r:id="rId1092" xr:uid="{00000000-0004-0000-0000-000043040000}"/>
    <hyperlink ref="G1094" r:id="rId1093" xr:uid="{00000000-0004-0000-0000-000044040000}"/>
    <hyperlink ref="G1095" r:id="rId1094" xr:uid="{00000000-0004-0000-0000-000045040000}"/>
    <hyperlink ref="G1096" r:id="rId1095" xr:uid="{00000000-0004-0000-0000-000046040000}"/>
    <hyperlink ref="G1097" r:id="rId1096" xr:uid="{00000000-0004-0000-0000-000047040000}"/>
    <hyperlink ref="G1098" r:id="rId1097" xr:uid="{00000000-0004-0000-0000-000048040000}"/>
    <hyperlink ref="G1099" r:id="rId1098" xr:uid="{00000000-0004-0000-0000-000049040000}"/>
    <hyperlink ref="G1100" r:id="rId1099" xr:uid="{00000000-0004-0000-0000-00004A040000}"/>
    <hyperlink ref="G1101" r:id="rId1100" xr:uid="{00000000-0004-0000-0000-00004B040000}"/>
    <hyperlink ref="G1102" r:id="rId1101" xr:uid="{00000000-0004-0000-0000-00004C040000}"/>
    <hyperlink ref="G1103" r:id="rId1102" xr:uid="{00000000-0004-0000-0000-00004D040000}"/>
    <hyperlink ref="G1104" r:id="rId1103" xr:uid="{00000000-0004-0000-0000-00004E040000}"/>
    <hyperlink ref="G1105" r:id="rId1104" xr:uid="{00000000-0004-0000-0000-00004F040000}"/>
    <hyperlink ref="G1106" r:id="rId1105" xr:uid="{00000000-0004-0000-0000-000050040000}"/>
    <hyperlink ref="G1107" r:id="rId1106" xr:uid="{00000000-0004-0000-0000-000051040000}"/>
    <hyperlink ref="G1108" r:id="rId1107" xr:uid="{00000000-0004-0000-0000-000052040000}"/>
    <hyperlink ref="G1109" r:id="rId1108" xr:uid="{00000000-0004-0000-0000-000053040000}"/>
    <hyperlink ref="G1110" r:id="rId1109" xr:uid="{00000000-0004-0000-0000-000054040000}"/>
    <hyperlink ref="G1111" r:id="rId1110" xr:uid="{00000000-0004-0000-0000-000055040000}"/>
    <hyperlink ref="G1112" r:id="rId1111" xr:uid="{00000000-0004-0000-0000-000056040000}"/>
    <hyperlink ref="G1113" r:id="rId1112" xr:uid="{00000000-0004-0000-0000-000057040000}"/>
    <hyperlink ref="G1114" r:id="rId1113" xr:uid="{00000000-0004-0000-0000-000058040000}"/>
    <hyperlink ref="G1115" r:id="rId1114" xr:uid="{00000000-0004-0000-0000-000059040000}"/>
    <hyperlink ref="G1116" r:id="rId1115" xr:uid="{00000000-0004-0000-0000-00005A040000}"/>
    <hyperlink ref="G1117" r:id="rId1116" xr:uid="{00000000-0004-0000-0000-00005B040000}"/>
    <hyperlink ref="G1118" r:id="rId1117" xr:uid="{00000000-0004-0000-0000-00005C040000}"/>
    <hyperlink ref="G1119" r:id="rId1118" xr:uid="{00000000-0004-0000-0000-00005D040000}"/>
    <hyperlink ref="G1120" r:id="rId1119" xr:uid="{00000000-0004-0000-0000-00005E040000}"/>
    <hyperlink ref="G1121" r:id="rId1120" xr:uid="{00000000-0004-0000-0000-00005F040000}"/>
    <hyperlink ref="G1122" r:id="rId1121" xr:uid="{00000000-0004-0000-0000-000060040000}"/>
    <hyperlink ref="G1123" r:id="rId1122" xr:uid="{00000000-0004-0000-0000-000061040000}"/>
    <hyperlink ref="G1124" r:id="rId1123" xr:uid="{00000000-0004-0000-0000-000062040000}"/>
    <hyperlink ref="G1125" r:id="rId1124" xr:uid="{00000000-0004-0000-0000-000063040000}"/>
    <hyperlink ref="G1126" r:id="rId1125" xr:uid="{00000000-0004-0000-0000-000064040000}"/>
    <hyperlink ref="G1127" r:id="rId1126" xr:uid="{00000000-0004-0000-0000-000065040000}"/>
    <hyperlink ref="G1128" r:id="rId1127" xr:uid="{00000000-0004-0000-0000-000066040000}"/>
    <hyperlink ref="G1129" r:id="rId1128" xr:uid="{00000000-0004-0000-0000-000067040000}"/>
    <hyperlink ref="G1130" r:id="rId1129" xr:uid="{00000000-0004-0000-0000-000068040000}"/>
    <hyperlink ref="G1131" r:id="rId1130" xr:uid="{00000000-0004-0000-0000-000069040000}"/>
    <hyperlink ref="G1132" r:id="rId1131" xr:uid="{00000000-0004-0000-0000-00006A040000}"/>
    <hyperlink ref="G1133" r:id="rId1132" xr:uid="{00000000-0004-0000-0000-00006B040000}"/>
    <hyperlink ref="G1134" r:id="rId1133" xr:uid="{00000000-0004-0000-0000-00006C040000}"/>
    <hyperlink ref="G1135" r:id="rId1134" xr:uid="{00000000-0004-0000-0000-00006D040000}"/>
    <hyperlink ref="G1136" r:id="rId1135" xr:uid="{00000000-0004-0000-0000-00006E040000}"/>
    <hyperlink ref="G1137" r:id="rId1136" xr:uid="{00000000-0004-0000-0000-00006F040000}"/>
    <hyperlink ref="G1138" r:id="rId1137" xr:uid="{00000000-0004-0000-0000-000070040000}"/>
    <hyperlink ref="G1139" r:id="rId1138" xr:uid="{00000000-0004-0000-0000-000071040000}"/>
    <hyperlink ref="G1140" r:id="rId1139" xr:uid="{00000000-0004-0000-0000-000072040000}"/>
    <hyperlink ref="G1141" r:id="rId1140" xr:uid="{00000000-0004-0000-0000-000073040000}"/>
    <hyperlink ref="G1142" r:id="rId1141" xr:uid="{00000000-0004-0000-0000-000074040000}"/>
    <hyperlink ref="G1143" r:id="rId1142" xr:uid="{00000000-0004-0000-0000-000075040000}"/>
    <hyperlink ref="G1144" r:id="rId1143" xr:uid="{00000000-0004-0000-0000-000076040000}"/>
    <hyperlink ref="G1145" r:id="rId1144" xr:uid="{00000000-0004-0000-0000-000077040000}"/>
    <hyperlink ref="G1146" r:id="rId1145" xr:uid="{00000000-0004-0000-0000-000078040000}"/>
    <hyperlink ref="G1147" r:id="rId1146" xr:uid="{00000000-0004-0000-0000-000079040000}"/>
    <hyperlink ref="G1148" r:id="rId1147" xr:uid="{00000000-0004-0000-0000-00007A040000}"/>
    <hyperlink ref="G1149" r:id="rId1148" xr:uid="{00000000-0004-0000-0000-00007B040000}"/>
    <hyperlink ref="G1150" r:id="rId1149" xr:uid="{00000000-0004-0000-0000-00007C040000}"/>
    <hyperlink ref="G1151" r:id="rId1150" xr:uid="{00000000-0004-0000-0000-00007D040000}"/>
    <hyperlink ref="G1152" r:id="rId1151" xr:uid="{00000000-0004-0000-0000-00007E040000}"/>
    <hyperlink ref="G1153" r:id="rId1152" xr:uid="{00000000-0004-0000-0000-00007F040000}"/>
    <hyperlink ref="G1154" r:id="rId1153" xr:uid="{00000000-0004-0000-0000-000080040000}"/>
    <hyperlink ref="G1155" r:id="rId1154" xr:uid="{00000000-0004-0000-0000-000081040000}"/>
    <hyperlink ref="G1156" r:id="rId1155" xr:uid="{00000000-0004-0000-0000-000082040000}"/>
    <hyperlink ref="G1157" r:id="rId1156" xr:uid="{00000000-0004-0000-0000-000083040000}"/>
    <hyperlink ref="G1158" r:id="rId1157" xr:uid="{00000000-0004-0000-0000-000084040000}"/>
    <hyperlink ref="G1159" r:id="rId1158" xr:uid="{00000000-0004-0000-0000-000085040000}"/>
    <hyperlink ref="G1160" r:id="rId1159" xr:uid="{00000000-0004-0000-0000-000086040000}"/>
    <hyperlink ref="G1161" r:id="rId1160" xr:uid="{00000000-0004-0000-0000-000087040000}"/>
    <hyperlink ref="G1162" r:id="rId1161" xr:uid="{00000000-0004-0000-0000-000088040000}"/>
    <hyperlink ref="G1163" r:id="rId1162" xr:uid="{00000000-0004-0000-0000-000089040000}"/>
    <hyperlink ref="G1164" r:id="rId1163" xr:uid="{00000000-0004-0000-0000-00008A040000}"/>
    <hyperlink ref="G1165" r:id="rId1164" xr:uid="{00000000-0004-0000-0000-00008B040000}"/>
    <hyperlink ref="G1166" r:id="rId1165" xr:uid="{00000000-0004-0000-0000-00008C040000}"/>
    <hyperlink ref="G1167" r:id="rId1166" xr:uid="{00000000-0004-0000-0000-00008D040000}"/>
    <hyperlink ref="G1168" r:id="rId1167" xr:uid="{00000000-0004-0000-0000-00008E040000}"/>
    <hyperlink ref="G1169" r:id="rId1168" xr:uid="{00000000-0004-0000-0000-00008F040000}"/>
    <hyperlink ref="G1170" r:id="rId1169" xr:uid="{00000000-0004-0000-0000-000090040000}"/>
    <hyperlink ref="G1171" r:id="rId1170" xr:uid="{00000000-0004-0000-0000-000091040000}"/>
    <hyperlink ref="G1172" r:id="rId1171" xr:uid="{00000000-0004-0000-0000-000092040000}"/>
    <hyperlink ref="G1173" r:id="rId1172" xr:uid="{00000000-0004-0000-0000-000093040000}"/>
    <hyperlink ref="G1174" r:id="rId1173" xr:uid="{00000000-0004-0000-0000-000094040000}"/>
    <hyperlink ref="G1175" r:id="rId1174" xr:uid="{00000000-0004-0000-0000-000095040000}"/>
    <hyperlink ref="G1176" r:id="rId1175" xr:uid="{00000000-0004-0000-0000-000096040000}"/>
    <hyperlink ref="G1177" r:id="rId1176" xr:uid="{00000000-0004-0000-0000-000097040000}"/>
    <hyperlink ref="G1178" r:id="rId1177" xr:uid="{00000000-0004-0000-0000-000098040000}"/>
    <hyperlink ref="G1179" r:id="rId1178" xr:uid="{00000000-0004-0000-0000-000099040000}"/>
    <hyperlink ref="G1180" r:id="rId1179" xr:uid="{00000000-0004-0000-0000-00009A040000}"/>
    <hyperlink ref="G1181" r:id="rId1180" xr:uid="{00000000-0004-0000-0000-00009B040000}"/>
    <hyperlink ref="G1182" r:id="rId1181" xr:uid="{00000000-0004-0000-0000-00009C040000}"/>
    <hyperlink ref="G1183" r:id="rId1182" xr:uid="{00000000-0004-0000-0000-00009D040000}"/>
    <hyperlink ref="G1184" r:id="rId1183" xr:uid="{00000000-0004-0000-0000-00009E040000}"/>
    <hyperlink ref="G1185" r:id="rId1184" xr:uid="{00000000-0004-0000-0000-00009F040000}"/>
    <hyperlink ref="G1186" r:id="rId1185" xr:uid="{00000000-0004-0000-0000-0000A0040000}"/>
    <hyperlink ref="G1187" r:id="rId1186" xr:uid="{00000000-0004-0000-0000-0000A1040000}"/>
    <hyperlink ref="G1188" r:id="rId1187" xr:uid="{00000000-0004-0000-0000-0000A2040000}"/>
    <hyperlink ref="G1189" r:id="rId1188" xr:uid="{00000000-0004-0000-0000-0000A3040000}"/>
    <hyperlink ref="G1190" r:id="rId1189" xr:uid="{00000000-0004-0000-0000-0000A4040000}"/>
    <hyperlink ref="G1191" r:id="rId1190" xr:uid="{00000000-0004-0000-0000-0000A5040000}"/>
    <hyperlink ref="G1192" r:id="rId1191" xr:uid="{00000000-0004-0000-0000-0000A6040000}"/>
    <hyperlink ref="G1193" r:id="rId1192" xr:uid="{00000000-0004-0000-0000-0000A7040000}"/>
    <hyperlink ref="G1194" r:id="rId1193" xr:uid="{00000000-0004-0000-0000-0000A8040000}"/>
    <hyperlink ref="G1195" r:id="rId1194" xr:uid="{00000000-0004-0000-0000-0000A9040000}"/>
    <hyperlink ref="G1196" r:id="rId1195" xr:uid="{00000000-0004-0000-0000-0000AA040000}"/>
    <hyperlink ref="G1197" r:id="rId1196" xr:uid="{00000000-0004-0000-0000-0000AB040000}"/>
    <hyperlink ref="G1198" r:id="rId1197" xr:uid="{00000000-0004-0000-0000-0000AC040000}"/>
    <hyperlink ref="G1199" r:id="rId1198" xr:uid="{00000000-0004-0000-0000-0000AD040000}"/>
    <hyperlink ref="G1200" r:id="rId1199" xr:uid="{00000000-0004-0000-0000-0000AE040000}"/>
    <hyperlink ref="G1201" r:id="rId1200" xr:uid="{00000000-0004-0000-0000-0000AF040000}"/>
    <hyperlink ref="G1202" r:id="rId1201" xr:uid="{00000000-0004-0000-0000-0000B0040000}"/>
    <hyperlink ref="G1203" r:id="rId1202" xr:uid="{00000000-0004-0000-0000-0000B1040000}"/>
    <hyperlink ref="G1204" r:id="rId1203" xr:uid="{00000000-0004-0000-0000-0000B2040000}"/>
    <hyperlink ref="G1205" r:id="rId1204" xr:uid="{00000000-0004-0000-0000-0000B3040000}"/>
    <hyperlink ref="G1206" r:id="rId1205" xr:uid="{00000000-0004-0000-0000-0000B4040000}"/>
    <hyperlink ref="G1207" r:id="rId1206" xr:uid="{00000000-0004-0000-0000-0000B5040000}"/>
    <hyperlink ref="G1208" r:id="rId1207" xr:uid="{00000000-0004-0000-0000-0000B6040000}"/>
    <hyperlink ref="G1209" r:id="rId1208" xr:uid="{00000000-0004-0000-0000-0000B7040000}"/>
    <hyperlink ref="G1210" r:id="rId1209" xr:uid="{00000000-0004-0000-0000-0000B8040000}"/>
    <hyperlink ref="G1211" r:id="rId1210" xr:uid="{00000000-0004-0000-0000-0000B9040000}"/>
    <hyperlink ref="G1212" r:id="rId1211" xr:uid="{00000000-0004-0000-0000-0000BA040000}"/>
    <hyperlink ref="G1213" r:id="rId1212" xr:uid="{00000000-0004-0000-0000-0000BB040000}"/>
    <hyperlink ref="G1214" r:id="rId1213" xr:uid="{00000000-0004-0000-0000-0000BC040000}"/>
    <hyperlink ref="G1215" r:id="rId1214" xr:uid="{00000000-0004-0000-0000-0000BD040000}"/>
    <hyperlink ref="G1216" r:id="rId1215" xr:uid="{00000000-0004-0000-0000-0000BE040000}"/>
    <hyperlink ref="G1217" r:id="rId1216" xr:uid="{00000000-0004-0000-0000-0000BF040000}"/>
    <hyperlink ref="G1218" r:id="rId1217" xr:uid="{00000000-0004-0000-0000-0000C0040000}"/>
    <hyperlink ref="G1219" r:id="rId1218" xr:uid="{00000000-0004-0000-0000-0000C1040000}"/>
    <hyperlink ref="G1220" r:id="rId1219" xr:uid="{00000000-0004-0000-0000-0000C2040000}"/>
    <hyperlink ref="G1221" r:id="rId1220" xr:uid="{00000000-0004-0000-0000-0000C3040000}"/>
    <hyperlink ref="G1222" r:id="rId1221" xr:uid="{00000000-0004-0000-0000-0000C4040000}"/>
    <hyperlink ref="G1223" r:id="rId1222" xr:uid="{00000000-0004-0000-0000-0000C5040000}"/>
    <hyperlink ref="G1224" r:id="rId1223" xr:uid="{00000000-0004-0000-0000-0000C6040000}"/>
    <hyperlink ref="G1225" r:id="rId1224" xr:uid="{00000000-0004-0000-0000-0000C7040000}"/>
    <hyperlink ref="G1226" r:id="rId1225" xr:uid="{00000000-0004-0000-0000-0000C8040000}"/>
    <hyperlink ref="G1227" r:id="rId1226" xr:uid="{00000000-0004-0000-0000-0000C9040000}"/>
    <hyperlink ref="G1228" r:id="rId1227" xr:uid="{00000000-0004-0000-0000-0000CA040000}"/>
    <hyperlink ref="G1229" r:id="rId1228" xr:uid="{00000000-0004-0000-0000-0000CB040000}"/>
    <hyperlink ref="G1230" r:id="rId1229" xr:uid="{00000000-0004-0000-0000-0000CC040000}"/>
    <hyperlink ref="G1231" r:id="rId1230" xr:uid="{00000000-0004-0000-0000-0000CD040000}"/>
    <hyperlink ref="G1232" r:id="rId1231" xr:uid="{00000000-0004-0000-0000-0000CE040000}"/>
    <hyperlink ref="G1233" r:id="rId1232" xr:uid="{00000000-0004-0000-0000-0000CF040000}"/>
    <hyperlink ref="G1234" r:id="rId1233" xr:uid="{00000000-0004-0000-0000-0000D0040000}"/>
    <hyperlink ref="G1235" r:id="rId1234" xr:uid="{00000000-0004-0000-0000-0000D1040000}"/>
    <hyperlink ref="G1236" r:id="rId1235" xr:uid="{00000000-0004-0000-0000-0000D2040000}"/>
    <hyperlink ref="G1237" r:id="rId1236" xr:uid="{00000000-0004-0000-0000-0000D3040000}"/>
    <hyperlink ref="G1238" r:id="rId1237" xr:uid="{00000000-0004-0000-0000-0000D4040000}"/>
    <hyperlink ref="G1239" r:id="rId1238" xr:uid="{00000000-0004-0000-0000-0000D5040000}"/>
    <hyperlink ref="G1240" r:id="rId1239" xr:uid="{00000000-0004-0000-0000-0000D6040000}"/>
    <hyperlink ref="G1241" r:id="rId1240" xr:uid="{00000000-0004-0000-0000-0000D7040000}"/>
    <hyperlink ref="G1242" r:id="rId1241" xr:uid="{00000000-0004-0000-0000-0000D8040000}"/>
    <hyperlink ref="G1243" r:id="rId1242" xr:uid="{00000000-0004-0000-0000-0000D9040000}"/>
    <hyperlink ref="G1244" r:id="rId1243" xr:uid="{00000000-0004-0000-0000-0000DA040000}"/>
    <hyperlink ref="G1245" r:id="rId1244" xr:uid="{00000000-0004-0000-0000-0000DB040000}"/>
    <hyperlink ref="G1246" r:id="rId1245" xr:uid="{00000000-0004-0000-0000-0000DC040000}"/>
    <hyperlink ref="G1247" r:id="rId1246" xr:uid="{00000000-0004-0000-0000-0000DD040000}"/>
    <hyperlink ref="G1248" r:id="rId1247" xr:uid="{00000000-0004-0000-0000-0000DE040000}"/>
    <hyperlink ref="G1249" r:id="rId1248" xr:uid="{00000000-0004-0000-0000-0000DF040000}"/>
    <hyperlink ref="G1250" r:id="rId1249" xr:uid="{00000000-0004-0000-0000-0000E0040000}"/>
    <hyperlink ref="G1251" r:id="rId1250" xr:uid="{00000000-0004-0000-0000-0000E1040000}"/>
    <hyperlink ref="G1252" r:id="rId1251" xr:uid="{00000000-0004-0000-0000-0000E2040000}"/>
    <hyperlink ref="G1253" r:id="rId1252" xr:uid="{00000000-0004-0000-0000-0000E3040000}"/>
    <hyperlink ref="G1254" r:id="rId1253" xr:uid="{00000000-0004-0000-0000-0000E4040000}"/>
    <hyperlink ref="G1255" r:id="rId1254" xr:uid="{00000000-0004-0000-0000-0000E5040000}"/>
    <hyperlink ref="G1256" r:id="rId1255" xr:uid="{00000000-0004-0000-0000-0000E6040000}"/>
    <hyperlink ref="G1257" r:id="rId1256" xr:uid="{00000000-0004-0000-0000-0000E7040000}"/>
    <hyperlink ref="G1258" r:id="rId1257" xr:uid="{00000000-0004-0000-0000-0000E8040000}"/>
    <hyperlink ref="G1259" r:id="rId1258" xr:uid="{00000000-0004-0000-0000-0000E9040000}"/>
    <hyperlink ref="G1260" r:id="rId1259" xr:uid="{00000000-0004-0000-0000-0000EA040000}"/>
    <hyperlink ref="G1261" r:id="rId1260" xr:uid="{00000000-0004-0000-0000-0000EB040000}"/>
    <hyperlink ref="G1262" r:id="rId1261" xr:uid="{00000000-0004-0000-0000-0000EC040000}"/>
    <hyperlink ref="G1263" r:id="rId1262" xr:uid="{00000000-0004-0000-0000-0000ED040000}"/>
    <hyperlink ref="G1264" r:id="rId1263" xr:uid="{00000000-0004-0000-0000-0000EE040000}"/>
    <hyperlink ref="G1265" r:id="rId1264" xr:uid="{00000000-0004-0000-0000-0000EF040000}"/>
    <hyperlink ref="G1266" r:id="rId1265" xr:uid="{00000000-0004-0000-0000-0000F0040000}"/>
    <hyperlink ref="G1267" r:id="rId1266" xr:uid="{00000000-0004-0000-0000-0000F1040000}"/>
    <hyperlink ref="G1268" r:id="rId1267" xr:uid="{00000000-0004-0000-0000-0000F2040000}"/>
    <hyperlink ref="G1269" r:id="rId1268" xr:uid="{00000000-0004-0000-0000-0000F3040000}"/>
    <hyperlink ref="G1270" r:id="rId1269" xr:uid="{00000000-0004-0000-0000-0000F4040000}"/>
    <hyperlink ref="G1271" r:id="rId1270" xr:uid="{00000000-0004-0000-0000-0000F5040000}"/>
    <hyperlink ref="G1272" r:id="rId1271" xr:uid="{00000000-0004-0000-0000-0000F6040000}"/>
    <hyperlink ref="G1273" r:id="rId1272" xr:uid="{00000000-0004-0000-0000-0000F7040000}"/>
    <hyperlink ref="G1274" r:id="rId1273" xr:uid="{00000000-0004-0000-0000-0000F8040000}"/>
    <hyperlink ref="G1275" r:id="rId1274" xr:uid="{00000000-0004-0000-0000-0000F9040000}"/>
    <hyperlink ref="G1276" r:id="rId1275" xr:uid="{00000000-0004-0000-0000-0000FA040000}"/>
    <hyperlink ref="G1277" r:id="rId1276" xr:uid="{00000000-0004-0000-0000-0000FB040000}"/>
    <hyperlink ref="G1278" r:id="rId1277" xr:uid="{00000000-0004-0000-0000-0000FC040000}"/>
    <hyperlink ref="G1279" r:id="rId1278" xr:uid="{00000000-0004-0000-0000-0000FD040000}"/>
    <hyperlink ref="G1280" r:id="rId1279" xr:uid="{00000000-0004-0000-0000-0000FE040000}"/>
    <hyperlink ref="G1281" r:id="rId1280" xr:uid="{00000000-0004-0000-0000-0000FF040000}"/>
    <hyperlink ref="G1282" r:id="rId1281" xr:uid="{00000000-0004-0000-0000-000000050000}"/>
    <hyperlink ref="G1283" r:id="rId1282" xr:uid="{00000000-0004-0000-0000-000001050000}"/>
    <hyperlink ref="G1284" r:id="rId1283" xr:uid="{00000000-0004-0000-0000-000002050000}"/>
    <hyperlink ref="G1285" r:id="rId1284" xr:uid="{00000000-0004-0000-0000-000003050000}"/>
    <hyperlink ref="G1286" r:id="rId1285" xr:uid="{00000000-0004-0000-0000-000004050000}"/>
    <hyperlink ref="G1287" r:id="rId1286" xr:uid="{00000000-0004-0000-0000-000005050000}"/>
    <hyperlink ref="G1288" r:id="rId1287" xr:uid="{00000000-0004-0000-0000-000006050000}"/>
    <hyperlink ref="G1289" r:id="rId1288" xr:uid="{00000000-0004-0000-0000-000007050000}"/>
    <hyperlink ref="G1290" r:id="rId1289" xr:uid="{00000000-0004-0000-0000-000008050000}"/>
    <hyperlink ref="G1291" r:id="rId1290" xr:uid="{00000000-0004-0000-0000-000009050000}"/>
    <hyperlink ref="G1292" r:id="rId1291" xr:uid="{00000000-0004-0000-0000-00000A050000}"/>
    <hyperlink ref="G1293" r:id="rId1292" xr:uid="{00000000-0004-0000-0000-00000B050000}"/>
    <hyperlink ref="G1294" r:id="rId1293" xr:uid="{00000000-0004-0000-0000-00000C050000}"/>
    <hyperlink ref="G1295" r:id="rId1294" xr:uid="{00000000-0004-0000-0000-00000D050000}"/>
    <hyperlink ref="G1296" r:id="rId1295" xr:uid="{00000000-0004-0000-0000-00000E050000}"/>
    <hyperlink ref="G1297" r:id="rId1296" xr:uid="{00000000-0004-0000-0000-00000F050000}"/>
    <hyperlink ref="G1298" r:id="rId1297" xr:uid="{00000000-0004-0000-0000-000010050000}"/>
    <hyperlink ref="G1299" r:id="rId1298" xr:uid="{00000000-0004-0000-0000-000011050000}"/>
    <hyperlink ref="G1300" r:id="rId1299" xr:uid="{00000000-0004-0000-0000-000012050000}"/>
    <hyperlink ref="G1301" r:id="rId1300" xr:uid="{00000000-0004-0000-0000-000013050000}"/>
    <hyperlink ref="G1302" r:id="rId1301" xr:uid="{00000000-0004-0000-0000-000014050000}"/>
    <hyperlink ref="G1303" r:id="rId1302" xr:uid="{00000000-0004-0000-0000-000015050000}"/>
    <hyperlink ref="G1304" r:id="rId1303" xr:uid="{00000000-0004-0000-0000-000016050000}"/>
    <hyperlink ref="G1305" r:id="rId1304" xr:uid="{00000000-0004-0000-0000-000017050000}"/>
    <hyperlink ref="G1306" r:id="rId1305" xr:uid="{00000000-0004-0000-0000-000018050000}"/>
    <hyperlink ref="G1307" r:id="rId1306" xr:uid="{00000000-0004-0000-0000-000019050000}"/>
    <hyperlink ref="G1308" r:id="rId1307" xr:uid="{00000000-0004-0000-0000-00001A050000}"/>
    <hyperlink ref="G1309" r:id="rId1308" xr:uid="{00000000-0004-0000-0000-00001B050000}"/>
    <hyperlink ref="G1310" r:id="rId1309" xr:uid="{00000000-0004-0000-0000-00001C050000}"/>
    <hyperlink ref="G1311" r:id="rId1310" xr:uid="{00000000-0004-0000-0000-00001D050000}"/>
    <hyperlink ref="G1312" r:id="rId1311" xr:uid="{00000000-0004-0000-0000-00001E050000}"/>
    <hyperlink ref="G1313" r:id="rId1312" xr:uid="{00000000-0004-0000-0000-00001F050000}"/>
    <hyperlink ref="G1314" r:id="rId1313" xr:uid="{00000000-0004-0000-0000-000020050000}"/>
    <hyperlink ref="G1315" r:id="rId1314" xr:uid="{00000000-0004-0000-0000-000021050000}"/>
    <hyperlink ref="G1316" r:id="rId1315" xr:uid="{00000000-0004-0000-0000-000022050000}"/>
    <hyperlink ref="G1317" r:id="rId1316" xr:uid="{00000000-0004-0000-0000-000023050000}"/>
    <hyperlink ref="G1318" r:id="rId1317" xr:uid="{00000000-0004-0000-0000-000024050000}"/>
    <hyperlink ref="G1319" r:id="rId1318" xr:uid="{00000000-0004-0000-0000-000025050000}"/>
    <hyperlink ref="G1320" r:id="rId1319" xr:uid="{00000000-0004-0000-0000-000026050000}"/>
    <hyperlink ref="G1321" r:id="rId1320" xr:uid="{00000000-0004-0000-0000-000027050000}"/>
    <hyperlink ref="G1322" r:id="rId1321" xr:uid="{00000000-0004-0000-0000-000028050000}"/>
    <hyperlink ref="G1323" r:id="rId1322" xr:uid="{00000000-0004-0000-0000-000029050000}"/>
    <hyperlink ref="G1324" r:id="rId1323" xr:uid="{00000000-0004-0000-0000-00002A050000}"/>
    <hyperlink ref="G1325" r:id="rId1324" xr:uid="{00000000-0004-0000-0000-00002B050000}"/>
    <hyperlink ref="G1326" r:id="rId1325" xr:uid="{00000000-0004-0000-0000-00002C050000}"/>
    <hyperlink ref="G1327" r:id="rId1326" xr:uid="{00000000-0004-0000-0000-00002D050000}"/>
    <hyperlink ref="G1328" r:id="rId1327" xr:uid="{00000000-0004-0000-0000-00002E050000}"/>
    <hyperlink ref="G1329" r:id="rId1328" xr:uid="{00000000-0004-0000-0000-00002F050000}"/>
    <hyperlink ref="G1330" r:id="rId1329" xr:uid="{00000000-0004-0000-0000-000030050000}"/>
    <hyperlink ref="G1331" r:id="rId1330" xr:uid="{00000000-0004-0000-0000-000031050000}"/>
    <hyperlink ref="G1332" r:id="rId1331" xr:uid="{00000000-0004-0000-0000-000032050000}"/>
    <hyperlink ref="G1333" r:id="rId1332" xr:uid="{00000000-0004-0000-0000-000033050000}"/>
    <hyperlink ref="G1334" r:id="rId1333" xr:uid="{00000000-0004-0000-0000-000034050000}"/>
    <hyperlink ref="G1335" r:id="rId1334" xr:uid="{00000000-0004-0000-0000-000035050000}"/>
    <hyperlink ref="G1336" r:id="rId1335" xr:uid="{00000000-0004-0000-0000-000036050000}"/>
    <hyperlink ref="G1337" r:id="rId1336" xr:uid="{00000000-0004-0000-0000-000037050000}"/>
    <hyperlink ref="G1338" r:id="rId1337" xr:uid="{00000000-0004-0000-0000-000038050000}"/>
    <hyperlink ref="G1339" r:id="rId1338" xr:uid="{00000000-0004-0000-0000-000039050000}"/>
    <hyperlink ref="G1340" r:id="rId1339" xr:uid="{00000000-0004-0000-0000-00003A050000}"/>
    <hyperlink ref="G1341" r:id="rId1340" xr:uid="{00000000-0004-0000-0000-00003B050000}"/>
    <hyperlink ref="G1342" r:id="rId1341" xr:uid="{00000000-0004-0000-0000-00003C050000}"/>
    <hyperlink ref="G1343" r:id="rId1342" xr:uid="{00000000-0004-0000-0000-00003D050000}"/>
    <hyperlink ref="G1344" r:id="rId1343" xr:uid="{00000000-0004-0000-0000-00003E050000}"/>
    <hyperlink ref="G1345" r:id="rId1344" xr:uid="{00000000-0004-0000-0000-00003F050000}"/>
    <hyperlink ref="G1346" r:id="rId1345" xr:uid="{00000000-0004-0000-0000-000040050000}"/>
    <hyperlink ref="G1347" r:id="rId1346" xr:uid="{00000000-0004-0000-0000-000041050000}"/>
    <hyperlink ref="G1348" r:id="rId1347" xr:uid="{00000000-0004-0000-0000-000042050000}"/>
    <hyperlink ref="G1349" r:id="rId1348" xr:uid="{00000000-0004-0000-0000-000043050000}"/>
    <hyperlink ref="G1350" r:id="rId1349" xr:uid="{00000000-0004-0000-0000-000044050000}"/>
    <hyperlink ref="G1351" r:id="rId1350" xr:uid="{00000000-0004-0000-0000-000045050000}"/>
    <hyperlink ref="G1352" r:id="rId1351" xr:uid="{00000000-0004-0000-0000-000046050000}"/>
    <hyperlink ref="G1353" r:id="rId1352" xr:uid="{00000000-0004-0000-0000-000047050000}"/>
    <hyperlink ref="G1354" r:id="rId1353" xr:uid="{00000000-0004-0000-0000-000048050000}"/>
    <hyperlink ref="G1355" r:id="rId1354" xr:uid="{00000000-0004-0000-0000-000049050000}"/>
    <hyperlink ref="G1356" r:id="rId1355" xr:uid="{00000000-0004-0000-0000-00004A050000}"/>
    <hyperlink ref="G1357" r:id="rId1356" xr:uid="{00000000-0004-0000-0000-00004B050000}"/>
    <hyperlink ref="G1358" r:id="rId1357" xr:uid="{00000000-0004-0000-0000-00004C050000}"/>
    <hyperlink ref="G1359" r:id="rId1358" xr:uid="{00000000-0004-0000-0000-00004D050000}"/>
    <hyperlink ref="G1360" r:id="rId1359" xr:uid="{00000000-0004-0000-0000-00004E050000}"/>
    <hyperlink ref="G1361" r:id="rId1360" xr:uid="{00000000-0004-0000-0000-00004F050000}"/>
    <hyperlink ref="G1362" r:id="rId1361" xr:uid="{00000000-0004-0000-0000-000050050000}"/>
    <hyperlink ref="G1363" r:id="rId1362" xr:uid="{00000000-0004-0000-0000-000051050000}"/>
    <hyperlink ref="G1364" r:id="rId1363" xr:uid="{00000000-0004-0000-0000-000052050000}"/>
    <hyperlink ref="G1365" r:id="rId1364" xr:uid="{00000000-0004-0000-0000-000053050000}"/>
    <hyperlink ref="G1366" r:id="rId1365" xr:uid="{00000000-0004-0000-0000-000054050000}"/>
    <hyperlink ref="G1367" r:id="rId1366" xr:uid="{00000000-0004-0000-0000-000055050000}"/>
    <hyperlink ref="G1368" r:id="rId1367" xr:uid="{00000000-0004-0000-0000-000056050000}"/>
    <hyperlink ref="G1369" r:id="rId1368" xr:uid="{00000000-0004-0000-0000-000057050000}"/>
    <hyperlink ref="G1370" r:id="rId1369" xr:uid="{00000000-0004-0000-0000-000058050000}"/>
    <hyperlink ref="G1371" r:id="rId1370" xr:uid="{00000000-0004-0000-0000-000059050000}"/>
    <hyperlink ref="G1372" r:id="rId1371" xr:uid="{00000000-0004-0000-0000-00005A050000}"/>
    <hyperlink ref="G1373" r:id="rId1372" xr:uid="{00000000-0004-0000-0000-00005B050000}"/>
    <hyperlink ref="G1374" r:id="rId1373" xr:uid="{00000000-0004-0000-0000-00005C050000}"/>
    <hyperlink ref="G1375" r:id="rId1374" xr:uid="{00000000-0004-0000-0000-00005D050000}"/>
    <hyperlink ref="G1376" r:id="rId1375" xr:uid="{00000000-0004-0000-0000-00005E050000}"/>
    <hyperlink ref="G1377" r:id="rId1376" xr:uid="{00000000-0004-0000-0000-00005F050000}"/>
    <hyperlink ref="G1378" r:id="rId1377" xr:uid="{00000000-0004-0000-0000-000060050000}"/>
    <hyperlink ref="G1379" r:id="rId1378" xr:uid="{00000000-0004-0000-0000-000061050000}"/>
    <hyperlink ref="G1380" r:id="rId1379" xr:uid="{00000000-0004-0000-0000-000062050000}"/>
    <hyperlink ref="G1381" r:id="rId1380" xr:uid="{00000000-0004-0000-0000-000063050000}"/>
    <hyperlink ref="G1382" r:id="rId1381" xr:uid="{00000000-0004-0000-0000-000064050000}"/>
    <hyperlink ref="G1383" r:id="rId1382" xr:uid="{00000000-0004-0000-0000-000065050000}"/>
    <hyperlink ref="G1384" r:id="rId1383" xr:uid="{00000000-0004-0000-0000-000066050000}"/>
    <hyperlink ref="G1385" r:id="rId1384" xr:uid="{00000000-0004-0000-0000-000067050000}"/>
    <hyperlink ref="G1386" r:id="rId1385" xr:uid="{00000000-0004-0000-0000-000068050000}"/>
    <hyperlink ref="G1387" r:id="rId1386" xr:uid="{00000000-0004-0000-0000-000069050000}"/>
    <hyperlink ref="G1388" r:id="rId1387" xr:uid="{00000000-0004-0000-0000-00006A050000}"/>
    <hyperlink ref="G1389" r:id="rId1388" xr:uid="{00000000-0004-0000-0000-00006B050000}"/>
    <hyperlink ref="G1390" r:id="rId1389" xr:uid="{00000000-0004-0000-0000-00006C050000}"/>
    <hyperlink ref="G1391" r:id="rId1390" xr:uid="{00000000-0004-0000-0000-00006D050000}"/>
    <hyperlink ref="G1392" r:id="rId1391" xr:uid="{00000000-0004-0000-0000-00006E050000}"/>
    <hyperlink ref="G1393" r:id="rId1392" xr:uid="{00000000-0004-0000-0000-00006F050000}"/>
    <hyperlink ref="G1394" r:id="rId1393" xr:uid="{00000000-0004-0000-0000-000070050000}"/>
    <hyperlink ref="G1395" r:id="rId1394" xr:uid="{00000000-0004-0000-0000-000071050000}"/>
    <hyperlink ref="G1396" r:id="rId1395" xr:uid="{00000000-0004-0000-0000-000072050000}"/>
    <hyperlink ref="G1397" r:id="rId1396" xr:uid="{00000000-0004-0000-0000-000073050000}"/>
    <hyperlink ref="G1398" r:id="rId1397" xr:uid="{00000000-0004-0000-0000-000074050000}"/>
    <hyperlink ref="G1399" r:id="rId1398" xr:uid="{00000000-0004-0000-0000-000075050000}"/>
    <hyperlink ref="G1400" r:id="rId1399" xr:uid="{00000000-0004-0000-0000-000076050000}"/>
    <hyperlink ref="G1401" r:id="rId1400" xr:uid="{00000000-0004-0000-0000-000077050000}"/>
    <hyperlink ref="G1402" r:id="rId1401" xr:uid="{00000000-0004-0000-0000-000078050000}"/>
    <hyperlink ref="G1403" r:id="rId1402" xr:uid="{00000000-0004-0000-0000-000079050000}"/>
    <hyperlink ref="G1404" r:id="rId1403" xr:uid="{00000000-0004-0000-0000-00007A050000}"/>
    <hyperlink ref="G1405" r:id="rId1404" xr:uid="{00000000-0004-0000-0000-00007B050000}"/>
    <hyperlink ref="G1406" r:id="rId1405" xr:uid="{00000000-0004-0000-0000-00007C050000}"/>
    <hyperlink ref="G1407" r:id="rId1406" xr:uid="{00000000-0004-0000-0000-00007D050000}"/>
    <hyperlink ref="G1408" r:id="rId1407" xr:uid="{00000000-0004-0000-0000-00007E050000}"/>
    <hyperlink ref="G1409" r:id="rId1408" xr:uid="{00000000-0004-0000-0000-00007F050000}"/>
    <hyperlink ref="G1410" r:id="rId1409" xr:uid="{00000000-0004-0000-0000-000080050000}"/>
    <hyperlink ref="G1411" r:id="rId1410" xr:uid="{00000000-0004-0000-0000-000081050000}"/>
    <hyperlink ref="G1412" r:id="rId1411" xr:uid="{00000000-0004-0000-0000-000082050000}"/>
    <hyperlink ref="G1413" r:id="rId1412" xr:uid="{00000000-0004-0000-0000-000083050000}"/>
    <hyperlink ref="G1414" r:id="rId1413" xr:uid="{00000000-0004-0000-0000-000084050000}"/>
    <hyperlink ref="G1415" r:id="rId1414" xr:uid="{00000000-0004-0000-0000-000085050000}"/>
    <hyperlink ref="G1416" r:id="rId1415" xr:uid="{00000000-0004-0000-0000-000086050000}"/>
    <hyperlink ref="G1417" r:id="rId1416" xr:uid="{00000000-0004-0000-0000-000087050000}"/>
    <hyperlink ref="G1418" r:id="rId1417" xr:uid="{00000000-0004-0000-0000-000088050000}"/>
    <hyperlink ref="G1419" r:id="rId1418" xr:uid="{00000000-0004-0000-0000-000089050000}"/>
    <hyperlink ref="G1420" r:id="rId1419" xr:uid="{00000000-0004-0000-0000-00008A050000}"/>
    <hyperlink ref="G1421" r:id="rId1420" xr:uid="{00000000-0004-0000-0000-00008B050000}"/>
    <hyperlink ref="G1422" r:id="rId1421" xr:uid="{00000000-0004-0000-0000-00008C050000}"/>
    <hyperlink ref="G1423" r:id="rId1422" xr:uid="{00000000-0004-0000-0000-00008D050000}"/>
    <hyperlink ref="G1424" r:id="rId1423" xr:uid="{00000000-0004-0000-0000-00008E050000}"/>
    <hyperlink ref="G1425" r:id="rId1424" xr:uid="{00000000-0004-0000-0000-00008F050000}"/>
    <hyperlink ref="G1426" r:id="rId1425" xr:uid="{00000000-0004-0000-0000-000090050000}"/>
    <hyperlink ref="G1427" r:id="rId1426" xr:uid="{00000000-0004-0000-0000-000091050000}"/>
    <hyperlink ref="G1428" r:id="rId1427" xr:uid="{00000000-0004-0000-0000-000092050000}"/>
    <hyperlink ref="G1429" r:id="rId1428" xr:uid="{00000000-0004-0000-0000-000093050000}"/>
    <hyperlink ref="G1430" r:id="rId1429" xr:uid="{00000000-0004-0000-0000-000094050000}"/>
    <hyperlink ref="G1431" r:id="rId1430" xr:uid="{00000000-0004-0000-0000-000095050000}"/>
    <hyperlink ref="G1432" r:id="rId1431" xr:uid="{00000000-0004-0000-0000-000096050000}"/>
    <hyperlink ref="G1433" r:id="rId1432" xr:uid="{00000000-0004-0000-0000-000097050000}"/>
    <hyperlink ref="G1434" r:id="rId1433" xr:uid="{00000000-0004-0000-0000-000098050000}"/>
    <hyperlink ref="G1435" r:id="rId1434" xr:uid="{00000000-0004-0000-0000-000099050000}"/>
    <hyperlink ref="G1436" r:id="rId1435" xr:uid="{00000000-0004-0000-0000-00009A050000}"/>
    <hyperlink ref="G1437" r:id="rId1436" xr:uid="{00000000-0004-0000-0000-00009B050000}"/>
    <hyperlink ref="G1438" r:id="rId1437" xr:uid="{00000000-0004-0000-0000-00009C050000}"/>
    <hyperlink ref="G1439" r:id="rId1438" xr:uid="{00000000-0004-0000-0000-00009D050000}"/>
    <hyperlink ref="G1440" r:id="rId1439" xr:uid="{00000000-0004-0000-0000-00009E050000}"/>
    <hyperlink ref="G1441" r:id="rId1440" xr:uid="{00000000-0004-0000-0000-00009F050000}"/>
    <hyperlink ref="G1442" r:id="rId1441" xr:uid="{00000000-0004-0000-0000-0000A0050000}"/>
    <hyperlink ref="G1443" r:id="rId1442" xr:uid="{00000000-0004-0000-0000-0000A1050000}"/>
    <hyperlink ref="G1444" r:id="rId1443" xr:uid="{00000000-0004-0000-0000-0000A2050000}"/>
    <hyperlink ref="G1445" r:id="rId1444" xr:uid="{00000000-0004-0000-0000-0000A3050000}"/>
    <hyperlink ref="G1446" r:id="rId1445" xr:uid="{00000000-0004-0000-0000-0000A4050000}"/>
    <hyperlink ref="G1447" r:id="rId1446" xr:uid="{00000000-0004-0000-0000-0000A5050000}"/>
    <hyperlink ref="G1448" r:id="rId1447" xr:uid="{00000000-0004-0000-0000-0000A6050000}"/>
    <hyperlink ref="G1449" r:id="rId1448" xr:uid="{00000000-0004-0000-0000-0000A7050000}"/>
    <hyperlink ref="G1450" r:id="rId1449" xr:uid="{00000000-0004-0000-0000-0000A8050000}"/>
    <hyperlink ref="G1451" r:id="rId1450" xr:uid="{00000000-0004-0000-0000-0000A9050000}"/>
    <hyperlink ref="G1452" r:id="rId1451" xr:uid="{00000000-0004-0000-0000-0000AA050000}"/>
    <hyperlink ref="G1453" r:id="rId1452" xr:uid="{00000000-0004-0000-0000-0000AB050000}"/>
    <hyperlink ref="G1454" r:id="rId1453" xr:uid="{00000000-0004-0000-0000-0000AC050000}"/>
    <hyperlink ref="G1455" r:id="rId1454" xr:uid="{00000000-0004-0000-0000-0000AD050000}"/>
    <hyperlink ref="G1456" r:id="rId1455" xr:uid="{00000000-0004-0000-0000-0000AE050000}"/>
    <hyperlink ref="G1457" r:id="rId1456" xr:uid="{00000000-0004-0000-0000-0000AF050000}"/>
    <hyperlink ref="G1458" r:id="rId1457" xr:uid="{00000000-0004-0000-0000-0000B0050000}"/>
    <hyperlink ref="G1459" r:id="rId1458" xr:uid="{00000000-0004-0000-0000-0000B1050000}"/>
    <hyperlink ref="G1460" r:id="rId1459" xr:uid="{00000000-0004-0000-0000-0000B2050000}"/>
    <hyperlink ref="G1461" r:id="rId1460" xr:uid="{00000000-0004-0000-0000-0000B3050000}"/>
    <hyperlink ref="G1462" r:id="rId1461" xr:uid="{00000000-0004-0000-0000-0000B4050000}"/>
    <hyperlink ref="G1463" r:id="rId1462" xr:uid="{00000000-0004-0000-0000-0000B5050000}"/>
    <hyperlink ref="G1464" r:id="rId1463" xr:uid="{00000000-0004-0000-0000-0000B6050000}"/>
    <hyperlink ref="G1465" r:id="rId1464" xr:uid="{00000000-0004-0000-0000-0000B7050000}"/>
    <hyperlink ref="G1466" r:id="rId1465" xr:uid="{00000000-0004-0000-0000-0000B8050000}"/>
    <hyperlink ref="G1467" r:id="rId1466" xr:uid="{00000000-0004-0000-0000-0000B9050000}"/>
    <hyperlink ref="G1468" r:id="rId1467" xr:uid="{00000000-0004-0000-0000-0000BA050000}"/>
    <hyperlink ref="G1469" r:id="rId1468" xr:uid="{00000000-0004-0000-0000-0000BB050000}"/>
    <hyperlink ref="G1470" r:id="rId1469" xr:uid="{00000000-0004-0000-0000-0000BC050000}"/>
    <hyperlink ref="G1471" r:id="rId1470" xr:uid="{00000000-0004-0000-0000-0000BD050000}"/>
    <hyperlink ref="G1472" r:id="rId1471" xr:uid="{00000000-0004-0000-0000-0000BE050000}"/>
    <hyperlink ref="G1473" r:id="rId1472" xr:uid="{00000000-0004-0000-0000-0000BF050000}"/>
    <hyperlink ref="G1474" r:id="rId1473" xr:uid="{00000000-0004-0000-0000-0000C0050000}"/>
    <hyperlink ref="G1475" r:id="rId1474" xr:uid="{00000000-0004-0000-0000-0000C1050000}"/>
    <hyperlink ref="G1476" r:id="rId1475" xr:uid="{00000000-0004-0000-0000-0000C2050000}"/>
    <hyperlink ref="G1477" r:id="rId1476" xr:uid="{00000000-0004-0000-0000-0000C3050000}"/>
    <hyperlink ref="G1478" r:id="rId1477" xr:uid="{00000000-0004-0000-0000-0000C4050000}"/>
    <hyperlink ref="G1479" r:id="rId1478" xr:uid="{00000000-0004-0000-0000-0000C5050000}"/>
    <hyperlink ref="G1480" r:id="rId1479" xr:uid="{00000000-0004-0000-0000-0000C6050000}"/>
    <hyperlink ref="G1481" r:id="rId1480" xr:uid="{00000000-0004-0000-0000-0000C7050000}"/>
    <hyperlink ref="G1482" r:id="rId1481" xr:uid="{00000000-0004-0000-0000-0000C8050000}"/>
    <hyperlink ref="G1483" r:id="rId1482" xr:uid="{00000000-0004-0000-0000-0000C9050000}"/>
    <hyperlink ref="G1484" r:id="rId1483" xr:uid="{00000000-0004-0000-0000-0000CA050000}"/>
    <hyperlink ref="G1485" r:id="rId1484" xr:uid="{00000000-0004-0000-0000-0000CB050000}"/>
    <hyperlink ref="G1486" r:id="rId1485" xr:uid="{00000000-0004-0000-0000-0000CC050000}"/>
    <hyperlink ref="G1487" r:id="rId1486" xr:uid="{00000000-0004-0000-0000-0000CD050000}"/>
    <hyperlink ref="G1488" r:id="rId1487" xr:uid="{00000000-0004-0000-0000-0000CE050000}"/>
    <hyperlink ref="G1489" r:id="rId1488" xr:uid="{00000000-0004-0000-0000-0000CF050000}"/>
    <hyperlink ref="G1490" r:id="rId1489" xr:uid="{00000000-0004-0000-0000-0000D0050000}"/>
    <hyperlink ref="G1491" r:id="rId1490" xr:uid="{00000000-0004-0000-0000-0000D1050000}"/>
    <hyperlink ref="G1492" r:id="rId1491" xr:uid="{00000000-0004-0000-0000-0000D2050000}"/>
    <hyperlink ref="G1493" r:id="rId1492" xr:uid="{00000000-0004-0000-0000-0000D3050000}"/>
    <hyperlink ref="G1494" r:id="rId1493" xr:uid="{00000000-0004-0000-0000-0000D4050000}"/>
    <hyperlink ref="G1495" r:id="rId1494" xr:uid="{00000000-0004-0000-0000-0000D5050000}"/>
    <hyperlink ref="G1496" r:id="rId1495" xr:uid="{00000000-0004-0000-0000-0000D6050000}"/>
    <hyperlink ref="G1497" r:id="rId1496" xr:uid="{00000000-0004-0000-0000-0000D7050000}"/>
    <hyperlink ref="G1498" r:id="rId1497" xr:uid="{00000000-0004-0000-0000-0000D8050000}"/>
    <hyperlink ref="G1499" r:id="rId1498" xr:uid="{00000000-0004-0000-0000-0000D9050000}"/>
    <hyperlink ref="G1500" r:id="rId1499" xr:uid="{00000000-0004-0000-0000-0000DA050000}"/>
    <hyperlink ref="G1501" r:id="rId1500" xr:uid="{00000000-0004-0000-0000-0000DB050000}"/>
    <hyperlink ref="G1502" r:id="rId1501" xr:uid="{00000000-0004-0000-0000-0000DC050000}"/>
    <hyperlink ref="G1503" r:id="rId1502" xr:uid="{00000000-0004-0000-0000-0000DD050000}"/>
    <hyperlink ref="G1504" r:id="rId1503" xr:uid="{00000000-0004-0000-0000-0000DE050000}"/>
    <hyperlink ref="G1505" r:id="rId1504" xr:uid="{00000000-0004-0000-0000-0000DF050000}"/>
    <hyperlink ref="G1506" r:id="rId1505" xr:uid="{00000000-0004-0000-0000-0000E0050000}"/>
    <hyperlink ref="G1507" r:id="rId1506" xr:uid="{00000000-0004-0000-0000-0000E1050000}"/>
    <hyperlink ref="G1508" r:id="rId1507" xr:uid="{00000000-0004-0000-0000-0000E2050000}"/>
    <hyperlink ref="G1509" r:id="rId1508" xr:uid="{00000000-0004-0000-0000-0000E3050000}"/>
    <hyperlink ref="G1510" r:id="rId1509" xr:uid="{00000000-0004-0000-0000-0000E4050000}"/>
    <hyperlink ref="G1511" r:id="rId1510" xr:uid="{00000000-0004-0000-0000-0000E5050000}"/>
    <hyperlink ref="G1512" r:id="rId1511" xr:uid="{00000000-0004-0000-0000-0000E6050000}"/>
    <hyperlink ref="G1513" r:id="rId1512" xr:uid="{00000000-0004-0000-0000-0000E7050000}"/>
    <hyperlink ref="G1514" r:id="rId1513" xr:uid="{00000000-0004-0000-0000-0000E8050000}"/>
    <hyperlink ref="G1515" r:id="rId1514" xr:uid="{00000000-0004-0000-0000-0000E9050000}"/>
    <hyperlink ref="G1516" r:id="rId1515" xr:uid="{00000000-0004-0000-0000-0000EA050000}"/>
    <hyperlink ref="G1517" r:id="rId1516" xr:uid="{00000000-0004-0000-0000-0000EB050000}"/>
    <hyperlink ref="G1518" r:id="rId1517" xr:uid="{00000000-0004-0000-0000-0000EC050000}"/>
    <hyperlink ref="G1519" r:id="rId1518" xr:uid="{00000000-0004-0000-0000-0000ED050000}"/>
    <hyperlink ref="G1520" r:id="rId1519" xr:uid="{00000000-0004-0000-0000-0000EE050000}"/>
    <hyperlink ref="G1521" r:id="rId1520" xr:uid="{00000000-0004-0000-0000-0000EF050000}"/>
    <hyperlink ref="G1522" r:id="rId1521" xr:uid="{00000000-0004-0000-0000-0000F0050000}"/>
    <hyperlink ref="G1523" r:id="rId1522" xr:uid="{00000000-0004-0000-0000-0000F1050000}"/>
    <hyperlink ref="G1524" r:id="rId1523" xr:uid="{00000000-0004-0000-0000-0000F2050000}"/>
    <hyperlink ref="G1525" r:id="rId1524" xr:uid="{00000000-0004-0000-0000-0000F3050000}"/>
    <hyperlink ref="G1526" r:id="rId1525" xr:uid="{00000000-0004-0000-0000-0000F4050000}"/>
    <hyperlink ref="G1527" r:id="rId1526" xr:uid="{00000000-0004-0000-0000-0000F5050000}"/>
    <hyperlink ref="G1528" r:id="rId1527" xr:uid="{00000000-0004-0000-0000-0000F6050000}"/>
    <hyperlink ref="G1529" r:id="rId1528" xr:uid="{00000000-0004-0000-0000-0000F7050000}"/>
    <hyperlink ref="G1530" r:id="rId1529" xr:uid="{00000000-0004-0000-0000-0000F8050000}"/>
    <hyperlink ref="G1531" r:id="rId1530" xr:uid="{00000000-0004-0000-0000-0000F9050000}"/>
    <hyperlink ref="G1532" r:id="rId1531" xr:uid="{00000000-0004-0000-0000-0000FA050000}"/>
    <hyperlink ref="G1533" r:id="rId1532" xr:uid="{00000000-0004-0000-0000-0000FB050000}"/>
    <hyperlink ref="G1534" r:id="rId1533" xr:uid="{00000000-0004-0000-0000-0000FC050000}"/>
    <hyperlink ref="G1535" r:id="rId1534" xr:uid="{00000000-0004-0000-0000-0000FD050000}"/>
    <hyperlink ref="G1536" r:id="rId1535" xr:uid="{00000000-0004-0000-0000-0000FE050000}"/>
    <hyperlink ref="G1537" r:id="rId1536" xr:uid="{00000000-0004-0000-0000-0000FF050000}"/>
    <hyperlink ref="G1538" r:id="rId1537" xr:uid="{00000000-0004-0000-0000-000000060000}"/>
    <hyperlink ref="G1539" r:id="rId1538" xr:uid="{00000000-0004-0000-0000-000001060000}"/>
    <hyperlink ref="G1540" r:id="rId1539" xr:uid="{00000000-0004-0000-0000-000002060000}"/>
    <hyperlink ref="G1541" r:id="rId1540" xr:uid="{00000000-0004-0000-0000-000003060000}"/>
    <hyperlink ref="G1542" r:id="rId1541" xr:uid="{00000000-0004-0000-0000-000004060000}"/>
    <hyperlink ref="G1543" r:id="rId1542" xr:uid="{00000000-0004-0000-0000-000005060000}"/>
    <hyperlink ref="G1544" r:id="rId1543" xr:uid="{00000000-0004-0000-0000-000006060000}"/>
    <hyperlink ref="G1545" r:id="rId1544" xr:uid="{00000000-0004-0000-0000-000007060000}"/>
    <hyperlink ref="G1546" r:id="rId1545" xr:uid="{00000000-0004-0000-0000-000008060000}"/>
    <hyperlink ref="G1547" r:id="rId1546" xr:uid="{00000000-0004-0000-0000-000009060000}"/>
    <hyperlink ref="G1548" r:id="rId1547" xr:uid="{00000000-0004-0000-0000-00000A060000}"/>
    <hyperlink ref="G1549" r:id="rId1548" xr:uid="{00000000-0004-0000-0000-00000B060000}"/>
    <hyperlink ref="G1550" r:id="rId1549" xr:uid="{00000000-0004-0000-0000-00000C060000}"/>
    <hyperlink ref="G1551" r:id="rId1550" xr:uid="{00000000-0004-0000-0000-00000D060000}"/>
    <hyperlink ref="G1552" r:id="rId1551" xr:uid="{00000000-0004-0000-0000-00000E060000}"/>
    <hyperlink ref="G1553" r:id="rId1552" xr:uid="{00000000-0004-0000-0000-00000F060000}"/>
    <hyperlink ref="G1554" r:id="rId1553" xr:uid="{00000000-0004-0000-0000-000010060000}"/>
    <hyperlink ref="G1555" r:id="rId1554" xr:uid="{00000000-0004-0000-0000-000011060000}"/>
    <hyperlink ref="G1556" r:id="rId1555" xr:uid="{00000000-0004-0000-0000-000012060000}"/>
    <hyperlink ref="G1557" r:id="rId1556" xr:uid="{00000000-0004-0000-0000-000013060000}"/>
    <hyperlink ref="G1558" r:id="rId1557" xr:uid="{00000000-0004-0000-0000-000014060000}"/>
    <hyperlink ref="G1559" r:id="rId1558" xr:uid="{00000000-0004-0000-0000-000015060000}"/>
    <hyperlink ref="G1560" r:id="rId1559" xr:uid="{00000000-0004-0000-0000-000016060000}"/>
    <hyperlink ref="G1561" r:id="rId1560" xr:uid="{00000000-0004-0000-0000-000017060000}"/>
    <hyperlink ref="G1562" r:id="rId1561" xr:uid="{00000000-0004-0000-0000-000018060000}"/>
    <hyperlink ref="G1563" r:id="rId1562" xr:uid="{00000000-0004-0000-0000-000019060000}"/>
    <hyperlink ref="G1564" r:id="rId1563" xr:uid="{00000000-0004-0000-0000-00001A060000}"/>
    <hyperlink ref="G1565" r:id="rId1564" xr:uid="{00000000-0004-0000-0000-00001B060000}"/>
    <hyperlink ref="G1566" r:id="rId1565" xr:uid="{00000000-0004-0000-0000-00001C060000}"/>
    <hyperlink ref="G1567" r:id="rId1566" xr:uid="{00000000-0004-0000-0000-00001D060000}"/>
    <hyperlink ref="G1568" r:id="rId1567" xr:uid="{00000000-0004-0000-0000-00001E060000}"/>
    <hyperlink ref="G1569" r:id="rId1568" xr:uid="{00000000-0004-0000-0000-00001F060000}"/>
    <hyperlink ref="G1570" r:id="rId1569" xr:uid="{00000000-0004-0000-0000-000020060000}"/>
    <hyperlink ref="G1571" r:id="rId1570" xr:uid="{00000000-0004-0000-0000-000021060000}"/>
    <hyperlink ref="G1572" r:id="rId1571" xr:uid="{00000000-0004-0000-0000-000022060000}"/>
    <hyperlink ref="G1573" r:id="rId1572" xr:uid="{00000000-0004-0000-0000-000023060000}"/>
    <hyperlink ref="G1574" r:id="rId1573" xr:uid="{00000000-0004-0000-0000-000024060000}"/>
    <hyperlink ref="G1575" r:id="rId1574" xr:uid="{00000000-0004-0000-0000-000025060000}"/>
    <hyperlink ref="G1576" r:id="rId1575" xr:uid="{00000000-0004-0000-0000-000026060000}"/>
    <hyperlink ref="G1577" r:id="rId1576" xr:uid="{00000000-0004-0000-0000-000027060000}"/>
    <hyperlink ref="G1578" r:id="rId1577" xr:uid="{00000000-0004-0000-0000-000028060000}"/>
    <hyperlink ref="G1579" r:id="rId1578" xr:uid="{00000000-0004-0000-0000-000029060000}"/>
    <hyperlink ref="G1580" r:id="rId1579" xr:uid="{00000000-0004-0000-0000-00002A060000}"/>
    <hyperlink ref="G1581" r:id="rId1580" xr:uid="{00000000-0004-0000-0000-00002B060000}"/>
    <hyperlink ref="G1582" r:id="rId1581" xr:uid="{00000000-0004-0000-0000-00002C060000}"/>
    <hyperlink ref="G1583" r:id="rId1582" xr:uid="{00000000-0004-0000-0000-00002D060000}"/>
    <hyperlink ref="G1584" r:id="rId1583" xr:uid="{00000000-0004-0000-0000-00002E060000}"/>
    <hyperlink ref="G1585" r:id="rId1584" xr:uid="{00000000-0004-0000-0000-00002F060000}"/>
    <hyperlink ref="G1586" r:id="rId1585" xr:uid="{00000000-0004-0000-0000-000030060000}"/>
    <hyperlink ref="G1587" r:id="rId1586" xr:uid="{00000000-0004-0000-0000-000031060000}"/>
    <hyperlink ref="G1588" r:id="rId1587" xr:uid="{00000000-0004-0000-0000-000032060000}"/>
    <hyperlink ref="G1589" r:id="rId1588" xr:uid="{00000000-0004-0000-0000-000033060000}"/>
    <hyperlink ref="G1590" r:id="rId1589" xr:uid="{00000000-0004-0000-0000-000034060000}"/>
    <hyperlink ref="G1591" r:id="rId1590" xr:uid="{00000000-0004-0000-0000-000035060000}"/>
    <hyperlink ref="G1592" r:id="rId1591" xr:uid="{00000000-0004-0000-0000-000036060000}"/>
    <hyperlink ref="G1593" r:id="rId1592" xr:uid="{00000000-0004-0000-0000-000037060000}"/>
    <hyperlink ref="G1594" r:id="rId1593" xr:uid="{00000000-0004-0000-0000-000038060000}"/>
    <hyperlink ref="G1595" r:id="rId1594" xr:uid="{00000000-0004-0000-0000-000039060000}"/>
    <hyperlink ref="G1596" r:id="rId1595" xr:uid="{00000000-0004-0000-0000-00003A060000}"/>
    <hyperlink ref="G1597" r:id="rId1596" xr:uid="{00000000-0004-0000-0000-00003B060000}"/>
    <hyperlink ref="G1598" r:id="rId1597" xr:uid="{00000000-0004-0000-0000-00003C060000}"/>
    <hyperlink ref="G1599" r:id="rId1598" xr:uid="{00000000-0004-0000-0000-00003D060000}"/>
    <hyperlink ref="G1600" r:id="rId1599" xr:uid="{00000000-0004-0000-0000-00003E060000}"/>
    <hyperlink ref="G1601" r:id="rId1600" xr:uid="{00000000-0004-0000-0000-00003F060000}"/>
    <hyperlink ref="G1602" r:id="rId1601" xr:uid="{00000000-0004-0000-0000-000040060000}"/>
    <hyperlink ref="G1603" r:id="rId1602" xr:uid="{00000000-0004-0000-0000-000041060000}"/>
    <hyperlink ref="G1604" r:id="rId1603" xr:uid="{00000000-0004-0000-0000-000042060000}"/>
    <hyperlink ref="G1605" r:id="rId1604" xr:uid="{00000000-0004-0000-0000-000043060000}"/>
    <hyperlink ref="G1606" r:id="rId1605" xr:uid="{00000000-0004-0000-0000-000044060000}"/>
    <hyperlink ref="G1607" r:id="rId1606" xr:uid="{00000000-0004-0000-0000-000045060000}"/>
    <hyperlink ref="G1608" r:id="rId1607" xr:uid="{00000000-0004-0000-0000-000046060000}"/>
    <hyperlink ref="G1609" r:id="rId1608" xr:uid="{00000000-0004-0000-0000-000047060000}"/>
    <hyperlink ref="G1610" r:id="rId1609" xr:uid="{00000000-0004-0000-0000-000048060000}"/>
    <hyperlink ref="G1611" r:id="rId1610" xr:uid="{00000000-0004-0000-0000-000049060000}"/>
    <hyperlink ref="G1612" r:id="rId1611" xr:uid="{00000000-0004-0000-0000-00004A060000}"/>
    <hyperlink ref="G1613" r:id="rId1612" xr:uid="{00000000-0004-0000-0000-00004B060000}"/>
    <hyperlink ref="G1614" r:id="rId1613" xr:uid="{00000000-0004-0000-0000-00004C060000}"/>
    <hyperlink ref="G1615" r:id="rId1614" xr:uid="{00000000-0004-0000-0000-00004D060000}"/>
    <hyperlink ref="G1616" r:id="rId1615" xr:uid="{00000000-0004-0000-0000-00004E060000}"/>
    <hyperlink ref="G1617" r:id="rId1616" xr:uid="{00000000-0004-0000-0000-00004F060000}"/>
    <hyperlink ref="G1618" r:id="rId1617" xr:uid="{00000000-0004-0000-0000-000050060000}"/>
    <hyperlink ref="G1619" r:id="rId1618" xr:uid="{00000000-0004-0000-0000-000051060000}"/>
    <hyperlink ref="G1620" r:id="rId1619" xr:uid="{00000000-0004-0000-0000-000052060000}"/>
    <hyperlink ref="G1621" r:id="rId1620" xr:uid="{00000000-0004-0000-0000-000053060000}"/>
    <hyperlink ref="G1622" r:id="rId1621" xr:uid="{00000000-0004-0000-0000-000054060000}"/>
    <hyperlink ref="G1623" r:id="rId1622" xr:uid="{00000000-0004-0000-0000-000055060000}"/>
    <hyperlink ref="G1624" r:id="rId1623" xr:uid="{00000000-0004-0000-0000-000056060000}"/>
    <hyperlink ref="G1625" r:id="rId1624" xr:uid="{00000000-0004-0000-0000-000057060000}"/>
    <hyperlink ref="G1626" r:id="rId1625" xr:uid="{00000000-0004-0000-0000-000058060000}"/>
    <hyperlink ref="G1627" r:id="rId1626" xr:uid="{00000000-0004-0000-0000-000059060000}"/>
    <hyperlink ref="G1628" r:id="rId1627" xr:uid="{00000000-0004-0000-0000-00005A060000}"/>
    <hyperlink ref="G1629" r:id="rId1628" xr:uid="{00000000-0004-0000-0000-00005B060000}"/>
    <hyperlink ref="G1630" r:id="rId1629" xr:uid="{00000000-0004-0000-0000-00005C060000}"/>
    <hyperlink ref="G1631" r:id="rId1630" xr:uid="{00000000-0004-0000-0000-00005D060000}"/>
    <hyperlink ref="G1632" r:id="rId1631" xr:uid="{00000000-0004-0000-0000-00005E060000}"/>
    <hyperlink ref="G1633" r:id="rId1632" xr:uid="{00000000-0004-0000-0000-00005F060000}"/>
    <hyperlink ref="G1634" r:id="rId1633" xr:uid="{00000000-0004-0000-0000-000060060000}"/>
    <hyperlink ref="G1635" r:id="rId1634" xr:uid="{00000000-0004-0000-0000-000061060000}"/>
    <hyperlink ref="G1636" r:id="rId1635" xr:uid="{00000000-0004-0000-0000-000062060000}"/>
    <hyperlink ref="G1637" r:id="rId1636" xr:uid="{00000000-0004-0000-0000-000063060000}"/>
    <hyperlink ref="G1638" r:id="rId1637" xr:uid="{00000000-0004-0000-0000-000064060000}"/>
    <hyperlink ref="G1639" r:id="rId1638" xr:uid="{00000000-0004-0000-0000-000065060000}"/>
    <hyperlink ref="G1640" r:id="rId1639" xr:uid="{00000000-0004-0000-0000-000066060000}"/>
    <hyperlink ref="G1641" r:id="rId1640" xr:uid="{00000000-0004-0000-0000-000067060000}"/>
    <hyperlink ref="G1642" r:id="rId1641" xr:uid="{00000000-0004-0000-0000-000068060000}"/>
    <hyperlink ref="G1643" r:id="rId1642" xr:uid="{00000000-0004-0000-0000-000069060000}"/>
    <hyperlink ref="G1644" r:id="rId1643" xr:uid="{00000000-0004-0000-0000-00006A060000}"/>
    <hyperlink ref="G1645" r:id="rId1644" xr:uid="{00000000-0004-0000-0000-00006B060000}"/>
    <hyperlink ref="G1646" r:id="rId1645" xr:uid="{00000000-0004-0000-0000-00006C060000}"/>
    <hyperlink ref="G1647" r:id="rId1646" xr:uid="{00000000-0004-0000-0000-00006D060000}"/>
    <hyperlink ref="G1648" r:id="rId1647" xr:uid="{00000000-0004-0000-0000-00006E060000}"/>
    <hyperlink ref="G1649" r:id="rId1648" xr:uid="{00000000-0004-0000-0000-00006F060000}"/>
    <hyperlink ref="G1650" r:id="rId1649" xr:uid="{00000000-0004-0000-0000-000070060000}"/>
    <hyperlink ref="G1651" r:id="rId1650" xr:uid="{00000000-0004-0000-0000-000071060000}"/>
    <hyperlink ref="G1652" r:id="rId1651" xr:uid="{00000000-0004-0000-0000-000072060000}"/>
    <hyperlink ref="G1653" r:id="rId1652" xr:uid="{00000000-0004-0000-0000-000073060000}"/>
    <hyperlink ref="G1654" r:id="rId1653" xr:uid="{00000000-0004-0000-0000-000074060000}"/>
    <hyperlink ref="G1655" r:id="rId1654" xr:uid="{00000000-0004-0000-0000-000075060000}"/>
    <hyperlink ref="G1656" r:id="rId1655" xr:uid="{00000000-0004-0000-0000-000076060000}"/>
    <hyperlink ref="G1657" r:id="rId1656" xr:uid="{00000000-0004-0000-0000-000077060000}"/>
    <hyperlink ref="G1658" r:id="rId1657" xr:uid="{00000000-0004-0000-0000-000078060000}"/>
    <hyperlink ref="G1659" r:id="rId1658" xr:uid="{00000000-0004-0000-0000-000079060000}"/>
    <hyperlink ref="G1660" r:id="rId1659" xr:uid="{00000000-0004-0000-0000-00007A060000}"/>
    <hyperlink ref="G1661" r:id="rId1660" xr:uid="{00000000-0004-0000-0000-00007B060000}"/>
    <hyperlink ref="G1662" r:id="rId1661" xr:uid="{00000000-0004-0000-0000-00007C060000}"/>
    <hyperlink ref="G1663" r:id="rId1662" xr:uid="{00000000-0004-0000-0000-00007D060000}"/>
    <hyperlink ref="G1664" r:id="rId1663" xr:uid="{00000000-0004-0000-0000-00007E060000}"/>
    <hyperlink ref="G1665" r:id="rId1664" xr:uid="{00000000-0004-0000-0000-00007F060000}"/>
    <hyperlink ref="G1666" r:id="rId1665" xr:uid="{00000000-0004-0000-0000-000080060000}"/>
    <hyperlink ref="G1667" r:id="rId1666" xr:uid="{00000000-0004-0000-0000-000081060000}"/>
    <hyperlink ref="G1668" r:id="rId1667" xr:uid="{00000000-0004-0000-0000-000082060000}"/>
    <hyperlink ref="G1669" r:id="rId1668" xr:uid="{00000000-0004-0000-0000-000083060000}"/>
    <hyperlink ref="G1670" r:id="rId1669" xr:uid="{00000000-0004-0000-0000-000084060000}"/>
    <hyperlink ref="G1671" r:id="rId1670" xr:uid="{00000000-0004-0000-0000-000085060000}"/>
    <hyperlink ref="G1672" r:id="rId1671" xr:uid="{00000000-0004-0000-0000-000086060000}"/>
    <hyperlink ref="G1673" r:id="rId1672" xr:uid="{00000000-0004-0000-0000-000087060000}"/>
    <hyperlink ref="G1674" r:id="rId1673" xr:uid="{00000000-0004-0000-0000-000088060000}"/>
    <hyperlink ref="G1675" r:id="rId1674" xr:uid="{00000000-0004-0000-0000-000089060000}"/>
    <hyperlink ref="G1676" r:id="rId1675" xr:uid="{00000000-0004-0000-0000-00008A060000}"/>
    <hyperlink ref="G1677" r:id="rId1676" xr:uid="{00000000-0004-0000-0000-00008B060000}"/>
    <hyperlink ref="G1678" r:id="rId1677" xr:uid="{00000000-0004-0000-0000-00008C060000}"/>
    <hyperlink ref="G1679" r:id="rId1678" xr:uid="{00000000-0004-0000-0000-00008D060000}"/>
    <hyperlink ref="G1680" r:id="rId1679" xr:uid="{00000000-0004-0000-0000-00008E060000}"/>
    <hyperlink ref="G1681" r:id="rId1680" xr:uid="{00000000-0004-0000-0000-00008F060000}"/>
    <hyperlink ref="G1682" r:id="rId1681" xr:uid="{00000000-0004-0000-0000-000090060000}"/>
    <hyperlink ref="G1683" r:id="rId1682" xr:uid="{00000000-0004-0000-0000-000091060000}"/>
    <hyperlink ref="G1684" r:id="rId1683" xr:uid="{00000000-0004-0000-0000-000092060000}"/>
    <hyperlink ref="G1685" r:id="rId1684" xr:uid="{00000000-0004-0000-0000-000093060000}"/>
    <hyperlink ref="G1686" r:id="rId1685" xr:uid="{00000000-0004-0000-0000-000094060000}"/>
    <hyperlink ref="G1687" r:id="rId1686" xr:uid="{00000000-0004-0000-0000-000095060000}"/>
    <hyperlink ref="G1688" r:id="rId1687" xr:uid="{00000000-0004-0000-0000-000096060000}"/>
    <hyperlink ref="G1689" r:id="rId1688" xr:uid="{00000000-0004-0000-0000-000097060000}"/>
    <hyperlink ref="G1690" r:id="rId1689" xr:uid="{00000000-0004-0000-0000-000098060000}"/>
    <hyperlink ref="G1691" r:id="rId1690" xr:uid="{00000000-0004-0000-0000-000099060000}"/>
    <hyperlink ref="G1692" r:id="rId1691" xr:uid="{00000000-0004-0000-0000-00009A060000}"/>
    <hyperlink ref="G1693" r:id="rId1692" xr:uid="{00000000-0004-0000-0000-00009B060000}"/>
    <hyperlink ref="G1694" r:id="rId1693" xr:uid="{00000000-0004-0000-0000-00009C060000}"/>
    <hyperlink ref="G1695" r:id="rId1694" xr:uid="{00000000-0004-0000-0000-00009D060000}"/>
    <hyperlink ref="G1696" r:id="rId1695" xr:uid="{00000000-0004-0000-0000-00009E060000}"/>
    <hyperlink ref="G1697" r:id="rId1696" xr:uid="{00000000-0004-0000-0000-00009F060000}"/>
    <hyperlink ref="G1698" r:id="rId1697" xr:uid="{00000000-0004-0000-0000-0000A0060000}"/>
    <hyperlink ref="G1699" r:id="rId1698" xr:uid="{00000000-0004-0000-0000-0000A1060000}"/>
    <hyperlink ref="G1700" r:id="rId1699" xr:uid="{00000000-0004-0000-0000-0000A2060000}"/>
    <hyperlink ref="G1701" r:id="rId1700" xr:uid="{00000000-0004-0000-0000-0000A3060000}"/>
    <hyperlink ref="G1702" r:id="rId1701" xr:uid="{00000000-0004-0000-0000-0000A4060000}"/>
    <hyperlink ref="G1703" r:id="rId1702" xr:uid="{00000000-0004-0000-0000-0000A5060000}"/>
    <hyperlink ref="G1704" r:id="rId1703" xr:uid="{00000000-0004-0000-0000-0000A6060000}"/>
    <hyperlink ref="G1705" r:id="rId1704" xr:uid="{00000000-0004-0000-0000-0000A7060000}"/>
    <hyperlink ref="G1706" r:id="rId1705" xr:uid="{00000000-0004-0000-0000-0000A8060000}"/>
    <hyperlink ref="G1707" r:id="rId1706" xr:uid="{00000000-0004-0000-0000-0000A9060000}"/>
    <hyperlink ref="G1708" r:id="rId1707" xr:uid="{00000000-0004-0000-0000-0000AA060000}"/>
    <hyperlink ref="G1709" r:id="rId1708" xr:uid="{00000000-0004-0000-0000-0000AB060000}"/>
    <hyperlink ref="G1710" r:id="rId1709" xr:uid="{00000000-0004-0000-0000-0000AC060000}"/>
    <hyperlink ref="G1711" r:id="rId1710" xr:uid="{00000000-0004-0000-0000-0000AD060000}"/>
    <hyperlink ref="G1712" r:id="rId1711" xr:uid="{00000000-0004-0000-0000-0000AE060000}"/>
    <hyperlink ref="G1713" r:id="rId1712" xr:uid="{00000000-0004-0000-0000-0000AF060000}"/>
    <hyperlink ref="G1714" r:id="rId1713" xr:uid="{00000000-0004-0000-0000-0000B0060000}"/>
    <hyperlink ref="G1715" r:id="rId1714" xr:uid="{00000000-0004-0000-0000-0000B1060000}"/>
    <hyperlink ref="G1716" r:id="rId1715" xr:uid="{00000000-0004-0000-0000-0000B2060000}"/>
    <hyperlink ref="G1717" r:id="rId1716" xr:uid="{00000000-0004-0000-0000-0000B3060000}"/>
    <hyperlink ref="G1718" r:id="rId1717" xr:uid="{00000000-0004-0000-0000-0000B4060000}"/>
    <hyperlink ref="G1719" r:id="rId1718" xr:uid="{00000000-0004-0000-0000-0000B5060000}"/>
    <hyperlink ref="G1720" r:id="rId1719" xr:uid="{00000000-0004-0000-0000-0000B6060000}"/>
    <hyperlink ref="G1721" r:id="rId1720" xr:uid="{00000000-0004-0000-0000-0000B7060000}"/>
    <hyperlink ref="G1722" r:id="rId1721" xr:uid="{00000000-0004-0000-0000-0000B8060000}"/>
    <hyperlink ref="G1723" r:id="rId1722" xr:uid="{00000000-0004-0000-0000-0000B9060000}"/>
    <hyperlink ref="G1724" r:id="rId1723" xr:uid="{00000000-0004-0000-0000-0000BA060000}"/>
    <hyperlink ref="G1725" r:id="rId1724" xr:uid="{00000000-0004-0000-0000-0000BB060000}"/>
    <hyperlink ref="G1726" r:id="rId1725" xr:uid="{00000000-0004-0000-0000-0000BC060000}"/>
    <hyperlink ref="G1727" r:id="rId1726" xr:uid="{00000000-0004-0000-0000-0000BD060000}"/>
    <hyperlink ref="G1728" r:id="rId1727" xr:uid="{00000000-0004-0000-0000-0000BE060000}"/>
    <hyperlink ref="G1729" r:id="rId1728" xr:uid="{00000000-0004-0000-0000-0000BF060000}"/>
    <hyperlink ref="G1730" r:id="rId1729" xr:uid="{00000000-0004-0000-0000-0000C0060000}"/>
    <hyperlink ref="G1731" r:id="rId1730" xr:uid="{00000000-0004-0000-0000-0000C1060000}"/>
    <hyperlink ref="G1732" r:id="rId1731" xr:uid="{00000000-0004-0000-0000-0000C2060000}"/>
    <hyperlink ref="G1733" r:id="rId1732" xr:uid="{00000000-0004-0000-0000-0000C3060000}"/>
    <hyperlink ref="G1734" r:id="rId1733" xr:uid="{00000000-0004-0000-0000-0000C4060000}"/>
    <hyperlink ref="G1735" r:id="rId1734" xr:uid="{00000000-0004-0000-0000-0000C5060000}"/>
    <hyperlink ref="G1736" r:id="rId1735" xr:uid="{00000000-0004-0000-0000-0000C6060000}"/>
    <hyperlink ref="G1737" r:id="rId1736" xr:uid="{00000000-0004-0000-0000-0000C7060000}"/>
    <hyperlink ref="G1738" r:id="rId1737" xr:uid="{00000000-0004-0000-0000-0000C8060000}"/>
    <hyperlink ref="G1739" r:id="rId1738" xr:uid="{00000000-0004-0000-0000-0000C9060000}"/>
    <hyperlink ref="G1740" r:id="rId1739" xr:uid="{00000000-0004-0000-0000-0000CA060000}"/>
    <hyperlink ref="G1741" r:id="rId1740" xr:uid="{00000000-0004-0000-0000-0000CB060000}"/>
    <hyperlink ref="G1742" r:id="rId1741" xr:uid="{00000000-0004-0000-0000-0000CC060000}"/>
    <hyperlink ref="G1743" r:id="rId1742" xr:uid="{00000000-0004-0000-0000-0000CD060000}"/>
    <hyperlink ref="G1744" r:id="rId1743" xr:uid="{00000000-0004-0000-0000-0000CE060000}"/>
    <hyperlink ref="G1745" r:id="rId1744" xr:uid="{00000000-0004-0000-0000-0000CF060000}"/>
    <hyperlink ref="G1746" r:id="rId1745" xr:uid="{00000000-0004-0000-0000-0000D0060000}"/>
    <hyperlink ref="G1747" r:id="rId1746" xr:uid="{00000000-0004-0000-0000-0000D1060000}"/>
    <hyperlink ref="G1748" r:id="rId1747" xr:uid="{00000000-0004-0000-0000-0000D2060000}"/>
    <hyperlink ref="G1749" r:id="rId1748" xr:uid="{00000000-0004-0000-0000-0000D3060000}"/>
    <hyperlink ref="G1750" r:id="rId1749" xr:uid="{00000000-0004-0000-0000-0000D4060000}"/>
    <hyperlink ref="G1751" r:id="rId1750" xr:uid="{00000000-0004-0000-0000-0000D5060000}"/>
    <hyperlink ref="G1752" r:id="rId1751" xr:uid="{00000000-0004-0000-0000-0000D6060000}"/>
    <hyperlink ref="G1753" r:id="rId1752" xr:uid="{00000000-0004-0000-0000-0000D7060000}"/>
    <hyperlink ref="G1754" r:id="rId1753" xr:uid="{00000000-0004-0000-0000-0000D8060000}"/>
    <hyperlink ref="G1755" r:id="rId1754" xr:uid="{00000000-0004-0000-0000-0000D9060000}"/>
    <hyperlink ref="G1756" r:id="rId1755" xr:uid="{00000000-0004-0000-0000-0000DA060000}"/>
    <hyperlink ref="G1757" r:id="rId1756" xr:uid="{00000000-0004-0000-0000-0000DB060000}"/>
    <hyperlink ref="G1758" r:id="rId1757" xr:uid="{00000000-0004-0000-0000-0000DC060000}"/>
    <hyperlink ref="G1759" r:id="rId1758" xr:uid="{00000000-0004-0000-0000-0000DD060000}"/>
    <hyperlink ref="G1760" r:id="rId1759" xr:uid="{00000000-0004-0000-0000-0000DE060000}"/>
    <hyperlink ref="G1761" r:id="rId1760" xr:uid="{00000000-0004-0000-0000-0000DF060000}"/>
    <hyperlink ref="G1762" r:id="rId1761" xr:uid="{00000000-0004-0000-0000-0000E0060000}"/>
    <hyperlink ref="G1763" r:id="rId1762" xr:uid="{00000000-0004-0000-0000-0000E1060000}"/>
    <hyperlink ref="G1764" r:id="rId1763" xr:uid="{00000000-0004-0000-0000-0000E2060000}"/>
    <hyperlink ref="G1765" r:id="rId1764" xr:uid="{00000000-0004-0000-0000-0000E3060000}"/>
    <hyperlink ref="G1766" r:id="rId1765" xr:uid="{00000000-0004-0000-0000-0000E4060000}"/>
    <hyperlink ref="G1767" r:id="rId1766" xr:uid="{00000000-0004-0000-0000-0000E5060000}"/>
    <hyperlink ref="G1768" r:id="rId1767" xr:uid="{00000000-0004-0000-0000-0000E6060000}"/>
    <hyperlink ref="G1769" r:id="rId1768" xr:uid="{00000000-0004-0000-0000-0000E7060000}"/>
    <hyperlink ref="G1770" r:id="rId1769" xr:uid="{00000000-0004-0000-0000-0000E8060000}"/>
    <hyperlink ref="G1771" r:id="rId1770" xr:uid="{00000000-0004-0000-0000-0000E9060000}"/>
    <hyperlink ref="G1772" r:id="rId1771" xr:uid="{00000000-0004-0000-0000-0000EA060000}"/>
    <hyperlink ref="G1773" r:id="rId1772" xr:uid="{00000000-0004-0000-0000-0000EB060000}"/>
    <hyperlink ref="G1774" r:id="rId1773" xr:uid="{00000000-0004-0000-0000-0000EC060000}"/>
    <hyperlink ref="G1775" r:id="rId1774" xr:uid="{00000000-0004-0000-0000-0000ED060000}"/>
    <hyperlink ref="G1776" r:id="rId1775" xr:uid="{00000000-0004-0000-0000-0000EE060000}"/>
    <hyperlink ref="G1777" r:id="rId1776" xr:uid="{00000000-0004-0000-0000-0000EF060000}"/>
    <hyperlink ref="G1778" r:id="rId1777" xr:uid="{00000000-0004-0000-0000-0000F0060000}"/>
    <hyperlink ref="G1779" r:id="rId1778" xr:uid="{00000000-0004-0000-0000-0000F1060000}"/>
    <hyperlink ref="G1780" r:id="rId1779" xr:uid="{00000000-0004-0000-0000-0000F2060000}"/>
    <hyperlink ref="G1781" r:id="rId1780" xr:uid="{00000000-0004-0000-0000-0000F3060000}"/>
    <hyperlink ref="G1782" r:id="rId1781" xr:uid="{00000000-0004-0000-0000-0000F4060000}"/>
    <hyperlink ref="G1783" r:id="rId1782" xr:uid="{00000000-0004-0000-0000-0000F5060000}"/>
    <hyperlink ref="G1784" r:id="rId1783" xr:uid="{00000000-0004-0000-0000-0000F6060000}"/>
    <hyperlink ref="G1785" r:id="rId1784" xr:uid="{00000000-0004-0000-0000-0000F7060000}"/>
    <hyperlink ref="G1786" r:id="rId1785" xr:uid="{00000000-0004-0000-0000-0000F8060000}"/>
    <hyperlink ref="G1787" r:id="rId1786" xr:uid="{00000000-0004-0000-0000-0000F9060000}"/>
    <hyperlink ref="G1788" r:id="rId1787" xr:uid="{00000000-0004-0000-0000-0000FA060000}"/>
    <hyperlink ref="G1789" r:id="rId1788" xr:uid="{00000000-0004-0000-0000-0000FB060000}"/>
    <hyperlink ref="G1790" r:id="rId1789" xr:uid="{00000000-0004-0000-0000-0000FC060000}"/>
    <hyperlink ref="G1791" r:id="rId1790" xr:uid="{00000000-0004-0000-0000-0000FD060000}"/>
    <hyperlink ref="G1792" r:id="rId1791" xr:uid="{00000000-0004-0000-0000-0000FE060000}"/>
    <hyperlink ref="G1793" r:id="rId1792" xr:uid="{00000000-0004-0000-0000-0000FF060000}"/>
    <hyperlink ref="G1794" r:id="rId1793" xr:uid="{00000000-0004-0000-0000-000000070000}"/>
    <hyperlink ref="G1795" r:id="rId1794" xr:uid="{00000000-0004-0000-0000-000001070000}"/>
    <hyperlink ref="G1796" r:id="rId1795" xr:uid="{00000000-0004-0000-0000-000002070000}"/>
    <hyperlink ref="G1797" r:id="rId1796" xr:uid="{00000000-0004-0000-0000-000003070000}"/>
    <hyperlink ref="G1798" r:id="rId1797" xr:uid="{00000000-0004-0000-0000-000004070000}"/>
    <hyperlink ref="G1799" r:id="rId1798" xr:uid="{00000000-0004-0000-0000-000005070000}"/>
    <hyperlink ref="G1800" r:id="rId1799" xr:uid="{00000000-0004-0000-0000-000006070000}"/>
    <hyperlink ref="G1801" r:id="rId1800" xr:uid="{00000000-0004-0000-0000-000007070000}"/>
    <hyperlink ref="G1802" r:id="rId1801" xr:uid="{00000000-0004-0000-0000-000008070000}"/>
    <hyperlink ref="G1803" r:id="rId1802" xr:uid="{00000000-0004-0000-0000-000009070000}"/>
    <hyperlink ref="G1804" r:id="rId1803" xr:uid="{00000000-0004-0000-0000-00000A070000}"/>
    <hyperlink ref="G1805" r:id="rId1804" xr:uid="{00000000-0004-0000-0000-00000B070000}"/>
    <hyperlink ref="G1806" r:id="rId1805" xr:uid="{00000000-0004-0000-0000-00000C070000}"/>
    <hyperlink ref="G1807" r:id="rId1806" xr:uid="{00000000-0004-0000-0000-00000D070000}"/>
    <hyperlink ref="G1808" r:id="rId1807" xr:uid="{00000000-0004-0000-0000-00000E070000}"/>
    <hyperlink ref="G1809" r:id="rId1808" xr:uid="{00000000-0004-0000-0000-00000F070000}"/>
    <hyperlink ref="G1810" r:id="rId1809" xr:uid="{00000000-0004-0000-0000-000010070000}"/>
    <hyperlink ref="G1811" r:id="rId1810" xr:uid="{00000000-0004-0000-0000-000011070000}"/>
    <hyperlink ref="G1812" r:id="rId1811" xr:uid="{00000000-0004-0000-0000-000012070000}"/>
    <hyperlink ref="G1813" r:id="rId1812" xr:uid="{00000000-0004-0000-0000-000013070000}"/>
    <hyperlink ref="G1814" r:id="rId1813" xr:uid="{00000000-0004-0000-0000-000014070000}"/>
    <hyperlink ref="G1815" r:id="rId1814" xr:uid="{00000000-0004-0000-0000-000015070000}"/>
    <hyperlink ref="G1816" r:id="rId1815" xr:uid="{00000000-0004-0000-0000-000016070000}"/>
    <hyperlink ref="G1817" r:id="rId1816" xr:uid="{00000000-0004-0000-0000-000017070000}"/>
    <hyperlink ref="G1818" r:id="rId1817" xr:uid="{00000000-0004-0000-0000-000018070000}"/>
    <hyperlink ref="G1819" r:id="rId1818" xr:uid="{00000000-0004-0000-0000-000019070000}"/>
    <hyperlink ref="G1820" r:id="rId1819" xr:uid="{00000000-0004-0000-0000-00001A070000}"/>
    <hyperlink ref="G1821" r:id="rId1820" xr:uid="{00000000-0004-0000-0000-00001B070000}"/>
    <hyperlink ref="G1822" r:id="rId1821" xr:uid="{00000000-0004-0000-0000-00001C070000}"/>
    <hyperlink ref="G1823" r:id="rId1822" xr:uid="{00000000-0004-0000-0000-00001D070000}"/>
    <hyperlink ref="G1824" r:id="rId1823" xr:uid="{00000000-0004-0000-0000-00001E070000}"/>
    <hyperlink ref="G1825" r:id="rId1824" xr:uid="{00000000-0004-0000-0000-00001F070000}"/>
    <hyperlink ref="G1826" r:id="rId1825" xr:uid="{00000000-0004-0000-0000-000020070000}"/>
    <hyperlink ref="G1827" r:id="rId1826" xr:uid="{00000000-0004-0000-0000-000021070000}"/>
    <hyperlink ref="G1828" r:id="rId1827" xr:uid="{00000000-0004-0000-0000-000022070000}"/>
    <hyperlink ref="G1829" r:id="rId1828" xr:uid="{00000000-0004-0000-0000-000023070000}"/>
    <hyperlink ref="G1830" r:id="rId1829" xr:uid="{00000000-0004-0000-0000-000024070000}"/>
    <hyperlink ref="G1831" r:id="rId1830" xr:uid="{00000000-0004-0000-0000-000025070000}"/>
    <hyperlink ref="G1832" r:id="rId1831" xr:uid="{00000000-0004-0000-0000-000026070000}"/>
    <hyperlink ref="G1833" r:id="rId1832" xr:uid="{00000000-0004-0000-0000-000027070000}"/>
    <hyperlink ref="G1834" r:id="rId1833" xr:uid="{00000000-0004-0000-0000-000028070000}"/>
    <hyperlink ref="G1835" r:id="rId1834" xr:uid="{00000000-0004-0000-0000-000029070000}"/>
    <hyperlink ref="G1836" r:id="rId1835" xr:uid="{00000000-0004-0000-0000-00002A070000}"/>
    <hyperlink ref="G1837" r:id="rId1836" xr:uid="{00000000-0004-0000-0000-00002B070000}"/>
    <hyperlink ref="G1838" r:id="rId1837" xr:uid="{00000000-0004-0000-0000-00002C070000}"/>
    <hyperlink ref="G1839" r:id="rId1838" xr:uid="{00000000-0004-0000-0000-00002D070000}"/>
    <hyperlink ref="G1840" r:id="rId1839" xr:uid="{00000000-0004-0000-0000-00002E070000}"/>
    <hyperlink ref="G1841" r:id="rId1840" xr:uid="{00000000-0004-0000-0000-00002F070000}"/>
    <hyperlink ref="G1842" r:id="rId1841" xr:uid="{00000000-0004-0000-0000-000030070000}"/>
    <hyperlink ref="G1843" r:id="rId1842" xr:uid="{00000000-0004-0000-0000-000031070000}"/>
    <hyperlink ref="G1844" r:id="rId1843" xr:uid="{00000000-0004-0000-0000-000032070000}"/>
    <hyperlink ref="G1845" r:id="rId1844" xr:uid="{00000000-0004-0000-0000-000033070000}"/>
    <hyperlink ref="G1846" r:id="rId1845" xr:uid="{00000000-0004-0000-0000-000034070000}"/>
    <hyperlink ref="G1847" r:id="rId1846" xr:uid="{00000000-0004-0000-0000-000035070000}"/>
    <hyperlink ref="G1848" r:id="rId1847" xr:uid="{00000000-0004-0000-0000-000036070000}"/>
    <hyperlink ref="G1849" r:id="rId1848" xr:uid="{00000000-0004-0000-0000-000037070000}"/>
    <hyperlink ref="G1850" r:id="rId1849" xr:uid="{00000000-0004-0000-0000-000038070000}"/>
    <hyperlink ref="G1851" r:id="rId1850" xr:uid="{00000000-0004-0000-0000-000039070000}"/>
    <hyperlink ref="G1852" r:id="rId1851" xr:uid="{00000000-0004-0000-0000-00003A070000}"/>
    <hyperlink ref="G1853" r:id="rId1852" xr:uid="{00000000-0004-0000-0000-00003B070000}"/>
    <hyperlink ref="G1854" r:id="rId1853" xr:uid="{00000000-0004-0000-0000-00003C070000}"/>
    <hyperlink ref="G1855" r:id="rId1854" xr:uid="{00000000-0004-0000-0000-00003D070000}"/>
    <hyperlink ref="G1856" r:id="rId1855" xr:uid="{00000000-0004-0000-0000-00003E070000}"/>
    <hyperlink ref="G1857" r:id="rId1856" xr:uid="{00000000-0004-0000-0000-00003F070000}"/>
    <hyperlink ref="G1858" r:id="rId1857" xr:uid="{00000000-0004-0000-0000-000040070000}"/>
    <hyperlink ref="G1859" r:id="rId1858" xr:uid="{00000000-0004-0000-0000-000041070000}"/>
    <hyperlink ref="G1860" r:id="rId1859" xr:uid="{00000000-0004-0000-0000-000042070000}"/>
    <hyperlink ref="G1861" r:id="rId1860" xr:uid="{00000000-0004-0000-0000-000043070000}"/>
    <hyperlink ref="G1862" r:id="rId1861" xr:uid="{00000000-0004-0000-0000-000044070000}"/>
    <hyperlink ref="G1863" r:id="rId1862" xr:uid="{00000000-0004-0000-0000-000045070000}"/>
    <hyperlink ref="G1864" r:id="rId1863" xr:uid="{00000000-0004-0000-0000-000046070000}"/>
    <hyperlink ref="G1865" r:id="rId1864" xr:uid="{00000000-0004-0000-0000-000047070000}"/>
    <hyperlink ref="G1866" r:id="rId1865" xr:uid="{00000000-0004-0000-0000-000048070000}"/>
    <hyperlink ref="G1867" r:id="rId1866" xr:uid="{00000000-0004-0000-0000-000049070000}"/>
    <hyperlink ref="G1868" r:id="rId1867" xr:uid="{00000000-0004-0000-0000-00004A070000}"/>
    <hyperlink ref="G1869" r:id="rId1868" xr:uid="{00000000-0004-0000-0000-00004B070000}"/>
    <hyperlink ref="G1870" r:id="rId1869" xr:uid="{00000000-0004-0000-0000-00004C070000}"/>
    <hyperlink ref="G1871" r:id="rId1870" xr:uid="{00000000-0004-0000-0000-00004D070000}"/>
    <hyperlink ref="G1872" r:id="rId1871" xr:uid="{00000000-0004-0000-0000-00004E070000}"/>
    <hyperlink ref="G1873" r:id="rId1872" xr:uid="{00000000-0004-0000-0000-00004F070000}"/>
    <hyperlink ref="G1874" r:id="rId1873" xr:uid="{00000000-0004-0000-0000-000050070000}"/>
    <hyperlink ref="G1875" r:id="rId1874" xr:uid="{00000000-0004-0000-0000-000051070000}"/>
    <hyperlink ref="G1876" r:id="rId1875" xr:uid="{00000000-0004-0000-0000-000052070000}"/>
    <hyperlink ref="G1877" r:id="rId1876" xr:uid="{00000000-0004-0000-0000-000053070000}"/>
    <hyperlink ref="G1878" r:id="rId1877" xr:uid="{00000000-0004-0000-0000-000054070000}"/>
    <hyperlink ref="G1879" r:id="rId1878" xr:uid="{00000000-0004-0000-0000-000055070000}"/>
    <hyperlink ref="G1880" r:id="rId1879" xr:uid="{00000000-0004-0000-0000-000056070000}"/>
    <hyperlink ref="G1881" r:id="rId1880" xr:uid="{00000000-0004-0000-0000-000057070000}"/>
    <hyperlink ref="G1882" r:id="rId1881" xr:uid="{00000000-0004-0000-0000-000058070000}"/>
    <hyperlink ref="G1883" r:id="rId1882" xr:uid="{00000000-0004-0000-0000-000059070000}"/>
    <hyperlink ref="G1884" r:id="rId1883" xr:uid="{00000000-0004-0000-0000-00005A070000}"/>
    <hyperlink ref="G1885" r:id="rId1884" xr:uid="{00000000-0004-0000-0000-00005B070000}"/>
    <hyperlink ref="G1886" r:id="rId1885" xr:uid="{00000000-0004-0000-0000-00005C070000}"/>
    <hyperlink ref="G1887" r:id="rId1886" xr:uid="{00000000-0004-0000-0000-00005D070000}"/>
    <hyperlink ref="G1888" r:id="rId1887" xr:uid="{00000000-0004-0000-0000-00005E070000}"/>
    <hyperlink ref="G1889" r:id="rId1888" xr:uid="{00000000-0004-0000-0000-00005F070000}"/>
    <hyperlink ref="G1890" r:id="rId1889" xr:uid="{00000000-0004-0000-0000-000060070000}"/>
    <hyperlink ref="G1891" r:id="rId1890" xr:uid="{00000000-0004-0000-0000-000061070000}"/>
    <hyperlink ref="G1892" r:id="rId1891" xr:uid="{00000000-0004-0000-0000-000062070000}"/>
    <hyperlink ref="G1893" r:id="rId1892" xr:uid="{00000000-0004-0000-0000-000063070000}"/>
    <hyperlink ref="G1894" r:id="rId1893" xr:uid="{00000000-0004-0000-0000-000064070000}"/>
    <hyperlink ref="G1895" r:id="rId1894" xr:uid="{00000000-0004-0000-0000-000065070000}"/>
    <hyperlink ref="G1896" r:id="rId1895" xr:uid="{00000000-0004-0000-0000-000066070000}"/>
    <hyperlink ref="G1897" r:id="rId1896" xr:uid="{00000000-0004-0000-0000-000067070000}"/>
    <hyperlink ref="G1898" r:id="rId1897" xr:uid="{00000000-0004-0000-0000-000068070000}"/>
    <hyperlink ref="G1899" r:id="rId1898" xr:uid="{00000000-0004-0000-0000-000069070000}"/>
    <hyperlink ref="G1900" r:id="rId1899" xr:uid="{00000000-0004-0000-0000-00006A070000}"/>
    <hyperlink ref="G1901" r:id="rId1900" xr:uid="{00000000-0004-0000-0000-00006B070000}"/>
    <hyperlink ref="G1902" r:id="rId1901" xr:uid="{00000000-0004-0000-0000-00006C070000}"/>
    <hyperlink ref="G1903" r:id="rId1902" xr:uid="{00000000-0004-0000-0000-00006D070000}"/>
    <hyperlink ref="G1904" r:id="rId1903" xr:uid="{00000000-0004-0000-0000-00006E070000}"/>
    <hyperlink ref="G1905" r:id="rId1904" xr:uid="{00000000-0004-0000-0000-00006F070000}"/>
    <hyperlink ref="G1906" r:id="rId1905" xr:uid="{00000000-0004-0000-0000-000070070000}"/>
    <hyperlink ref="G1907" r:id="rId1906" xr:uid="{00000000-0004-0000-0000-000071070000}"/>
    <hyperlink ref="G1908" r:id="rId1907" xr:uid="{00000000-0004-0000-0000-000072070000}"/>
    <hyperlink ref="G1909" r:id="rId1908" xr:uid="{00000000-0004-0000-0000-000073070000}"/>
    <hyperlink ref="G1910" r:id="rId1909" xr:uid="{00000000-0004-0000-0000-000074070000}"/>
    <hyperlink ref="G1911" r:id="rId1910" xr:uid="{00000000-0004-0000-0000-000075070000}"/>
    <hyperlink ref="G1912" r:id="rId1911" xr:uid="{00000000-0004-0000-0000-000076070000}"/>
    <hyperlink ref="G1913" r:id="rId1912" xr:uid="{00000000-0004-0000-0000-000077070000}"/>
    <hyperlink ref="G1914" r:id="rId1913" xr:uid="{00000000-0004-0000-0000-000078070000}"/>
    <hyperlink ref="G1915" r:id="rId1914" xr:uid="{00000000-0004-0000-0000-000079070000}"/>
    <hyperlink ref="G1916" r:id="rId1915" xr:uid="{00000000-0004-0000-0000-00007A070000}"/>
    <hyperlink ref="G1917" r:id="rId1916" xr:uid="{00000000-0004-0000-0000-00007B070000}"/>
    <hyperlink ref="G1918" r:id="rId1917" xr:uid="{00000000-0004-0000-0000-00007C070000}"/>
    <hyperlink ref="G1919" r:id="rId1918" xr:uid="{00000000-0004-0000-0000-00007D070000}"/>
    <hyperlink ref="G1920" r:id="rId1919" xr:uid="{00000000-0004-0000-0000-00007E070000}"/>
    <hyperlink ref="G1921" r:id="rId1920" xr:uid="{00000000-0004-0000-0000-00007F070000}"/>
    <hyperlink ref="G1922" r:id="rId1921" xr:uid="{00000000-0004-0000-0000-000080070000}"/>
    <hyperlink ref="G1923" r:id="rId1922" xr:uid="{00000000-0004-0000-0000-000081070000}"/>
    <hyperlink ref="G1924" r:id="rId1923" xr:uid="{00000000-0004-0000-0000-000082070000}"/>
    <hyperlink ref="G1925" r:id="rId1924" xr:uid="{00000000-0004-0000-0000-000083070000}"/>
    <hyperlink ref="G1926" r:id="rId1925" xr:uid="{00000000-0004-0000-0000-000084070000}"/>
    <hyperlink ref="G1927" r:id="rId1926" xr:uid="{00000000-0004-0000-0000-000085070000}"/>
    <hyperlink ref="G1928" r:id="rId1927" xr:uid="{00000000-0004-0000-0000-000086070000}"/>
    <hyperlink ref="G1929" r:id="rId1928" xr:uid="{00000000-0004-0000-0000-000087070000}"/>
    <hyperlink ref="G1930" r:id="rId1929" xr:uid="{00000000-0004-0000-0000-000088070000}"/>
    <hyperlink ref="G1931" r:id="rId1930" xr:uid="{00000000-0004-0000-0000-000089070000}"/>
    <hyperlink ref="G1932" r:id="rId1931" xr:uid="{00000000-0004-0000-0000-00008A070000}"/>
    <hyperlink ref="G1933" r:id="rId1932" xr:uid="{00000000-0004-0000-0000-00008B070000}"/>
    <hyperlink ref="G1934" r:id="rId1933" xr:uid="{00000000-0004-0000-0000-00008C070000}"/>
    <hyperlink ref="G1935" r:id="rId1934" xr:uid="{00000000-0004-0000-0000-00008D070000}"/>
    <hyperlink ref="G1936" r:id="rId1935" xr:uid="{00000000-0004-0000-0000-00008E070000}"/>
    <hyperlink ref="G1937" r:id="rId1936" xr:uid="{00000000-0004-0000-0000-00008F070000}"/>
    <hyperlink ref="G1938" r:id="rId1937" xr:uid="{00000000-0004-0000-0000-000090070000}"/>
    <hyperlink ref="G1939" r:id="rId1938" xr:uid="{00000000-0004-0000-0000-000091070000}"/>
    <hyperlink ref="G1940" r:id="rId1939" xr:uid="{00000000-0004-0000-0000-000092070000}"/>
    <hyperlink ref="G1941" r:id="rId1940" xr:uid="{00000000-0004-0000-0000-000093070000}"/>
    <hyperlink ref="G1942" r:id="rId1941" xr:uid="{00000000-0004-0000-0000-000094070000}"/>
    <hyperlink ref="G1943" r:id="rId1942" xr:uid="{00000000-0004-0000-0000-000095070000}"/>
    <hyperlink ref="G1944" r:id="rId1943" xr:uid="{00000000-0004-0000-0000-000096070000}"/>
    <hyperlink ref="G1945" r:id="rId1944" xr:uid="{00000000-0004-0000-0000-000097070000}"/>
    <hyperlink ref="G1946" r:id="rId1945" xr:uid="{00000000-0004-0000-0000-000098070000}"/>
    <hyperlink ref="G1947" r:id="rId1946" xr:uid="{00000000-0004-0000-0000-000099070000}"/>
    <hyperlink ref="G1948" r:id="rId1947" xr:uid="{00000000-0004-0000-0000-00009A070000}"/>
    <hyperlink ref="G1949" r:id="rId1948" xr:uid="{00000000-0004-0000-0000-00009B070000}"/>
    <hyperlink ref="G1950" r:id="rId1949" xr:uid="{00000000-0004-0000-0000-00009C070000}"/>
    <hyperlink ref="G1951" r:id="rId1950" xr:uid="{00000000-0004-0000-0000-00009D070000}"/>
    <hyperlink ref="G1952" r:id="rId1951" xr:uid="{00000000-0004-0000-0000-00009E070000}"/>
    <hyperlink ref="G1953" r:id="rId1952" xr:uid="{00000000-0004-0000-0000-00009F070000}"/>
    <hyperlink ref="G1954" r:id="rId1953" xr:uid="{00000000-0004-0000-0000-0000A0070000}"/>
    <hyperlink ref="G1955" r:id="rId1954" xr:uid="{00000000-0004-0000-0000-0000A1070000}"/>
    <hyperlink ref="G1956" r:id="rId1955" xr:uid="{00000000-0004-0000-0000-0000A2070000}"/>
    <hyperlink ref="G1957" r:id="rId1956" xr:uid="{00000000-0004-0000-0000-0000A3070000}"/>
    <hyperlink ref="G1958" r:id="rId1957" xr:uid="{00000000-0004-0000-0000-0000A4070000}"/>
    <hyperlink ref="G1959" r:id="rId1958" xr:uid="{00000000-0004-0000-0000-0000A5070000}"/>
    <hyperlink ref="G1960" r:id="rId1959" xr:uid="{00000000-0004-0000-0000-0000A6070000}"/>
    <hyperlink ref="G1961" r:id="rId1960" xr:uid="{00000000-0004-0000-0000-0000A7070000}"/>
    <hyperlink ref="G1962" r:id="rId1961" xr:uid="{00000000-0004-0000-0000-0000A8070000}"/>
    <hyperlink ref="G1963" r:id="rId1962" xr:uid="{00000000-0004-0000-0000-0000A9070000}"/>
    <hyperlink ref="G1964" r:id="rId1963" xr:uid="{00000000-0004-0000-0000-0000AA070000}"/>
    <hyperlink ref="G1965" r:id="rId1964" xr:uid="{00000000-0004-0000-0000-0000AB070000}"/>
    <hyperlink ref="G1966" r:id="rId1965" xr:uid="{00000000-0004-0000-0000-0000AC070000}"/>
    <hyperlink ref="G1967" r:id="rId1966" xr:uid="{00000000-0004-0000-0000-0000AD070000}"/>
    <hyperlink ref="G1968" r:id="rId1967" xr:uid="{00000000-0004-0000-0000-0000AE070000}"/>
    <hyperlink ref="G1969" r:id="rId1968" xr:uid="{00000000-0004-0000-0000-0000AF070000}"/>
    <hyperlink ref="G1970" r:id="rId1969" xr:uid="{00000000-0004-0000-0000-0000B0070000}"/>
    <hyperlink ref="G1971" r:id="rId1970" xr:uid="{00000000-0004-0000-0000-0000B1070000}"/>
    <hyperlink ref="G1972" r:id="rId1971" xr:uid="{00000000-0004-0000-0000-0000B2070000}"/>
    <hyperlink ref="G1973" r:id="rId1972" xr:uid="{00000000-0004-0000-0000-0000B3070000}"/>
    <hyperlink ref="G1974" r:id="rId1973" xr:uid="{00000000-0004-0000-0000-0000B4070000}"/>
    <hyperlink ref="G1975" r:id="rId1974" xr:uid="{00000000-0004-0000-0000-0000B5070000}"/>
    <hyperlink ref="G1976" r:id="rId1975" xr:uid="{00000000-0004-0000-0000-0000B6070000}"/>
    <hyperlink ref="G1977" r:id="rId1976" xr:uid="{00000000-0004-0000-0000-0000B7070000}"/>
    <hyperlink ref="G1978" r:id="rId1977" xr:uid="{00000000-0004-0000-0000-0000B8070000}"/>
    <hyperlink ref="G1979" r:id="rId1978" xr:uid="{00000000-0004-0000-0000-0000B9070000}"/>
    <hyperlink ref="G1980" r:id="rId1979" xr:uid="{00000000-0004-0000-0000-0000BA070000}"/>
    <hyperlink ref="G1981" r:id="rId1980" xr:uid="{00000000-0004-0000-0000-0000BB070000}"/>
    <hyperlink ref="G1982" r:id="rId1981" xr:uid="{00000000-0004-0000-0000-0000BC070000}"/>
    <hyperlink ref="G1983" r:id="rId1982" xr:uid="{00000000-0004-0000-0000-0000BD070000}"/>
    <hyperlink ref="G1984" r:id="rId1983" xr:uid="{00000000-0004-0000-0000-0000BE070000}"/>
    <hyperlink ref="G1985" r:id="rId1984" xr:uid="{00000000-0004-0000-0000-0000BF070000}"/>
    <hyperlink ref="G1986" r:id="rId1985" xr:uid="{00000000-0004-0000-0000-0000C0070000}"/>
    <hyperlink ref="G1987" r:id="rId1986" xr:uid="{00000000-0004-0000-0000-0000C1070000}"/>
    <hyperlink ref="G1988" r:id="rId1987" xr:uid="{00000000-0004-0000-0000-0000C2070000}"/>
    <hyperlink ref="G1989" r:id="rId1988" xr:uid="{00000000-0004-0000-0000-0000C3070000}"/>
    <hyperlink ref="G1990" r:id="rId1989" xr:uid="{00000000-0004-0000-0000-0000C4070000}"/>
    <hyperlink ref="G1991" r:id="rId1990" xr:uid="{00000000-0004-0000-0000-0000C5070000}"/>
    <hyperlink ref="G1992" r:id="rId1991" xr:uid="{00000000-0004-0000-0000-0000C6070000}"/>
    <hyperlink ref="G1993" r:id="rId1992" xr:uid="{00000000-0004-0000-0000-0000C7070000}"/>
    <hyperlink ref="G1994" r:id="rId1993" xr:uid="{00000000-0004-0000-0000-0000C8070000}"/>
    <hyperlink ref="G1995" r:id="rId1994" xr:uid="{00000000-0004-0000-0000-0000C9070000}"/>
    <hyperlink ref="G1996" r:id="rId1995" xr:uid="{00000000-0004-0000-0000-0000CA070000}"/>
    <hyperlink ref="G1997" r:id="rId1996" xr:uid="{00000000-0004-0000-0000-0000CB070000}"/>
    <hyperlink ref="G1998" r:id="rId1997" xr:uid="{00000000-0004-0000-0000-0000CC070000}"/>
    <hyperlink ref="G1999" r:id="rId1998" xr:uid="{00000000-0004-0000-0000-0000CD070000}"/>
    <hyperlink ref="G2000" r:id="rId1999" xr:uid="{00000000-0004-0000-0000-0000CE070000}"/>
    <hyperlink ref="G2001" r:id="rId2000" xr:uid="{00000000-0004-0000-0000-0000CF070000}"/>
    <hyperlink ref="G2002" r:id="rId2001" xr:uid="{00000000-0004-0000-0000-0000D0070000}"/>
    <hyperlink ref="G2003" r:id="rId2002" xr:uid="{00000000-0004-0000-0000-0000D1070000}"/>
    <hyperlink ref="G2004" r:id="rId2003" xr:uid="{00000000-0004-0000-0000-0000D2070000}"/>
    <hyperlink ref="G2005" r:id="rId2004" xr:uid="{00000000-0004-0000-0000-0000D3070000}"/>
    <hyperlink ref="G2006" r:id="rId2005" xr:uid="{00000000-0004-0000-0000-0000D4070000}"/>
    <hyperlink ref="G2007" r:id="rId2006" xr:uid="{00000000-0004-0000-0000-0000D5070000}"/>
    <hyperlink ref="G2008" r:id="rId2007" xr:uid="{00000000-0004-0000-0000-0000D6070000}"/>
    <hyperlink ref="G2009" r:id="rId2008" xr:uid="{00000000-0004-0000-0000-0000D7070000}"/>
    <hyperlink ref="G2010" r:id="rId2009" xr:uid="{00000000-0004-0000-0000-0000D8070000}"/>
    <hyperlink ref="G2011" r:id="rId2010" xr:uid="{00000000-0004-0000-0000-0000D9070000}"/>
    <hyperlink ref="G2012" r:id="rId2011" xr:uid="{00000000-0004-0000-0000-0000DA070000}"/>
    <hyperlink ref="G2013" r:id="rId2012" xr:uid="{00000000-0004-0000-0000-0000DB070000}"/>
    <hyperlink ref="G2014" r:id="rId2013" xr:uid="{00000000-0004-0000-0000-0000DC070000}"/>
    <hyperlink ref="G2015" r:id="rId2014" xr:uid="{00000000-0004-0000-0000-0000DD070000}"/>
    <hyperlink ref="G2016" r:id="rId2015" xr:uid="{00000000-0004-0000-0000-0000DE070000}"/>
    <hyperlink ref="G2017" r:id="rId2016" xr:uid="{00000000-0004-0000-0000-0000DF070000}"/>
    <hyperlink ref="G2018" r:id="rId2017" xr:uid="{00000000-0004-0000-0000-0000E0070000}"/>
    <hyperlink ref="G2019" r:id="rId2018" xr:uid="{00000000-0004-0000-0000-0000E1070000}"/>
    <hyperlink ref="G2020" r:id="rId2019" xr:uid="{00000000-0004-0000-0000-0000E2070000}"/>
    <hyperlink ref="G2021" r:id="rId2020" xr:uid="{00000000-0004-0000-0000-0000E3070000}"/>
    <hyperlink ref="G2022" r:id="rId2021" xr:uid="{00000000-0004-0000-0000-0000E4070000}"/>
    <hyperlink ref="G2023" r:id="rId2022" xr:uid="{00000000-0004-0000-0000-0000E5070000}"/>
    <hyperlink ref="G2024" r:id="rId2023" xr:uid="{00000000-0004-0000-0000-0000E6070000}"/>
    <hyperlink ref="G2025" r:id="rId2024" xr:uid="{00000000-0004-0000-0000-0000E7070000}"/>
    <hyperlink ref="G2026" r:id="rId2025" xr:uid="{00000000-0004-0000-0000-0000E8070000}"/>
    <hyperlink ref="G2027" r:id="rId2026" xr:uid="{00000000-0004-0000-0000-0000E9070000}"/>
    <hyperlink ref="G2028" r:id="rId2027" xr:uid="{00000000-0004-0000-0000-0000EA070000}"/>
    <hyperlink ref="G2029" r:id="rId2028" xr:uid="{00000000-0004-0000-0000-0000EB070000}"/>
    <hyperlink ref="G2030" r:id="rId2029" xr:uid="{00000000-0004-0000-0000-0000EC070000}"/>
    <hyperlink ref="G2031" r:id="rId2030" xr:uid="{00000000-0004-0000-0000-0000ED070000}"/>
    <hyperlink ref="G2032" r:id="rId2031" xr:uid="{00000000-0004-0000-0000-0000EE070000}"/>
    <hyperlink ref="G2033" r:id="rId2032" xr:uid="{00000000-0004-0000-0000-0000EF070000}"/>
    <hyperlink ref="G2034" r:id="rId2033" xr:uid="{00000000-0004-0000-0000-0000F0070000}"/>
    <hyperlink ref="G2035" r:id="rId2034" xr:uid="{00000000-0004-0000-0000-0000F1070000}"/>
    <hyperlink ref="G2036" r:id="rId2035" xr:uid="{00000000-0004-0000-0000-0000F2070000}"/>
    <hyperlink ref="G2037" r:id="rId2036" xr:uid="{00000000-0004-0000-0000-0000F3070000}"/>
    <hyperlink ref="G2038" r:id="rId2037" xr:uid="{00000000-0004-0000-0000-0000F4070000}"/>
    <hyperlink ref="G2039" r:id="rId2038" xr:uid="{00000000-0004-0000-0000-0000F5070000}"/>
    <hyperlink ref="G2040" r:id="rId2039" xr:uid="{00000000-0004-0000-0000-0000F6070000}"/>
    <hyperlink ref="G2041" r:id="rId2040" xr:uid="{00000000-0004-0000-0000-0000F7070000}"/>
    <hyperlink ref="G2042" r:id="rId2041" xr:uid="{00000000-0004-0000-0000-0000F8070000}"/>
    <hyperlink ref="G2043" r:id="rId2042" xr:uid="{00000000-0004-0000-0000-0000F9070000}"/>
    <hyperlink ref="G2044" r:id="rId2043" xr:uid="{00000000-0004-0000-0000-0000FA070000}"/>
    <hyperlink ref="G2045" r:id="rId2044" xr:uid="{00000000-0004-0000-0000-0000FB070000}"/>
    <hyperlink ref="G2046" r:id="rId2045" xr:uid="{00000000-0004-0000-0000-0000FC070000}"/>
    <hyperlink ref="G2047" r:id="rId2046" xr:uid="{00000000-0004-0000-0000-0000FD070000}"/>
    <hyperlink ref="G2048" r:id="rId2047" xr:uid="{00000000-0004-0000-0000-0000FE070000}"/>
    <hyperlink ref="G2049" r:id="rId2048" xr:uid="{00000000-0004-0000-0000-0000FF070000}"/>
    <hyperlink ref="G2050" r:id="rId2049" xr:uid="{00000000-0004-0000-0000-000000080000}"/>
    <hyperlink ref="G2051" r:id="rId2050" xr:uid="{00000000-0004-0000-0000-000001080000}"/>
    <hyperlink ref="G2052" r:id="rId2051" xr:uid="{00000000-0004-0000-0000-000002080000}"/>
    <hyperlink ref="G2053" r:id="rId2052" xr:uid="{00000000-0004-0000-0000-000003080000}"/>
    <hyperlink ref="G2054" r:id="rId2053" xr:uid="{00000000-0004-0000-0000-000004080000}"/>
    <hyperlink ref="G2055" r:id="rId2054" xr:uid="{00000000-0004-0000-0000-000005080000}"/>
    <hyperlink ref="G2056" r:id="rId2055" xr:uid="{00000000-0004-0000-0000-000006080000}"/>
    <hyperlink ref="G2057" r:id="rId2056" xr:uid="{00000000-0004-0000-0000-000007080000}"/>
    <hyperlink ref="G2058" r:id="rId2057" xr:uid="{00000000-0004-0000-0000-000008080000}"/>
    <hyperlink ref="G2059" r:id="rId2058" xr:uid="{00000000-0004-0000-0000-000009080000}"/>
    <hyperlink ref="G2060" r:id="rId2059" xr:uid="{00000000-0004-0000-0000-00000A080000}"/>
    <hyperlink ref="G2061" r:id="rId2060" xr:uid="{00000000-0004-0000-0000-00000B080000}"/>
    <hyperlink ref="G2062" r:id="rId2061" xr:uid="{00000000-0004-0000-0000-00000C080000}"/>
    <hyperlink ref="G2063" r:id="rId2062" xr:uid="{00000000-0004-0000-0000-00000D080000}"/>
    <hyperlink ref="G2064" r:id="rId2063" xr:uid="{00000000-0004-0000-0000-00000E080000}"/>
    <hyperlink ref="G2065" r:id="rId2064" xr:uid="{00000000-0004-0000-0000-00000F080000}"/>
    <hyperlink ref="G2066" r:id="rId2065" xr:uid="{00000000-0004-0000-0000-000010080000}"/>
    <hyperlink ref="G2067" r:id="rId2066" xr:uid="{00000000-0004-0000-0000-000011080000}"/>
    <hyperlink ref="G2068" r:id="rId2067" xr:uid="{00000000-0004-0000-0000-000012080000}"/>
    <hyperlink ref="G2069" r:id="rId2068" xr:uid="{00000000-0004-0000-0000-000013080000}"/>
    <hyperlink ref="G2070" r:id="rId2069" xr:uid="{00000000-0004-0000-0000-000014080000}"/>
    <hyperlink ref="G2071" r:id="rId2070" xr:uid="{00000000-0004-0000-0000-000015080000}"/>
    <hyperlink ref="G2072" r:id="rId2071" xr:uid="{00000000-0004-0000-0000-000016080000}"/>
    <hyperlink ref="G2073" r:id="rId2072" xr:uid="{00000000-0004-0000-0000-000017080000}"/>
    <hyperlink ref="G2074" r:id="rId2073" xr:uid="{00000000-0004-0000-0000-000018080000}"/>
    <hyperlink ref="G2075" r:id="rId2074" xr:uid="{00000000-0004-0000-0000-000019080000}"/>
    <hyperlink ref="G2076" r:id="rId2075" xr:uid="{00000000-0004-0000-0000-00001A080000}"/>
    <hyperlink ref="G2077" r:id="rId2076" xr:uid="{00000000-0004-0000-0000-00001B080000}"/>
    <hyperlink ref="G2078" r:id="rId2077" xr:uid="{00000000-0004-0000-0000-00001C080000}"/>
    <hyperlink ref="G2079" r:id="rId2078" xr:uid="{00000000-0004-0000-0000-00001D080000}"/>
    <hyperlink ref="G2080" r:id="rId2079" xr:uid="{00000000-0004-0000-0000-00001E080000}"/>
    <hyperlink ref="G2081" r:id="rId2080" xr:uid="{00000000-0004-0000-0000-00001F080000}"/>
    <hyperlink ref="G2082" r:id="rId2081" xr:uid="{00000000-0004-0000-0000-000020080000}"/>
    <hyperlink ref="G2083" r:id="rId2082" xr:uid="{00000000-0004-0000-0000-000021080000}"/>
    <hyperlink ref="G2084" r:id="rId2083" xr:uid="{00000000-0004-0000-0000-000022080000}"/>
    <hyperlink ref="G2085" r:id="rId2084" xr:uid="{00000000-0004-0000-0000-000023080000}"/>
    <hyperlink ref="G2086" r:id="rId2085" xr:uid="{00000000-0004-0000-0000-000024080000}"/>
    <hyperlink ref="G2087" r:id="rId2086" xr:uid="{00000000-0004-0000-0000-000025080000}"/>
    <hyperlink ref="G2088" r:id="rId2087" xr:uid="{00000000-0004-0000-0000-000026080000}"/>
    <hyperlink ref="G2089" r:id="rId2088" xr:uid="{00000000-0004-0000-0000-000027080000}"/>
    <hyperlink ref="G2090" r:id="rId2089" xr:uid="{00000000-0004-0000-0000-000028080000}"/>
    <hyperlink ref="G2091" r:id="rId2090" xr:uid="{00000000-0004-0000-0000-000029080000}"/>
    <hyperlink ref="G2092" r:id="rId2091" xr:uid="{00000000-0004-0000-0000-00002A080000}"/>
    <hyperlink ref="G2093" r:id="rId2092" xr:uid="{00000000-0004-0000-0000-00002B080000}"/>
    <hyperlink ref="G2094" r:id="rId2093" xr:uid="{00000000-0004-0000-0000-00002C080000}"/>
    <hyperlink ref="G2095" r:id="rId2094" xr:uid="{00000000-0004-0000-0000-00002D080000}"/>
    <hyperlink ref="G2096" r:id="rId2095" xr:uid="{00000000-0004-0000-0000-00002E080000}"/>
    <hyperlink ref="G2097" r:id="rId2096" xr:uid="{00000000-0004-0000-0000-00002F080000}"/>
    <hyperlink ref="G2098" r:id="rId2097" xr:uid="{00000000-0004-0000-0000-000030080000}"/>
    <hyperlink ref="G2099" r:id="rId2098" xr:uid="{00000000-0004-0000-0000-000031080000}"/>
    <hyperlink ref="G2100" r:id="rId2099" xr:uid="{00000000-0004-0000-0000-000032080000}"/>
    <hyperlink ref="G2101" r:id="rId2100" xr:uid="{00000000-0004-0000-0000-000033080000}"/>
    <hyperlink ref="G2102" r:id="rId2101" xr:uid="{00000000-0004-0000-0000-000034080000}"/>
    <hyperlink ref="G2103" r:id="rId2102" xr:uid="{00000000-0004-0000-0000-000035080000}"/>
    <hyperlink ref="G2104" r:id="rId2103" xr:uid="{00000000-0004-0000-0000-000036080000}"/>
    <hyperlink ref="G2105" r:id="rId2104" xr:uid="{00000000-0004-0000-0000-000037080000}"/>
    <hyperlink ref="G2106" r:id="rId2105" xr:uid="{00000000-0004-0000-0000-000038080000}"/>
    <hyperlink ref="G2107" r:id="rId2106" xr:uid="{00000000-0004-0000-0000-000039080000}"/>
    <hyperlink ref="G2108" r:id="rId2107" xr:uid="{00000000-0004-0000-0000-00003A080000}"/>
    <hyperlink ref="G2109" r:id="rId2108" xr:uid="{00000000-0004-0000-0000-00003B080000}"/>
    <hyperlink ref="G2110" r:id="rId2109" xr:uid="{00000000-0004-0000-0000-00003C080000}"/>
    <hyperlink ref="G2111" r:id="rId2110" xr:uid="{00000000-0004-0000-0000-00003D080000}"/>
    <hyperlink ref="G2112" r:id="rId2111" xr:uid="{00000000-0004-0000-0000-00003E080000}"/>
    <hyperlink ref="G2113" r:id="rId2112" xr:uid="{00000000-0004-0000-0000-00003F080000}"/>
    <hyperlink ref="G2114" r:id="rId2113" xr:uid="{00000000-0004-0000-0000-000040080000}"/>
    <hyperlink ref="G2115" r:id="rId2114" xr:uid="{00000000-0004-0000-0000-000041080000}"/>
    <hyperlink ref="G2116" r:id="rId2115" xr:uid="{00000000-0004-0000-0000-000042080000}"/>
    <hyperlink ref="G2117" r:id="rId2116" xr:uid="{00000000-0004-0000-0000-000043080000}"/>
    <hyperlink ref="G2118" r:id="rId2117" xr:uid="{00000000-0004-0000-0000-000044080000}"/>
    <hyperlink ref="G2119" r:id="rId2118" xr:uid="{00000000-0004-0000-0000-000045080000}"/>
    <hyperlink ref="G2120" r:id="rId2119" xr:uid="{00000000-0004-0000-0000-000046080000}"/>
    <hyperlink ref="G2121" r:id="rId2120" xr:uid="{00000000-0004-0000-0000-000047080000}"/>
    <hyperlink ref="G2122" r:id="rId2121" xr:uid="{00000000-0004-0000-0000-000048080000}"/>
    <hyperlink ref="G2123" r:id="rId2122" xr:uid="{00000000-0004-0000-0000-000049080000}"/>
    <hyperlink ref="G2124" r:id="rId2123" xr:uid="{00000000-0004-0000-0000-00004A080000}"/>
    <hyperlink ref="G2125" r:id="rId2124" xr:uid="{00000000-0004-0000-0000-00004B080000}"/>
    <hyperlink ref="G2126" r:id="rId2125" xr:uid="{00000000-0004-0000-0000-00004C080000}"/>
    <hyperlink ref="G2127" r:id="rId2126" xr:uid="{00000000-0004-0000-0000-00004D080000}"/>
    <hyperlink ref="G2128" r:id="rId2127" xr:uid="{00000000-0004-0000-0000-00004E080000}"/>
    <hyperlink ref="G2129" r:id="rId2128" xr:uid="{00000000-0004-0000-0000-00004F080000}"/>
    <hyperlink ref="G2130" r:id="rId2129" xr:uid="{00000000-0004-0000-0000-000050080000}"/>
    <hyperlink ref="G2131" r:id="rId2130" xr:uid="{00000000-0004-0000-0000-000051080000}"/>
    <hyperlink ref="G2132" r:id="rId2131" xr:uid="{00000000-0004-0000-0000-000052080000}"/>
    <hyperlink ref="G2133" r:id="rId2132" xr:uid="{00000000-0004-0000-0000-000053080000}"/>
    <hyperlink ref="G2134" r:id="rId2133" xr:uid="{00000000-0004-0000-0000-000054080000}"/>
    <hyperlink ref="G2135" r:id="rId2134" xr:uid="{00000000-0004-0000-0000-000055080000}"/>
    <hyperlink ref="G2136" r:id="rId2135" xr:uid="{00000000-0004-0000-0000-000056080000}"/>
    <hyperlink ref="G2137" r:id="rId2136" xr:uid="{00000000-0004-0000-0000-000057080000}"/>
    <hyperlink ref="G2138" r:id="rId2137" xr:uid="{00000000-0004-0000-0000-000058080000}"/>
    <hyperlink ref="G2139" r:id="rId2138" xr:uid="{00000000-0004-0000-0000-000059080000}"/>
    <hyperlink ref="G2140" r:id="rId2139" xr:uid="{00000000-0004-0000-0000-00005A080000}"/>
    <hyperlink ref="G2141" r:id="rId2140" xr:uid="{00000000-0004-0000-0000-00005B080000}"/>
    <hyperlink ref="G2142" r:id="rId2141" xr:uid="{00000000-0004-0000-0000-00005C080000}"/>
    <hyperlink ref="G2143" r:id="rId2142" xr:uid="{00000000-0004-0000-0000-00005D080000}"/>
    <hyperlink ref="G2144" r:id="rId2143" xr:uid="{00000000-0004-0000-0000-00005E080000}"/>
    <hyperlink ref="G2145" r:id="rId2144" xr:uid="{00000000-0004-0000-0000-00005F080000}"/>
    <hyperlink ref="G2146" r:id="rId2145" xr:uid="{00000000-0004-0000-0000-000060080000}"/>
    <hyperlink ref="G2147" r:id="rId2146" xr:uid="{00000000-0004-0000-0000-000061080000}"/>
    <hyperlink ref="G2148" r:id="rId2147" xr:uid="{00000000-0004-0000-0000-000062080000}"/>
    <hyperlink ref="G2149" r:id="rId2148" xr:uid="{00000000-0004-0000-0000-000063080000}"/>
    <hyperlink ref="G2150" r:id="rId2149" xr:uid="{00000000-0004-0000-0000-000064080000}"/>
    <hyperlink ref="G2151" r:id="rId2150" xr:uid="{00000000-0004-0000-0000-000065080000}"/>
    <hyperlink ref="G2152" r:id="rId2151" xr:uid="{00000000-0004-0000-0000-000066080000}"/>
    <hyperlink ref="G2153" r:id="rId2152" xr:uid="{00000000-0004-0000-0000-000067080000}"/>
    <hyperlink ref="G2154" r:id="rId2153" xr:uid="{00000000-0004-0000-0000-000068080000}"/>
    <hyperlink ref="G2155" r:id="rId2154" xr:uid="{00000000-0004-0000-0000-000069080000}"/>
    <hyperlink ref="G2156" r:id="rId2155" xr:uid="{00000000-0004-0000-0000-00006A080000}"/>
    <hyperlink ref="G2157" r:id="rId2156" xr:uid="{00000000-0004-0000-0000-00006B080000}"/>
    <hyperlink ref="G2158" r:id="rId2157" xr:uid="{00000000-0004-0000-0000-00006C080000}"/>
    <hyperlink ref="G2159" r:id="rId2158" xr:uid="{00000000-0004-0000-0000-00006D080000}"/>
    <hyperlink ref="G2160" r:id="rId2159" xr:uid="{00000000-0004-0000-0000-00006E080000}"/>
    <hyperlink ref="G2161" r:id="rId2160" xr:uid="{00000000-0004-0000-0000-00006F080000}"/>
    <hyperlink ref="G2162" r:id="rId2161" xr:uid="{00000000-0004-0000-0000-000070080000}"/>
    <hyperlink ref="G2163" r:id="rId2162" xr:uid="{00000000-0004-0000-0000-000071080000}"/>
    <hyperlink ref="G2164" r:id="rId2163" xr:uid="{00000000-0004-0000-0000-000072080000}"/>
    <hyperlink ref="G2165" r:id="rId2164" xr:uid="{00000000-0004-0000-0000-000073080000}"/>
    <hyperlink ref="G2166" r:id="rId2165" xr:uid="{00000000-0004-0000-0000-000074080000}"/>
    <hyperlink ref="G2167" r:id="rId2166" xr:uid="{00000000-0004-0000-0000-000075080000}"/>
    <hyperlink ref="G2168" r:id="rId2167" xr:uid="{00000000-0004-0000-0000-000076080000}"/>
    <hyperlink ref="G2169" r:id="rId2168" xr:uid="{00000000-0004-0000-0000-000077080000}"/>
    <hyperlink ref="G2170" r:id="rId2169" xr:uid="{00000000-0004-0000-0000-000078080000}"/>
    <hyperlink ref="G2171" r:id="rId2170" xr:uid="{00000000-0004-0000-0000-000079080000}"/>
    <hyperlink ref="G2172" r:id="rId2171" xr:uid="{00000000-0004-0000-0000-00007A080000}"/>
    <hyperlink ref="G2173" r:id="rId2172" xr:uid="{00000000-0004-0000-0000-00007B080000}"/>
    <hyperlink ref="G2174" r:id="rId2173" xr:uid="{00000000-0004-0000-0000-00007C080000}"/>
    <hyperlink ref="G2175" r:id="rId2174" xr:uid="{00000000-0004-0000-0000-00007D080000}"/>
    <hyperlink ref="G2176" r:id="rId2175" xr:uid="{00000000-0004-0000-0000-00007E080000}"/>
    <hyperlink ref="G2177" r:id="rId2176" xr:uid="{00000000-0004-0000-0000-00007F080000}"/>
    <hyperlink ref="G2178" r:id="rId2177" xr:uid="{00000000-0004-0000-0000-000080080000}"/>
    <hyperlink ref="G2179" r:id="rId2178" xr:uid="{00000000-0004-0000-0000-000081080000}"/>
    <hyperlink ref="G2180" r:id="rId2179" xr:uid="{00000000-0004-0000-0000-000082080000}"/>
    <hyperlink ref="G2181" r:id="rId2180" xr:uid="{00000000-0004-0000-0000-000083080000}"/>
    <hyperlink ref="G2182" r:id="rId2181" xr:uid="{00000000-0004-0000-0000-000084080000}"/>
    <hyperlink ref="G2183" r:id="rId2182" xr:uid="{00000000-0004-0000-0000-000085080000}"/>
    <hyperlink ref="G2184" r:id="rId2183" xr:uid="{00000000-0004-0000-0000-000086080000}"/>
    <hyperlink ref="G2185" r:id="rId2184" xr:uid="{00000000-0004-0000-0000-000087080000}"/>
    <hyperlink ref="G2186" r:id="rId2185" xr:uid="{00000000-0004-0000-0000-000088080000}"/>
    <hyperlink ref="G2187" r:id="rId2186" xr:uid="{00000000-0004-0000-0000-000089080000}"/>
    <hyperlink ref="G2188" r:id="rId2187" xr:uid="{00000000-0004-0000-0000-00008A080000}"/>
    <hyperlink ref="G2189" r:id="rId2188" xr:uid="{00000000-0004-0000-0000-00008B080000}"/>
    <hyperlink ref="G2190" r:id="rId2189" xr:uid="{00000000-0004-0000-0000-00008C080000}"/>
    <hyperlink ref="G2191" r:id="rId2190" xr:uid="{00000000-0004-0000-0000-00008D080000}"/>
    <hyperlink ref="G2192" r:id="rId2191" xr:uid="{00000000-0004-0000-0000-00008E080000}"/>
    <hyperlink ref="G2193" r:id="rId2192" xr:uid="{00000000-0004-0000-0000-00008F080000}"/>
    <hyperlink ref="G2194" r:id="rId2193" xr:uid="{00000000-0004-0000-0000-000090080000}"/>
    <hyperlink ref="G2195" r:id="rId2194" xr:uid="{00000000-0004-0000-0000-000091080000}"/>
    <hyperlink ref="G2196" r:id="rId2195" xr:uid="{00000000-0004-0000-0000-000092080000}"/>
    <hyperlink ref="G2197" r:id="rId2196" xr:uid="{00000000-0004-0000-0000-000093080000}"/>
    <hyperlink ref="G2198" r:id="rId2197" xr:uid="{00000000-0004-0000-0000-000094080000}"/>
    <hyperlink ref="G2199" r:id="rId2198" xr:uid="{00000000-0004-0000-0000-000095080000}"/>
    <hyperlink ref="G2200" r:id="rId2199" xr:uid="{00000000-0004-0000-0000-000096080000}"/>
    <hyperlink ref="G2201" r:id="rId2200" xr:uid="{00000000-0004-0000-0000-000097080000}"/>
    <hyperlink ref="G2202" r:id="rId2201" xr:uid="{00000000-0004-0000-0000-000098080000}"/>
    <hyperlink ref="G2203" r:id="rId2202" xr:uid="{00000000-0004-0000-0000-000099080000}"/>
    <hyperlink ref="G2204" r:id="rId2203" xr:uid="{00000000-0004-0000-0000-00009A080000}"/>
    <hyperlink ref="G2205" r:id="rId2204" xr:uid="{00000000-0004-0000-0000-00009B080000}"/>
    <hyperlink ref="G2206" r:id="rId2205" xr:uid="{00000000-0004-0000-0000-00009C080000}"/>
    <hyperlink ref="G2207" r:id="rId2206" xr:uid="{00000000-0004-0000-0000-00009D080000}"/>
    <hyperlink ref="G2208" r:id="rId2207" xr:uid="{00000000-0004-0000-0000-00009E080000}"/>
    <hyperlink ref="G2209" r:id="rId2208" xr:uid="{00000000-0004-0000-0000-00009F080000}"/>
    <hyperlink ref="G2210" r:id="rId2209" xr:uid="{00000000-0004-0000-0000-0000A0080000}"/>
    <hyperlink ref="G2211" r:id="rId2210" xr:uid="{00000000-0004-0000-0000-0000A1080000}"/>
    <hyperlink ref="G2212" r:id="rId2211" xr:uid="{00000000-0004-0000-0000-0000A2080000}"/>
    <hyperlink ref="G2213" r:id="rId2212" xr:uid="{00000000-0004-0000-0000-0000A3080000}"/>
    <hyperlink ref="G2214" r:id="rId2213" xr:uid="{00000000-0004-0000-0000-0000A4080000}"/>
    <hyperlink ref="G2215" r:id="rId2214" xr:uid="{00000000-0004-0000-0000-0000A5080000}"/>
    <hyperlink ref="G2216" r:id="rId2215" xr:uid="{00000000-0004-0000-0000-0000A6080000}"/>
    <hyperlink ref="G2217" r:id="rId2216" xr:uid="{00000000-0004-0000-0000-0000A7080000}"/>
    <hyperlink ref="G2218" r:id="rId2217" xr:uid="{00000000-0004-0000-0000-0000A8080000}"/>
    <hyperlink ref="G2219" r:id="rId2218" xr:uid="{00000000-0004-0000-0000-0000A9080000}"/>
    <hyperlink ref="G2220" r:id="rId2219" xr:uid="{00000000-0004-0000-0000-0000AA080000}"/>
    <hyperlink ref="G2221" r:id="rId2220" xr:uid="{00000000-0004-0000-0000-0000AB080000}"/>
    <hyperlink ref="G2222" r:id="rId2221" xr:uid="{00000000-0004-0000-0000-0000AC080000}"/>
    <hyperlink ref="G2223" r:id="rId2222" xr:uid="{00000000-0004-0000-0000-0000AD080000}"/>
    <hyperlink ref="G2224" r:id="rId2223" xr:uid="{00000000-0004-0000-0000-0000AE080000}"/>
    <hyperlink ref="G2225" r:id="rId2224" xr:uid="{00000000-0004-0000-0000-0000AF080000}"/>
    <hyperlink ref="G2226" r:id="rId2225" xr:uid="{00000000-0004-0000-0000-0000B0080000}"/>
    <hyperlink ref="G2227" r:id="rId2226" xr:uid="{00000000-0004-0000-0000-0000B1080000}"/>
    <hyperlink ref="G2228" r:id="rId2227" xr:uid="{00000000-0004-0000-0000-0000B2080000}"/>
    <hyperlink ref="G2229" r:id="rId2228" xr:uid="{00000000-0004-0000-0000-0000B3080000}"/>
    <hyperlink ref="G2230" r:id="rId2229" xr:uid="{00000000-0004-0000-0000-0000B4080000}"/>
    <hyperlink ref="G2231" r:id="rId2230" xr:uid="{00000000-0004-0000-0000-0000B5080000}"/>
    <hyperlink ref="G2232" r:id="rId2231" xr:uid="{00000000-0004-0000-0000-0000B6080000}"/>
    <hyperlink ref="G2233" r:id="rId2232" xr:uid="{00000000-0004-0000-0000-0000B7080000}"/>
    <hyperlink ref="G2234" r:id="rId2233" xr:uid="{00000000-0004-0000-0000-0000B8080000}"/>
    <hyperlink ref="G2235" r:id="rId2234" xr:uid="{00000000-0004-0000-0000-0000B9080000}"/>
    <hyperlink ref="G2236" r:id="rId2235" xr:uid="{00000000-0004-0000-0000-0000BA080000}"/>
    <hyperlink ref="G2237" r:id="rId2236" xr:uid="{00000000-0004-0000-0000-0000BB080000}"/>
    <hyperlink ref="G2238" r:id="rId2237" xr:uid="{00000000-0004-0000-0000-0000BC080000}"/>
    <hyperlink ref="G2239" r:id="rId2238" xr:uid="{00000000-0004-0000-0000-0000BD080000}"/>
    <hyperlink ref="G2240" r:id="rId2239" xr:uid="{00000000-0004-0000-0000-0000BE080000}"/>
    <hyperlink ref="G2241" r:id="rId2240" xr:uid="{00000000-0004-0000-0000-0000BF080000}"/>
    <hyperlink ref="G2242" r:id="rId2241" xr:uid="{00000000-0004-0000-0000-0000C0080000}"/>
    <hyperlink ref="G2243" r:id="rId2242" xr:uid="{00000000-0004-0000-0000-0000C1080000}"/>
    <hyperlink ref="G2244" r:id="rId2243" xr:uid="{00000000-0004-0000-0000-0000C2080000}"/>
    <hyperlink ref="G2245" r:id="rId2244" xr:uid="{00000000-0004-0000-0000-0000C3080000}"/>
    <hyperlink ref="G2246" r:id="rId2245" xr:uid="{00000000-0004-0000-0000-0000C4080000}"/>
    <hyperlink ref="G2247" r:id="rId2246" xr:uid="{00000000-0004-0000-0000-0000C5080000}"/>
    <hyperlink ref="G2248" r:id="rId2247" xr:uid="{00000000-0004-0000-0000-0000C6080000}"/>
    <hyperlink ref="G2249" r:id="rId2248" xr:uid="{00000000-0004-0000-0000-0000C7080000}"/>
    <hyperlink ref="G2250" r:id="rId2249" xr:uid="{00000000-0004-0000-0000-0000C8080000}"/>
    <hyperlink ref="G2251" r:id="rId2250" xr:uid="{00000000-0004-0000-0000-0000C9080000}"/>
    <hyperlink ref="G2252" r:id="rId2251" xr:uid="{00000000-0004-0000-0000-0000CA080000}"/>
    <hyperlink ref="G2253" r:id="rId2252" xr:uid="{00000000-0004-0000-0000-0000CB080000}"/>
    <hyperlink ref="G2254" r:id="rId2253" xr:uid="{00000000-0004-0000-0000-0000CC080000}"/>
    <hyperlink ref="G2255" r:id="rId2254" xr:uid="{00000000-0004-0000-0000-0000CD080000}"/>
    <hyperlink ref="G2256" r:id="rId2255" xr:uid="{00000000-0004-0000-0000-0000CE080000}"/>
    <hyperlink ref="G2257" r:id="rId2256" xr:uid="{00000000-0004-0000-0000-0000CF080000}"/>
    <hyperlink ref="G2258" r:id="rId2257" xr:uid="{00000000-0004-0000-0000-0000D0080000}"/>
    <hyperlink ref="G2259" r:id="rId2258" xr:uid="{00000000-0004-0000-0000-0000D1080000}"/>
    <hyperlink ref="G2260" r:id="rId2259" xr:uid="{00000000-0004-0000-0000-0000D2080000}"/>
    <hyperlink ref="G2261" r:id="rId2260" xr:uid="{00000000-0004-0000-0000-0000D3080000}"/>
    <hyperlink ref="G2262" r:id="rId2261" xr:uid="{00000000-0004-0000-0000-0000D4080000}"/>
    <hyperlink ref="G2263" r:id="rId2262" xr:uid="{00000000-0004-0000-0000-0000D5080000}"/>
    <hyperlink ref="G2264" r:id="rId2263" xr:uid="{00000000-0004-0000-0000-0000D6080000}"/>
    <hyperlink ref="G2265" r:id="rId2264" xr:uid="{00000000-0004-0000-0000-0000D7080000}"/>
    <hyperlink ref="G2266" r:id="rId2265" xr:uid="{00000000-0004-0000-0000-0000D8080000}"/>
    <hyperlink ref="G2267" r:id="rId2266" xr:uid="{00000000-0004-0000-0000-0000D9080000}"/>
    <hyperlink ref="G2268" r:id="rId2267" xr:uid="{00000000-0004-0000-0000-0000DA080000}"/>
    <hyperlink ref="G2269" r:id="rId2268" xr:uid="{00000000-0004-0000-0000-0000DB080000}"/>
    <hyperlink ref="G2270" r:id="rId2269" xr:uid="{00000000-0004-0000-0000-0000DC080000}"/>
    <hyperlink ref="G2271" r:id="rId2270" xr:uid="{00000000-0004-0000-0000-0000DD080000}"/>
    <hyperlink ref="G2272" r:id="rId2271" xr:uid="{00000000-0004-0000-0000-0000DE080000}"/>
    <hyperlink ref="G2273" r:id="rId2272" xr:uid="{00000000-0004-0000-0000-0000DF080000}"/>
    <hyperlink ref="G2274" r:id="rId2273" xr:uid="{00000000-0004-0000-0000-0000E0080000}"/>
    <hyperlink ref="G2275" r:id="rId2274" xr:uid="{00000000-0004-0000-0000-0000E1080000}"/>
    <hyperlink ref="G2276" r:id="rId2275" xr:uid="{00000000-0004-0000-0000-0000E2080000}"/>
    <hyperlink ref="G2277" r:id="rId2276" xr:uid="{00000000-0004-0000-0000-0000E3080000}"/>
    <hyperlink ref="G2278" r:id="rId2277" xr:uid="{00000000-0004-0000-0000-0000E4080000}"/>
    <hyperlink ref="G2279" r:id="rId2278" xr:uid="{00000000-0004-0000-0000-0000E5080000}"/>
    <hyperlink ref="G2280" r:id="rId2279" xr:uid="{00000000-0004-0000-0000-0000E6080000}"/>
    <hyperlink ref="G2281" r:id="rId2280" xr:uid="{00000000-0004-0000-0000-0000E7080000}"/>
    <hyperlink ref="G2282" r:id="rId2281" xr:uid="{00000000-0004-0000-0000-0000E8080000}"/>
    <hyperlink ref="G2283" r:id="rId2282" xr:uid="{00000000-0004-0000-0000-0000E9080000}"/>
    <hyperlink ref="G2284" r:id="rId2283" xr:uid="{00000000-0004-0000-0000-0000EA080000}"/>
    <hyperlink ref="G2285" r:id="rId2284" xr:uid="{00000000-0004-0000-0000-0000EB080000}"/>
    <hyperlink ref="G2286" r:id="rId2285" xr:uid="{00000000-0004-0000-0000-0000EC080000}"/>
    <hyperlink ref="G2287" r:id="rId2286" xr:uid="{00000000-0004-0000-0000-0000ED080000}"/>
    <hyperlink ref="G2288" r:id="rId2287" xr:uid="{00000000-0004-0000-0000-0000EE080000}"/>
    <hyperlink ref="G2289" r:id="rId2288" xr:uid="{00000000-0004-0000-0000-0000EF080000}"/>
    <hyperlink ref="G2290" r:id="rId2289" xr:uid="{00000000-0004-0000-0000-0000F0080000}"/>
    <hyperlink ref="G2291" r:id="rId2290" xr:uid="{00000000-0004-0000-0000-0000F1080000}"/>
    <hyperlink ref="G2292" r:id="rId2291" xr:uid="{00000000-0004-0000-0000-0000F2080000}"/>
    <hyperlink ref="G2293" r:id="rId2292" xr:uid="{00000000-0004-0000-0000-0000F3080000}"/>
    <hyperlink ref="G2294" r:id="rId2293" xr:uid="{00000000-0004-0000-0000-0000F4080000}"/>
    <hyperlink ref="G2295" r:id="rId2294" xr:uid="{00000000-0004-0000-0000-0000F5080000}"/>
    <hyperlink ref="G2296" r:id="rId2295" xr:uid="{00000000-0004-0000-0000-0000F6080000}"/>
    <hyperlink ref="G2297" r:id="rId2296" xr:uid="{00000000-0004-0000-0000-0000F7080000}"/>
    <hyperlink ref="G2298" r:id="rId2297" xr:uid="{00000000-0004-0000-0000-0000F8080000}"/>
    <hyperlink ref="G2299" r:id="rId2298" xr:uid="{00000000-0004-0000-0000-0000F9080000}"/>
    <hyperlink ref="G2300" r:id="rId2299" xr:uid="{00000000-0004-0000-0000-0000FA080000}"/>
    <hyperlink ref="G2301" r:id="rId2300" xr:uid="{00000000-0004-0000-0000-0000FB080000}"/>
    <hyperlink ref="G2302" r:id="rId2301" xr:uid="{00000000-0004-0000-0000-0000FC080000}"/>
    <hyperlink ref="G2303" r:id="rId2302" xr:uid="{00000000-0004-0000-0000-0000FD080000}"/>
    <hyperlink ref="G2304" r:id="rId2303" xr:uid="{00000000-0004-0000-0000-0000FE080000}"/>
    <hyperlink ref="G2305" r:id="rId2304" xr:uid="{00000000-0004-0000-0000-0000FF080000}"/>
    <hyperlink ref="G2306" r:id="rId2305" xr:uid="{00000000-0004-0000-0000-000000090000}"/>
    <hyperlink ref="G2307" r:id="rId2306" xr:uid="{00000000-0004-0000-0000-000001090000}"/>
    <hyperlink ref="G2308" r:id="rId2307" xr:uid="{00000000-0004-0000-0000-000002090000}"/>
    <hyperlink ref="G2309" r:id="rId2308" xr:uid="{00000000-0004-0000-0000-000003090000}"/>
    <hyperlink ref="G2310" r:id="rId2309" xr:uid="{00000000-0004-0000-0000-000004090000}"/>
    <hyperlink ref="G2311" r:id="rId2310" xr:uid="{00000000-0004-0000-0000-000005090000}"/>
    <hyperlink ref="G2312" r:id="rId2311" xr:uid="{00000000-0004-0000-0000-000006090000}"/>
    <hyperlink ref="G2313" r:id="rId2312" xr:uid="{00000000-0004-0000-0000-000007090000}"/>
    <hyperlink ref="G2314" r:id="rId2313" xr:uid="{00000000-0004-0000-0000-000008090000}"/>
    <hyperlink ref="G2315" r:id="rId2314" xr:uid="{00000000-0004-0000-0000-000009090000}"/>
    <hyperlink ref="G2316" r:id="rId2315" xr:uid="{00000000-0004-0000-0000-00000A090000}"/>
    <hyperlink ref="G2317" r:id="rId2316" xr:uid="{00000000-0004-0000-0000-00000B090000}"/>
    <hyperlink ref="G2318" r:id="rId2317" xr:uid="{00000000-0004-0000-0000-00000C090000}"/>
    <hyperlink ref="G2319" r:id="rId2318" xr:uid="{00000000-0004-0000-0000-00000D090000}"/>
    <hyperlink ref="G2320" r:id="rId2319" xr:uid="{00000000-0004-0000-0000-00000E090000}"/>
    <hyperlink ref="G2321" r:id="rId2320" xr:uid="{00000000-0004-0000-0000-00000F090000}"/>
    <hyperlink ref="G2322" r:id="rId2321" xr:uid="{00000000-0004-0000-0000-000010090000}"/>
    <hyperlink ref="G2323" r:id="rId2322" xr:uid="{00000000-0004-0000-0000-000011090000}"/>
    <hyperlink ref="G2324" r:id="rId2323" xr:uid="{00000000-0004-0000-0000-000012090000}"/>
    <hyperlink ref="G2325" r:id="rId2324" xr:uid="{00000000-0004-0000-0000-000013090000}"/>
    <hyperlink ref="G2326" r:id="rId2325" xr:uid="{00000000-0004-0000-0000-000014090000}"/>
    <hyperlink ref="G2327" r:id="rId2326" xr:uid="{00000000-0004-0000-0000-000015090000}"/>
    <hyperlink ref="G2328" r:id="rId2327" xr:uid="{00000000-0004-0000-0000-000016090000}"/>
    <hyperlink ref="G2329" r:id="rId2328" xr:uid="{00000000-0004-0000-0000-000017090000}"/>
    <hyperlink ref="G2330" r:id="rId2329" xr:uid="{00000000-0004-0000-0000-000018090000}"/>
    <hyperlink ref="G2331" r:id="rId2330" xr:uid="{00000000-0004-0000-0000-000019090000}"/>
    <hyperlink ref="G2332" r:id="rId2331" xr:uid="{00000000-0004-0000-0000-00001A090000}"/>
    <hyperlink ref="G2333" r:id="rId2332" xr:uid="{00000000-0004-0000-0000-00001B090000}"/>
    <hyperlink ref="G2334" r:id="rId2333" xr:uid="{00000000-0004-0000-0000-00001C090000}"/>
    <hyperlink ref="G2335" r:id="rId2334" xr:uid="{00000000-0004-0000-0000-00001D090000}"/>
    <hyperlink ref="G2336" r:id="rId2335" xr:uid="{00000000-0004-0000-0000-00001E090000}"/>
    <hyperlink ref="G2337" r:id="rId2336" xr:uid="{00000000-0004-0000-0000-00001F090000}"/>
    <hyperlink ref="G2338" r:id="rId2337" xr:uid="{00000000-0004-0000-0000-000020090000}"/>
    <hyperlink ref="G2339" r:id="rId2338" xr:uid="{00000000-0004-0000-0000-000021090000}"/>
    <hyperlink ref="G2340" r:id="rId2339" xr:uid="{00000000-0004-0000-0000-000022090000}"/>
    <hyperlink ref="G2341" r:id="rId2340" xr:uid="{00000000-0004-0000-0000-000023090000}"/>
    <hyperlink ref="G2342" r:id="rId2341" xr:uid="{00000000-0004-0000-0000-000024090000}"/>
    <hyperlink ref="G2343" r:id="rId2342" xr:uid="{00000000-0004-0000-0000-000025090000}"/>
    <hyperlink ref="G2344" r:id="rId2343" xr:uid="{00000000-0004-0000-0000-000026090000}"/>
    <hyperlink ref="G2345" r:id="rId2344" xr:uid="{00000000-0004-0000-0000-000027090000}"/>
    <hyperlink ref="G2346" r:id="rId2345" xr:uid="{00000000-0004-0000-0000-000028090000}"/>
    <hyperlink ref="G2347" r:id="rId2346" xr:uid="{00000000-0004-0000-0000-000029090000}"/>
    <hyperlink ref="G2348" r:id="rId2347" xr:uid="{00000000-0004-0000-0000-00002A090000}"/>
    <hyperlink ref="G2349" r:id="rId2348" xr:uid="{00000000-0004-0000-0000-00002B090000}"/>
    <hyperlink ref="G2350" r:id="rId2349" xr:uid="{00000000-0004-0000-0000-00002C090000}"/>
    <hyperlink ref="G2351" r:id="rId2350" xr:uid="{00000000-0004-0000-0000-00002D090000}"/>
    <hyperlink ref="G2352" r:id="rId2351" xr:uid="{00000000-0004-0000-0000-00002E090000}"/>
    <hyperlink ref="G2353" r:id="rId2352" xr:uid="{00000000-0004-0000-0000-00002F090000}"/>
    <hyperlink ref="G2354" r:id="rId2353" xr:uid="{00000000-0004-0000-0000-000030090000}"/>
    <hyperlink ref="G2355" r:id="rId2354" xr:uid="{00000000-0004-0000-0000-000031090000}"/>
    <hyperlink ref="G2356" r:id="rId2355" xr:uid="{00000000-0004-0000-0000-000032090000}"/>
    <hyperlink ref="G2357" r:id="rId2356" xr:uid="{00000000-0004-0000-0000-000033090000}"/>
    <hyperlink ref="G2358" r:id="rId2357" xr:uid="{00000000-0004-0000-0000-000034090000}"/>
    <hyperlink ref="G2359" r:id="rId2358" xr:uid="{00000000-0004-0000-0000-000035090000}"/>
    <hyperlink ref="G2360" r:id="rId2359" xr:uid="{00000000-0004-0000-0000-000036090000}"/>
    <hyperlink ref="G2361" r:id="rId2360" xr:uid="{00000000-0004-0000-0000-000037090000}"/>
    <hyperlink ref="G2362" r:id="rId2361" xr:uid="{00000000-0004-0000-0000-000038090000}"/>
    <hyperlink ref="G2363" r:id="rId2362" xr:uid="{00000000-0004-0000-0000-000039090000}"/>
    <hyperlink ref="G2364" r:id="rId2363" xr:uid="{00000000-0004-0000-0000-00003A090000}"/>
    <hyperlink ref="G2365" r:id="rId2364" xr:uid="{00000000-0004-0000-0000-00003B090000}"/>
    <hyperlink ref="G2366" r:id="rId2365" xr:uid="{00000000-0004-0000-0000-00003C090000}"/>
    <hyperlink ref="G2367" r:id="rId2366" xr:uid="{00000000-0004-0000-0000-00003D090000}"/>
    <hyperlink ref="G2368" r:id="rId2367" xr:uid="{00000000-0004-0000-0000-00003E090000}"/>
    <hyperlink ref="G2369" r:id="rId2368" xr:uid="{00000000-0004-0000-0000-00003F090000}"/>
    <hyperlink ref="G2370" r:id="rId2369" xr:uid="{00000000-0004-0000-0000-000040090000}"/>
    <hyperlink ref="G2371" r:id="rId2370" xr:uid="{00000000-0004-0000-0000-000041090000}"/>
    <hyperlink ref="G2372" r:id="rId2371" xr:uid="{00000000-0004-0000-0000-000042090000}"/>
    <hyperlink ref="G2373" r:id="rId2372" xr:uid="{00000000-0004-0000-0000-000043090000}"/>
    <hyperlink ref="G2374" r:id="rId2373" xr:uid="{00000000-0004-0000-0000-000044090000}"/>
    <hyperlink ref="G2375" r:id="rId2374" xr:uid="{00000000-0004-0000-0000-000045090000}"/>
    <hyperlink ref="G2376" r:id="rId2375" xr:uid="{00000000-0004-0000-0000-000046090000}"/>
    <hyperlink ref="G2377" r:id="rId2376" xr:uid="{00000000-0004-0000-0000-000047090000}"/>
    <hyperlink ref="G2378" r:id="rId2377" xr:uid="{00000000-0004-0000-0000-000048090000}"/>
    <hyperlink ref="G2379" r:id="rId2378" xr:uid="{00000000-0004-0000-0000-000049090000}"/>
    <hyperlink ref="G2380" r:id="rId2379" xr:uid="{00000000-0004-0000-0000-00004A090000}"/>
    <hyperlink ref="G2381" r:id="rId2380" xr:uid="{00000000-0004-0000-0000-00004B090000}"/>
    <hyperlink ref="G2382" r:id="rId2381" xr:uid="{00000000-0004-0000-0000-00004C090000}"/>
    <hyperlink ref="G2383" r:id="rId2382" xr:uid="{00000000-0004-0000-0000-00004D090000}"/>
    <hyperlink ref="G2384" r:id="rId2383" xr:uid="{00000000-0004-0000-0000-00004E090000}"/>
    <hyperlink ref="G2385" r:id="rId2384" xr:uid="{00000000-0004-0000-0000-00004F090000}"/>
    <hyperlink ref="G2386" r:id="rId2385" xr:uid="{00000000-0004-0000-0000-000050090000}"/>
    <hyperlink ref="G2387" r:id="rId2386" xr:uid="{00000000-0004-0000-0000-000051090000}"/>
    <hyperlink ref="G2388" r:id="rId2387" xr:uid="{00000000-0004-0000-0000-000052090000}"/>
    <hyperlink ref="G2389" r:id="rId2388" xr:uid="{00000000-0004-0000-0000-000053090000}"/>
    <hyperlink ref="G2390" r:id="rId2389" xr:uid="{00000000-0004-0000-0000-000054090000}"/>
    <hyperlink ref="G2391" r:id="rId2390" xr:uid="{00000000-0004-0000-0000-000055090000}"/>
    <hyperlink ref="G2392" r:id="rId2391" xr:uid="{00000000-0004-0000-0000-000056090000}"/>
    <hyperlink ref="G2393" r:id="rId2392" xr:uid="{00000000-0004-0000-0000-000057090000}"/>
    <hyperlink ref="G2394" r:id="rId2393" xr:uid="{00000000-0004-0000-0000-000058090000}"/>
    <hyperlink ref="G2395" r:id="rId2394" xr:uid="{00000000-0004-0000-0000-000059090000}"/>
    <hyperlink ref="G2396" r:id="rId2395" xr:uid="{00000000-0004-0000-0000-00005A090000}"/>
    <hyperlink ref="G2397" r:id="rId2396" xr:uid="{00000000-0004-0000-0000-00005B090000}"/>
    <hyperlink ref="G2398" r:id="rId2397" xr:uid="{00000000-0004-0000-0000-00005C090000}"/>
    <hyperlink ref="G2399" r:id="rId2398" xr:uid="{00000000-0004-0000-0000-00005D090000}"/>
    <hyperlink ref="G2400" r:id="rId2399" xr:uid="{00000000-0004-0000-0000-00005E090000}"/>
    <hyperlink ref="G2401" r:id="rId2400" xr:uid="{00000000-0004-0000-0000-00005F090000}"/>
    <hyperlink ref="G2402" r:id="rId2401" xr:uid="{00000000-0004-0000-0000-000060090000}"/>
    <hyperlink ref="G2403" r:id="rId2402" xr:uid="{00000000-0004-0000-0000-000061090000}"/>
    <hyperlink ref="G2404" r:id="rId2403" xr:uid="{00000000-0004-0000-0000-000062090000}"/>
    <hyperlink ref="G2405" r:id="rId2404" xr:uid="{00000000-0004-0000-0000-000063090000}"/>
    <hyperlink ref="G2406" r:id="rId2405" xr:uid="{00000000-0004-0000-0000-000064090000}"/>
    <hyperlink ref="G2407" r:id="rId2406" xr:uid="{00000000-0004-0000-0000-000065090000}"/>
    <hyperlink ref="G2408" r:id="rId2407" xr:uid="{00000000-0004-0000-0000-000066090000}"/>
    <hyperlink ref="G2409" r:id="rId2408" xr:uid="{00000000-0004-0000-0000-000067090000}"/>
    <hyperlink ref="G2410" r:id="rId2409" xr:uid="{00000000-0004-0000-0000-000068090000}"/>
    <hyperlink ref="G2411" r:id="rId2410" xr:uid="{00000000-0004-0000-0000-000069090000}"/>
    <hyperlink ref="G2412" r:id="rId2411" xr:uid="{00000000-0004-0000-0000-00006A090000}"/>
    <hyperlink ref="G2413" r:id="rId2412" xr:uid="{00000000-0004-0000-0000-00006B090000}"/>
    <hyperlink ref="G2414" r:id="rId2413" xr:uid="{00000000-0004-0000-0000-00006C090000}"/>
    <hyperlink ref="G2415" r:id="rId2414" xr:uid="{00000000-0004-0000-0000-00006D090000}"/>
    <hyperlink ref="G2416" r:id="rId2415" xr:uid="{00000000-0004-0000-0000-00006E090000}"/>
    <hyperlink ref="G2417" r:id="rId2416" xr:uid="{00000000-0004-0000-0000-00006F090000}"/>
    <hyperlink ref="G2418" r:id="rId2417" xr:uid="{00000000-0004-0000-0000-000070090000}"/>
    <hyperlink ref="G2419" r:id="rId2418" xr:uid="{00000000-0004-0000-0000-000071090000}"/>
    <hyperlink ref="G2420" r:id="rId2419" xr:uid="{00000000-0004-0000-0000-000072090000}"/>
    <hyperlink ref="G2421" r:id="rId2420" xr:uid="{00000000-0004-0000-0000-000073090000}"/>
    <hyperlink ref="G2422" r:id="rId2421" xr:uid="{00000000-0004-0000-0000-000074090000}"/>
    <hyperlink ref="G2423" r:id="rId2422" xr:uid="{00000000-0004-0000-0000-000075090000}"/>
    <hyperlink ref="G2424" r:id="rId2423" xr:uid="{00000000-0004-0000-0000-000076090000}"/>
    <hyperlink ref="G2425" r:id="rId2424" xr:uid="{00000000-0004-0000-0000-000077090000}"/>
    <hyperlink ref="G2426" r:id="rId2425" xr:uid="{00000000-0004-0000-0000-000078090000}"/>
    <hyperlink ref="G2427" r:id="rId2426" xr:uid="{00000000-0004-0000-0000-000079090000}"/>
    <hyperlink ref="G2428" r:id="rId2427" xr:uid="{00000000-0004-0000-0000-00007A090000}"/>
    <hyperlink ref="G2429" r:id="rId2428" xr:uid="{00000000-0004-0000-0000-00007B090000}"/>
    <hyperlink ref="G2430" r:id="rId2429" xr:uid="{00000000-0004-0000-0000-00007C090000}"/>
    <hyperlink ref="G2431" r:id="rId2430" xr:uid="{00000000-0004-0000-0000-00007D090000}"/>
    <hyperlink ref="G2432" r:id="rId2431" xr:uid="{00000000-0004-0000-0000-00007E090000}"/>
    <hyperlink ref="G2433" r:id="rId2432" xr:uid="{00000000-0004-0000-0000-00007F090000}"/>
    <hyperlink ref="G2434" r:id="rId2433" xr:uid="{00000000-0004-0000-0000-000080090000}"/>
    <hyperlink ref="G2435" r:id="rId2434" xr:uid="{00000000-0004-0000-0000-000081090000}"/>
    <hyperlink ref="G2436" r:id="rId2435" xr:uid="{00000000-0004-0000-0000-000082090000}"/>
    <hyperlink ref="G2437" r:id="rId2436" xr:uid="{00000000-0004-0000-0000-000083090000}"/>
    <hyperlink ref="G2438" r:id="rId2437" xr:uid="{00000000-0004-0000-0000-000084090000}"/>
    <hyperlink ref="G2439" r:id="rId2438" xr:uid="{00000000-0004-0000-0000-000085090000}"/>
    <hyperlink ref="G2440" r:id="rId2439" xr:uid="{00000000-0004-0000-0000-000086090000}"/>
    <hyperlink ref="G2441" r:id="rId2440" xr:uid="{00000000-0004-0000-0000-000087090000}"/>
    <hyperlink ref="G2442" r:id="rId2441" xr:uid="{00000000-0004-0000-0000-000088090000}"/>
    <hyperlink ref="G2443" r:id="rId2442" xr:uid="{00000000-0004-0000-0000-000089090000}"/>
    <hyperlink ref="G2444" r:id="rId2443" xr:uid="{00000000-0004-0000-0000-00008A090000}"/>
    <hyperlink ref="G2445" r:id="rId2444" xr:uid="{00000000-0004-0000-0000-00008B090000}"/>
    <hyperlink ref="G2446" r:id="rId2445" xr:uid="{00000000-0004-0000-0000-00008C090000}"/>
    <hyperlink ref="G2447" r:id="rId2446" xr:uid="{00000000-0004-0000-0000-00008D090000}"/>
    <hyperlink ref="G2448" r:id="rId2447" xr:uid="{00000000-0004-0000-0000-00008E090000}"/>
    <hyperlink ref="G2449" r:id="rId2448" xr:uid="{00000000-0004-0000-0000-00008F090000}"/>
    <hyperlink ref="G2450" r:id="rId2449" xr:uid="{00000000-0004-0000-0000-000090090000}"/>
    <hyperlink ref="G2451" r:id="rId2450" xr:uid="{00000000-0004-0000-0000-000091090000}"/>
    <hyperlink ref="G2452" r:id="rId2451" xr:uid="{00000000-0004-0000-0000-000092090000}"/>
    <hyperlink ref="G2453" r:id="rId2452" xr:uid="{00000000-0004-0000-0000-000093090000}"/>
    <hyperlink ref="G2454" r:id="rId2453" xr:uid="{00000000-0004-0000-0000-000094090000}"/>
    <hyperlink ref="G2455" r:id="rId2454" xr:uid="{00000000-0004-0000-0000-000095090000}"/>
    <hyperlink ref="G2456" r:id="rId2455" xr:uid="{00000000-0004-0000-0000-000096090000}"/>
    <hyperlink ref="G2457" r:id="rId2456" xr:uid="{00000000-0004-0000-0000-000097090000}"/>
    <hyperlink ref="G2458" r:id="rId2457" xr:uid="{00000000-0004-0000-0000-000098090000}"/>
    <hyperlink ref="G2459" r:id="rId2458" xr:uid="{00000000-0004-0000-0000-000099090000}"/>
    <hyperlink ref="G2460" r:id="rId2459" xr:uid="{00000000-0004-0000-0000-00009A090000}"/>
    <hyperlink ref="G2461" r:id="rId2460" xr:uid="{00000000-0004-0000-0000-00009B090000}"/>
    <hyperlink ref="G2462" r:id="rId2461" xr:uid="{00000000-0004-0000-0000-00009C090000}"/>
    <hyperlink ref="G2463" r:id="rId2462" xr:uid="{00000000-0004-0000-0000-00009D090000}"/>
    <hyperlink ref="G2464" r:id="rId2463" xr:uid="{00000000-0004-0000-0000-00009E090000}"/>
    <hyperlink ref="G2465" r:id="rId2464" xr:uid="{00000000-0004-0000-0000-00009F090000}"/>
    <hyperlink ref="G2466" r:id="rId2465" xr:uid="{00000000-0004-0000-0000-0000A0090000}"/>
    <hyperlink ref="G2467" r:id="rId2466" xr:uid="{00000000-0004-0000-0000-0000A1090000}"/>
    <hyperlink ref="G2468" r:id="rId2467" xr:uid="{00000000-0004-0000-0000-0000A2090000}"/>
    <hyperlink ref="G2469" r:id="rId2468" xr:uid="{00000000-0004-0000-0000-0000A3090000}"/>
    <hyperlink ref="G2470" r:id="rId2469" xr:uid="{00000000-0004-0000-0000-0000A4090000}"/>
    <hyperlink ref="G2471" r:id="rId2470" xr:uid="{00000000-0004-0000-0000-0000A5090000}"/>
    <hyperlink ref="G2472" r:id="rId2471" xr:uid="{00000000-0004-0000-0000-0000A6090000}"/>
    <hyperlink ref="G2473" r:id="rId2472" xr:uid="{00000000-0004-0000-0000-0000A7090000}"/>
    <hyperlink ref="G2474" r:id="rId2473" xr:uid="{00000000-0004-0000-0000-0000A8090000}"/>
    <hyperlink ref="G2475" r:id="rId2474" xr:uid="{00000000-0004-0000-0000-0000A9090000}"/>
    <hyperlink ref="G2476" r:id="rId2475" xr:uid="{00000000-0004-0000-0000-0000AA090000}"/>
    <hyperlink ref="G2477" r:id="rId2476" xr:uid="{00000000-0004-0000-0000-0000AB090000}"/>
    <hyperlink ref="G2478" r:id="rId2477" xr:uid="{00000000-0004-0000-0000-0000AC090000}"/>
    <hyperlink ref="G2479" r:id="rId2478" xr:uid="{00000000-0004-0000-0000-0000AD090000}"/>
    <hyperlink ref="G2480" r:id="rId2479" xr:uid="{00000000-0004-0000-0000-0000AE090000}"/>
    <hyperlink ref="G2481" r:id="rId2480" xr:uid="{00000000-0004-0000-0000-0000AF090000}"/>
    <hyperlink ref="G2482" r:id="rId2481" xr:uid="{00000000-0004-0000-0000-0000B0090000}"/>
    <hyperlink ref="G2483" r:id="rId2482" xr:uid="{00000000-0004-0000-0000-0000B1090000}"/>
    <hyperlink ref="G2484" r:id="rId2483" xr:uid="{00000000-0004-0000-0000-0000B2090000}"/>
    <hyperlink ref="G2485" r:id="rId2484" xr:uid="{00000000-0004-0000-0000-0000B3090000}"/>
    <hyperlink ref="G2486" r:id="rId2485" xr:uid="{00000000-0004-0000-0000-0000B4090000}"/>
    <hyperlink ref="G2487" r:id="rId2486" xr:uid="{00000000-0004-0000-0000-0000B5090000}"/>
    <hyperlink ref="G2488" r:id="rId2487" xr:uid="{00000000-0004-0000-0000-0000B6090000}"/>
    <hyperlink ref="G2489" r:id="rId2488" xr:uid="{00000000-0004-0000-0000-0000B7090000}"/>
    <hyperlink ref="G2490" r:id="rId2489" xr:uid="{00000000-0004-0000-0000-0000B8090000}"/>
    <hyperlink ref="G2491" r:id="rId2490" xr:uid="{00000000-0004-0000-0000-0000B9090000}"/>
    <hyperlink ref="G2492" r:id="rId2491" xr:uid="{00000000-0004-0000-0000-0000BA090000}"/>
    <hyperlink ref="G2493" r:id="rId2492" xr:uid="{00000000-0004-0000-0000-0000BB090000}"/>
    <hyperlink ref="G2494" r:id="rId2493" xr:uid="{00000000-0004-0000-0000-0000BC090000}"/>
    <hyperlink ref="G2495" r:id="rId2494" xr:uid="{00000000-0004-0000-0000-0000BD090000}"/>
    <hyperlink ref="G2496" r:id="rId2495" xr:uid="{00000000-0004-0000-0000-0000BE090000}"/>
    <hyperlink ref="G2497" r:id="rId2496" xr:uid="{00000000-0004-0000-0000-0000BF090000}"/>
    <hyperlink ref="G2498" r:id="rId2497" xr:uid="{00000000-0004-0000-0000-0000C0090000}"/>
    <hyperlink ref="G2499" r:id="rId2498" xr:uid="{00000000-0004-0000-0000-0000C1090000}"/>
    <hyperlink ref="G2500" r:id="rId2499" xr:uid="{00000000-0004-0000-0000-0000C2090000}"/>
    <hyperlink ref="G2501" r:id="rId2500" xr:uid="{00000000-0004-0000-0000-0000C3090000}"/>
    <hyperlink ref="G2502" r:id="rId2501" xr:uid="{00000000-0004-0000-0000-0000C4090000}"/>
    <hyperlink ref="G2503" r:id="rId2502" xr:uid="{00000000-0004-0000-0000-0000C5090000}"/>
    <hyperlink ref="G2504" r:id="rId2503" xr:uid="{00000000-0004-0000-0000-0000C6090000}"/>
    <hyperlink ref="G2505" r:id="rId2504" xr:uid="{00000000-0004-0000-0000-0000C7090000}"/>
    <hyperlink ref="G2506" r:id="rId2505" xr:uid="{00000000-0004-0000-0000-0000C8090000}"/>
    <hyperlink ref="G2507" r:id="rId2506" xr:uid="{00000000-0004-0000-0000-0000C9090000}"/>
    <hyperlink ref="G2508" r:id="rId2507" xr:uid="{00000000-0004-0000-0000-0000CA090000}"/>
    <hyperlink ref="G2509" r:id="rId2508" xr:uid="{00000000-0004-0000-0000-0000CB090000}"/>
    <hyperlink ref="G2510" r:id="rId2509" xr:uid="{00000000-0004-0000-0000-0000CC090000}"/>
    <hyperlink ref="G2511" r:id="rId2510" xr:uid="{00000000-0004-0000-0000-0000CD090000}"/>
    <hyperlink ref="G2512" r:id="rId2511" xr:uid="{00000000-0004-0000-0000-0000CE090000}"/>
    <hyperlink ref="G2513" r:id="rId2512" xr:uid="{00000000-0004-0000-0000-0000CF090000}"/>
    <hyperlink ref="G2514" r:id="rId2513" xr:uid="{00000000-0004-0000-0000-0000D0090000}"/>
    <hyperlink ref="G2515" r:id="rId2514" xr:uid="{00000000-0004-0000-0000-0000D1090000}"/>
    <hyperlink ref="G2516" r:id="rId2515" xr:uid="{00000000-0004-0000-0000-0000D2090000}"/>
    <hyperlink ref="G2517" r:id="rId2516" xr:uid="{00000000-0004-0000-0000-0000D3090000}"/>
    <hyperlink ref="G2518" r:id="rId2517" xr:uid="{00000000-0004-0000-0000-0000D4090000}"/>
    <hyperlink ref="G2519" r:id="rId2518" xr:uid="{00000000-0004-0000-0000-0000D5090000}"/>
    <hyperlink ref="G2520" r:id="rId2519" xr:uid="{00000000-0004-0000-0000-0000D6090000}"/>
    <hyperlink ref="G2521" r:id="rId2520" xr:uid="{00000000-0004-0000-0000-0000D7090000}"/>
    <hyperlink ref="G2522" r:id="rId2521" xr:uid="{00000000-0004-0000-0000-0000D8090000}"/>
    <hyperlink ref="G2523" r:id="rId2522" xr:uid="{00000000-0004-0000-0000-0000D9090000}"/>
    <hyperlink ref="G2524" r:id="rId2523" xr:uid="{00000000-0004-0000-0000-0000DA090000}"/>
    <hyperlink ref="G2525" r:id="rId2524" xr:uid="{00000000-0004-0000-0000-0000DB090000}"/>
    <hyperlink ref="G2526" r:id="rId2525" xr:uid="{00000000-0004-0000-0000-0000DC090000}"/>
    <hyperlink ref="G2527" r:id="rId2526" xr:uid="{00000000-0004-0000-0000-0000DD090000}"/>
    <hyperlink ref="G2528" r:id="rId2527" xr:uid="{00000000-0004-0000-0000-0000DE090000}"/>
    <hyperlink ref="G2529" r:id="rId2528" xr:uid="{00000000-0004-0000-0000-0000DF090000}"/>
    <hyperlink ref="G2530" r:id="rId2529" xr:uid="{00000000-0004-0000-0000-0000E0090000}"/>
    <hyperlink ref="G2531" r:id="rId2530" xr:uid="{00000000-0004-0000-0000-0000E1090000}"/>
    <hyperlink ref="G2532" r:id="rId2531" xr:uid="{00000000-0004-0000-0000-0000E2090000}"/>
    <hyperlink ref="G2533" r:id="rId2532" xr:uid="{00000000-0004-0000-0000-0000E3090000}"/>
    <hyperlink ref="G2534" r:id="rId2533" xr:uid="{00000000-0004-0000-0000-0000E4090000}"/>
    <hyperlink ref="G2535" r:id="rId2534" xr:uid="{00000000-0004-0000-0000-0000E5090000}"/>
    <hyperlink ref="G2536" r:id="rId2535" xr:uid="{00000000-0004-0000-0000-0000E6090000}"/>
    <hyperlink ref="G2537" r:id="rId2536" xr:uid="{00000000-0004-0000-0000-0000E7090000}"/>
    <hyperlink ref="G2538" r:id="rId2537" xr:uid="{00000000-0004-0000-0000-0000E8090000}"/>
    <hyperlink ref="G2539" r:id="rId2538" xr:uid="{00000000-0004-0000-0000-0000E9090000}"/>
    <hyperlink ref="G2540" r:id="rId2539" xr:uid="{00000000-0004-0000-0000-0000EA090000}"/>
    <hyperlink ref="G2541" r:id="rId2540" xr:uid="{00000000-0004-0000-0000-0000EB090000}"/>
    <hyperlink ref="G2542" r:id="rId2541" xr:uid="{00000000-0004-0000-0000-0000EC090000}"/>
    <hyperlink ref="G2543" r:id="rId2542" xr:uid="{00000000-0004-0000-0000-0000ED090000}"/>
    <hyperlink ref="G2544" r:id="rId2543" xr:uid="{00000000-0004-0000-0000-0000EE090000}"/>
    <hyperlink ref="G2545" r:id="rId2544" xr:uid="{00000000-0004-0000-0000-0000EF090000}"/>
    <hyperlink ref="G2546" r:id="rId2545" xr:uid="{00000000-0004-0000-0000-0000F0090000}"/>
    <hyperlink ref="G2547" r:id="rId2546" xr:uid="{00000000-0004-0000-0000-0000F1090000}"/>
    <hyperlink ref="G2548" r:id="rId2547" xr:uid="{00000000-0004-0000-0000-0000F2090000}"/>
    <hyperlink ref="G2549" r:id="rId2548" xr:uid="{00000000-0004-0000-0000-0000F3090000}"/>
    <hyperlink ref="G2550" r:id="rId2549" xr:uid="{00000000-0004-0000-0000-0000F4090000}"/>
    <hyperlink ref="G2551" r:id="rId2550" xr:uid="{00000000-0004-0000-0000-0000F5090000}"/>
    <hyperlink ref="G2552" r:id="rId2551" xr:uid="{00000000-0004-0000-0000-0000F6090000}"/>
    <hyperlink ref="G2553" r:id="rId2552" xr:uid="{00000000-0004-0000-0000-0000F7090000}"/>
    <hyperlink ref="G2554" r:id="rId2553" xr:uid="{00000000-0004-0000-0000-0000F8090000}"/>
    <hyperlink ref="G2555" r:id="rId2554" xr:uid="{00000000-0004-0000-0000-0000F9090000}"/>
    <hyperlink ref="G2556" r:id="rId2555" xr:uid="{00000000-0004-0000-0000-0000FA090000}"/>
    <hyperlink ref="G2557" r:id="rId2556" xr:uid="{00000000-0004-0000-0000-0000FB090000}"/>
    <hyperlink ref="G2558" r:id="rId2557" xr:uid="{00000000-0004-0000-0000-0000FC090000}"/>
    <hyperlink ref="G2559" r:id="rId2558" xr:uid="{00000000-0004-0000-0000-0000FD090000}"/>
    <hyperlink ref="G2560" r:id="rId2559" xr:uid="{00000000-0004-0000-0000-0000FE090000}"/>
    <hyperlink ref="G2561" r:id="rId2560" xr:uid="{00000000-0004-0000-0000-0000FF090000}"/>
    <hyperlink ref="G2562" r:id="rId2561" xr:uid="{00000000-0004-0000-0000-0000000A0000}"/>
    <hyperlink ref="G2563" r:id="rId2562" xr:uid="{00000000-0004-0000-0000-0000010A0000}"/>
    <hyperlink ref="G2564" r:id="rId2563" xr:uid="{00000000-0004-0000-0000-0000020A0000}"/>
    <hyperlink ref="G2565" r:id="rId2564" xr:uid="{00000000-0004-0000-0000-0000030A0000}"/>
    <hyperlink ref="G2566" r:id="rId2565" xr:uid="{00000000-0004-0000-0000-0000040A0000}"/>
    <hyperlink ref="G2567" r:id="rId2566" xr:uid="{00000000-0004-0000-0000-0000050A0000}"/>
    <hyperlink ref="G2568" r:id="rId2567" xr:uid="{00000000-0004-0000-0000-0000060A0000}"/>
    <hyperlink ref="G2569" r:id="rId2568" xr:uid="{00000000-0004-0000-0000-0000070A0000}"/>
    <hyperlink ref="G2570" r:id="rId2569" xr:uid="{00000000-0004-0000-0000-0000080A0000}"/>
    <hyperlink ref="G2571" r:id="rId2570" xr:uid="{00000000-0004-0000-0000-0000090A0000}"/>
    <hyperlink ref="G2572" r:id="rId2571" xr:uid="{00000000-0004-0000-0000-00000A0A0000}"/>
    <hyperlink ref="G2573" r:id="rId2572" xr:uid="{00000000-0004-0000-0000-00000B0A0000}"/>
    <hyperlink ref="G2574" r:id="rId2573" xr:uid="{00000000-0004-0000-0000-00000C0A0000}"/>
    <hyperlink ref="G2575" r:id="rId2574" xr:uid="{00000000-0004-0000-0000-00000D0A0000}"/>
    <hyperlink ref="G2576" r:id="rId2575" xr:uid="{00000000-0004-0000-0000-00000E0A0000}"/>
    <hyperlink ref="G2577" r:id="rId2576" xr:uid="{00000000-0004-0000-0000-00000F0A0000}"/>
    <hyperlink ref="G2578" r:id="rId2577" xr:uid="{00000000-0004-0000-0000-0000100A0000}"/>
    <hyperlink ref="G2579" r:id="rId2578" xr:uid="{00000000-0004-0000-0000-0000110A0000}"/>
    <hyperlink ref="G2580" r:id="rId2579" xr:uid="{00000000-0004-0000-0000-0000120A0000}"/>
    <hyperlink ref="G2581" r:id="rId2580" xr:uid="{00000000-0004-0000-0000-0000130A0000}"/>
    <hyperlink ref="G2582" r:id="rId2581" xr:uid="{00000000-0004-0000-0000-0000140A0000}"/>
    <hyperlink ref="G2583" r:id="rId2582" xr:uid="{00000000-0004-0000-0000-0000150A0000}"/>
    <hyperlink ref="G2584" r:id="rId2583" xr:uid="{00000000-0004-0000-0000-0000160A0000}"/>
    <hyperlink ref="G2585" r:id="rId2584" xr:uid="{00000000-0004-0000-0000-0000170A0000}"/>
    <hyperlink ref="G2586" r:id="rId2585" xr:uid="{00000000-0004-0000-0000-0000180A0000}"/>
    <hyperlink ref="G2587" r:id="rId2586" xr:uid="{00000000-0004-0000-0000-0000190A0000}"/>
    <hyperlink ref="G2588" r:id="rId2587" xr:uid="{00000000-0004-0000-0000-00001A0A0000}"/>
    <hyperlink ref="G2589" r:id="rId2588" xr:uid="{00000000-0004-0000-0000-00001B0A0000}"/>
    <hyperlink ref="G2590" r:id="rId2589" xr:uid="{00000000-0004-0000-0000-00001C0A0000}"/>
    <hyperlink ref="G2591" r:id="rId2590" xr:uid="{00000000-0004-0000-0000-00001D0A0000}"/>
    <hyperlink ref="G2592" r:id="rId2591" xr:uid="{00000000-0004-0000-0000-00001E0A0000}"/>
    <hyperlink ref="G2593" r:id="rId2592" xr:uid="{00000000-0004-0000-0000-00001F0A0000}"/>
    <hyperlink ref="G2594" r:id="rId2593" xr:uid="{00000000-0004-0000-0000-0000200A0000}"/>
    <hyperlink ref="G2595" r:id="rId2594" xr:uid="{00000000-0004-0000-0000-0000210A0000}"/>
    <hyperlink ref="G2596" r:id="rId2595" xr:uid="{00000000-0004-0000-0000-0000220A0000}"/>
    <hyperlink ref="G2597" r:id="rId2596" xr:uid="{00000000-0004-0000-0000-0000230A0000}"/>
    <hyperlink ref="G2598" r:id="rId2597" xr:uid="{00000000-0004-0000-0000-0000240A0000}"/>
    <hyperlink ref="G2599" r:id="rId2598" xr:uid="{00000000-0004-0000-0000-0000250A0000}"/>
    <hyperlink ref="G2600" r:id="rId2599" xr:uid="{00000000-0004-0000-0000-0000260A0000}"/>
    <hyperlink ref="G2601" r:id="rId2600" xr:uid="{00000000-0004-0000-0000-0000270A0000}"/>
    <hyperlink ref="G2602" r:id="rId2601" xr:uid="{00000000-0004-0000-0000-0000280A0000}"/>
    <hyperlink ref="G2603" r:id="rId2602" xr:uid="{00000000-0004-0000-0000-0000290A0000}"/>
    <hyperlink ref="G2604" r:id="rId2603" xr:uid="{00000000-0004-0000-0000-00002A0A0000}"/>
    <hyperlink ref="G2605" r:id="rId2604" xr:uid="{00000000-0004-0000-0000-00002B0A0000}"/>
    <hyperlink ref="G2606" r:id="rId2605" xr:uid="{00000000-0004-0000-0000-00002C0A0000}"/>
    <hyperlink ref="G2607" r:id="rId2606" xr:uid="{00000000-0004-0000-0000-00002D0A0000}"/>
    <hyperlink ref="G2608" r:id="rId2607" xr:uid="{00000000-0004-0000-0000-00002E0A0000}"/>
    <hyperlink ref="G2609" r:id="rId2608" xr:uid="{00000000-0004-0000-0000-00002F0A0000}"/>
    <hyperlink ref="G2610" r:id="rId2609" xr:uid="{00000000-0004-0000-0000-0000300A0000}"/>
    <hyperlink ref="G2611" r:id="rId2610" xr:uid="{00000000-0004-0000-0000-0000310A0000}"/>
    <hyperlink ref="G2612" r:id="rId2611" xr:uid="{00000000-0004-0000-0000-0000320A0000}"/>
    <hyperlink ref="G2613" r:id="rId2612" xr:uid="{00000000-0004-0000-0000-0000330A0000}"/>
    <hyperlink ref="G2614" r:id="rId2613" xr:uid="{00000000-0004-0000-0000-0000340A0000}"/>
    <hyperlink ref="G2615" r:id="rId2614" xr:uid="{00000000-0004-0000-0000-0000350A0000}"/>
    <hyperlink ref="G2616" r:id="rId2615" xr:uid="{00000000-0004-0000-0000-0000360A0000}"/>
    <hyperlink ref="G2617" r:id="rId2616" xr:uid="{00000000-0004-0000-0000-0000370A0000}"/>
    <hyperlink ref="G2618" r:id="rId2617" xr:uid="{00000000-0004-0000-0000-0000380A0000}"/>
    <hyperlink ref="G2619" r:id="rId2618" xr:uid="{00000000-0004-0000-0000-0000390A0000}"/>
    <hyperlink ref="G2620" r:id="rId2619" xr:uid="{00000000-0004-0000-0000-00003A0A0000}"/>
    <hyperlink ref="G2621" r:id="rId2620" xr:uid="{00000000-0004-0000-0000-00003B0A0000}"/>
    <hyperlink ref="G2622" r:id="rId2621" xr:uid="{00000000-0004-0000-0000-00003C0A0000}"/>
    <hyperlink ref="G2623" r:id="rId2622" xr:uid="{00000000-0004-0000-0000-00003D0A0000}"/>
    <hyperlink ref="G2624" r:id="rId2623" xr:uid="{00000000-0004-0000-0000-00003E0A0000}"/>
    <hyperlink ref="G2625" r:id="rId2624" xr:uid="{00000000-0004-0000-0000-00003F0A0000}"/>
    <hyperlink ref="G2626" r:id="rId2625" xr:uid="{00000000-0004-0000-0000-0000400A0000}"/>
    <hyperlink ref="G2627" r:id="rId2626" xr:uid="{00000000-0004-0000-0000-0000410A0000}"/>
    <hyperlink ref="G2628" r:id="rId2627" xr:uid="{00000000-0004-0000-0000-0000420A0000}"/>
    <hyperlink ref="G2629" r:id="rId2628" xr:uid="{00000000-0004-0000-0000-0000430A0000}"/>
    <hyperlink ref="G2630" r:id="rId2629" xr:uid="{00000000-0004-0000-0000-0000440A0000}"/>
    <hyperlink ref="G2631" r:id="rId2630" xr:uid="{00000000-0004-0000-0000-0000450A0000}"/>
    <hyperlink ref="G2632" r:id="rId2631" xr:uid="{00000000-0004-0000-0000-0000460A0000}"/>
    <hyperlink ref="G2633" r:id="rId2632" xr:uid="{00000000-0004-0000-0000-0000470A0000}"/>
    <hyperlink ref="G2634" r:id="rId2633" xr:uid="{00000000-0004-0000-0000-0000480A0000}"/>
    <hyperlink ref="G2635" r:id="rId2634" xr:uid="{00000000-0004-0000-0000-0000490A0000}"/>
    <hyperlink ref="G2636" r:id="rId2635" xr:uid="{00000000-0004-0000-0000-00004A0A0000}"/>
    <hyperlink ref="G2637" r:id="rId2636" xr:uid="{00000000-0004-0000-0000-00004B0A0000}"/>
    <hyperlink ref="G2638" r:id="rId2637" xr:uid="{00000000-0004-0000-0000-00004C0A0000}"/>
    <hyperlink ref="G2639" r:id="rId2638" xr:uid="{00000000-0004-0000-0000-00004D0A0000}"/>
    <hyperlink ref="G2640" r:id="rId2639" xr:uid="{00000000-0004-0000-0000-00004E0A0000}"/>
    <hyperlink ref="G2641" r:id="rId2640" xr:uid="{00000000-0004-0000-0000-00004F0A0000}"/>
    <hyperlink ref="G2642" r:id="rId2641" xr:uid="{00000000-0004-0000-0000-0000500A0000}"/>
    <hyperlink ref="G2643" r:id="rId2642" xr:uid="{00000000-0004-0000-0000-0000510A0000}"/>
    <hyperlink ref="G2644" r:id="rId2643" xr:uid="{00000000-0004-0000-0000-0000520A0000}"/>
    <hyperlink ref="G2645" r:id="rId2644" xr:uid="{00000000-0004-0000-0000-0000530A0000}"/>
    <hyperlink ref="G2646" r:id="rId2645" xr:uid="{00000000-0004-0000-0000-0000540A0000}"/>
    <hyperlink ref="G2647" r:id="rId2646" xr:uid="{00000000-0004-0000-0000-0000550A0000}"/>
    <hyperlink ref="G2648" r:id="rId2647" xr:uid="{00000000-0004-0000-0000-0000560A0000}"/>
    <hyperlink ref="G2649" r:id="rId2648" xr:uid="{00000000-0004-0000-0000-0000570A0000}"/>
    <hyperlink ref="G2650" r:id="rId2649" xr:uid="{00000000-0004-0000-0000-0000580A0000}"/>
    <hyperlink ref="G2651" r:id="rId2650" xr:uid="{00000000-0004-0000-0000-0000590A0000}"/>
    <hyperlink ref="G2652" r:id="rId2651" xr:uid="{00000000-0004-0000-0000-00005A0A0000}"/>
    <hyperlink ref="G2653" r:id="rId2652" xr:uid="{00000000-0004-0000-0000-00005B0A0000}"/>
    <hyperlink ref="G2654" r:id="rId2653" xr:uid="{00000000-0004-0000-0000-00005C0A0000}"/>
    <hyperlink ref="G2655" r:id="rId2654" xr:uid="{00000000-0004-0000-0000-00005D0A0000}"/>
    <hyperlink ref="G2656" r:id="rId2655" xr:uid="{00000000-0004-0000-0000-00005E0A0000}"/>
    <hyperlink ref="G2657" r:id="rId2656" xr:uid="{00000000-0004-0000-0000-00005F0A0000}"/>
    <hyperlink ref="G2658" r:id="rId2657" xr:uid="{00000000-0004-0000-0000-0000600A0000}"/>
    <hyperlink ref="G2659" r:id="rId2658" xr:uid="{00000000-0004-0000-0000-0000610A0000}"/>
    <hyperlink ref="G2660" r:id="rId2659" xr:uid="{00000000-0004-0000-0000-0000620A0000}"/>
    <hyperlink ref="G2661" r:id="rId2660" xr:uid="{00000000-0004-0000-0000-0000630A0000}"/>
    <hyperlink ref="G2662" r:id="rId2661" xr:uid="{00000000-0004-0000-0000-0000640A0000}"/>
    <hyperlink ref="G2663" r:id="rId2662" xr:uid="{00000000-0004-0000-0000-0000650A0000}"/>
    <hyperlink ref="G2664" r:id="rId2663" xr:uid="{00000000-0004-0000-0000-0000660A0000}"/>
    <hyperlink ref="G2665" r:id="rId2664" xr:uid="{00000000-0004-0000-0000-0000670A0000}"/>
    <hyperlink ref="G2666" r:id="rId2665" xr:uid="{00000000-0004-0000-0000-0000680A0000}"/>
    <hyperlink ref="G2667" r:id="rId2666" xr:uid="{00000000-0004-0000-0000-0000690A0000}"/>
    <hyperlink ref="G2668" r:id="rId2667" xr:uid="{00000000-0004-0000-0000-00006A0A0000}"/>
    <hyperlink ref="G2669" r:id="rId2668" xr:uid="{00000000-0004-0000-0000-00006B0A0000}"/>
    <hyperlink ref="G2670" r:id="rId2669" xr:uid="{00000000-0004-0000-0000-00006C0A0000}"/>
    <hyperlink ref="G2671" r:id="rId2670" xr:uid="{00000000-0004-0000-0000-00006D0A0000}"/>
    <hyperlink ref="G2672" r:id="rId2671" xr:uid="{00000000-0004-0000-0000-00006E0A0000}"/>
    <hyperlink ref="G2673" r:id="rId2672" xr:uid="{00000000-0004-0000-0000-00006F0A0000}"/>
    <hyperlink ref="G2674" r:id="rId2673" xr:uid="{00000000-0004-0000-0000-0000700A0000}"/>
    <hyperlink ref="G2675" r:id="rId2674" xr:uid="{00000000-0004-0000-0000-0000710A0000}"/>
    <hyperlink ref="G2676" r:id="rId2675" xr:uid="{00000000-0004-0000-0000-0000720A0000}"/>
    <hyperlink ref="G2677" r:id="rId2676" xr:uid="{00000000-0004-0000-0000-0000730A0000}"/>
    <hyperlink ref="G2678" r:id="rId2677" xr:uid="{00000000-0004-0000-0000-0000740A0000}"/>
    <hyperlink ref="G2679" r:id="rId2678" xr:uid="{00000000-0004-0000-0000-0000750A0000}"/>
    <hyperlink ref="G2680" r:id="rId2679" xr:uid="{00000000-0004-0000-0000-0000760A0000}"/>
    <hyperlink ref="G2681" r:id="rId2680" xr:uid="{00000000-0004-0000-0000-0000770A0000}"/>
    <hyperlink ref="G2682" r:id="rId2681" xr:uid="{00000000-0004-0000-0000-0000780A0000}"/>
    <hyperlink ref="G2683" r:id="rId2682" xr:uid="{00000000-0004-0000-0000-0000790A0000}"/>
    <hyperlink ref="G2684" r:id="rId2683" xr:uid="{00000000-0004-0000-0000-00007A0A0000}"/>
    <hyperlink ref="G2685" r:id="rId2684" xr:uid="{00000000-0004-0000-0000-00007B0A0000}"/>
    <hyperlink ref="G2686" r:id="rId2685" xr:uid="{00000000-0004-0000-0000-00007C0A0000}"/>
    <hyperlink ref="G2687" r:id="rId2686" xr:uid="{00000000-0004-0000-0000-00007D0A0000}"/>
    <hyperlink ref="G2688" r:id="rId2687" xr:uid="{00000000-0004-0000-0000-00007E0A0000}"/>
    <hyperlink ref="G2689" r:id="rId2688" xr:uid="{00000000-0004-0000-0000-00007F0A0000}"/>
    <hyperlink ref="G2690" r:id="rId2689" xr:uid="{00000000-0004-0000-0000-0000800A0000}"/>
    <hyperlink ref="G2691" r:id="rId2690" xr:uid="{00000000-0004-0000-0000-0000810A0000}"/>
    <hyperlink ref="G2692" r:id="rId2691" xr:uid="{00000000-0004-0000-0000-0000820A0000}"/>
    <hyperlink ref="G2693" r:id="rId2692" xr:uid="{00000000-0004-0000-0000-0000830A0000}"/>
    <hyperlink ref="G2694" r:id="rId2693" xr:uid="{00000000-0004-0000-0000-0000840A0000}"/>
    <hyperlink ref="G2695" r:id="rId2694" xr:uid="{00000000-0004-0000-0000-0000850A0000}"/>
    <hyperlink ref="G2696" r:id="rId2695" xr:uid="{00000000-0004-0000-0000-0000860A0000}"/>
    <hyperlink ref="G2697" r:id="rId2696" xr:uid="{00000000-0004-0000-0000-0000870A0000}"/>
    <hyperlink ref="G2698" r:id="rId2697" xr:uid="{00000000-0004-0000-0000-0000880A0000}"/>
    <hyperlink ref="G2699" r:id="rId2698" xr:uid="{00000000-0004-0000-0000-0000890A0000}"/>
    <hyperlink ref="G2700" r:id="rId2699" xr:uid="{00000000-0004-0000-0000-00008A0A0000}"/>
    <hyperlink ref="G2701" r:id="rId2700" xr:uid="{00000000-0004-0000-0000-00008B0A0000}"/>
    <hyperlink ref="G2702" r:id="rId2701" xr:uid="{00000000-0004-0000-0000-00008C0A0000}"/>
    <hyperlink ref="G2703" r:id="rId2702" xr:uid="{00000000-0004-0000-0000-00008D0A0000}"/>
    <hyperlink ref="G2704" r:id="rId2703" xr:uid="{00000000-0004-0000-0000-00008E0A0000}"/>
    <hyperlink ref="G2705" r:id="rId2704" xr:uid="{00000000-0004-0000-0000-00008F0A0000}"/>
    <hyperlink ref="G2706" r:id="rId2705" xr:uid="{00000000-0004-0000-0000-0000900A0000}"/>
    <hyperlink ref="G2707" r:id="rId2706" xr:uid="{00000000-0004-0000-0000-0000910A0000}"/>
    <hyperlink ref="G2708" r:id="rId2707" xr:uid="{00000000-0004-0000-0000-0000920A0000}"/>
    <hyperlink ref="G2709" r:id="rId2708" xr:uid="{00000000-0004-0000-0000-0000930A0000}"/>
    <hyperlink ref="G2710" r:id="rId2709" xr:uid="{00000000-0004-0000-0000-0000940A0000}"/>
    <hyperlink ref="G2711" r:id="rId2710" xr:uid="{00000000-0004-0000-0000-0000950A0000}"/>
    <hyperlink ref="G2712" r:id="rId2711" xr:uid="{00000000-0004-0000-0000-0000960A0000}"/>
    <hyperlink ref="G2713" r:id="rId2712" xr:uid="{00000000-0004-0000-0000-0000970A0000}"/>
    <hyperlink ref="G2714" r:id="rId2713" xr:uid="{00000000-0004-0000-0000-0000980A0000}"/>
    <hyperlink ref="G2715" r:id="rId2714" xr:uid="{00000000-0004-0000-0000-0000990A0000}"/>
    <hyperlink ref="G2716" r:id="rId2715" xr:uid="{00000000-0004-0000-0000-00009A0A0000}"/>
    <hyperlink ref="G2717" r:id="rId2716" xr:uid="{00000000-0004-0000-0000-00009B0A0000}"/>
    <hyperlink ref="G2718" r:id="rId2717" xr:uid="{00000000-0004-0000-0000-00009C0A0000}"/>
    <hyperlink ref="G2719" r:id="rId2718" xr:uid="{00000000-0004-0000-0000-00009D0A0000}"/>
    <hyperlink ref="G2720" r:id="rId2719" xr:uid="{00000000-0004-0000-0000-00009E0A0000}"/>
    <hyperlink ref="G2721" r:id="rId2720" xr:uid="{00000000-0004-0000-0000-00009F0A0000}"/>
    <hyperlink ref="G2722" r:id="rId2721" xr:uid="{00000000-0004-0000-0000-0000A00A0000}"/>
    <hyperlink ref="G2723" r:id="rId2722" xr:uid="{00000000-0004-0000-0000-0000A10A0000}"/>
    <hyperlink ref="G2724" r:id="rId2723" xr:uid="{00000000-0004-0000-0000-0000A20A0000}"/>
    <hyperlink ref="G2725" r:id="rId2724" xr:uid="{00000000-0004-0000-0000-0000A30A0000}"/>
    <hyperlink ref="G2726" r:id="rId2725" xr:uid="{00000000-0004-0000-0000-0000A40A0000}"/>
    <hyperlink ref="G2727" r:id="rId2726" xr:uid="{00000000-0004-0000-0000-0000A50A0000}"/>
    <hyperlink ref="G2728" r:id="rId2727" xr:uid="{00000000-0004-0000-0000-0000A60A0000}"/>
    <hyperlink ref="G2729" r:id="rId2728" xr:uid="{00000000-0004-0000-0000-0000A70A0000}"/>
    <hyperlink ref="G2730" r:id="rId2729" xr:uid="{00000000-0004-0000-0000-0000A80A0000}"/>
    <hyperlink ref="G2731" r:id="rId2730" xr:uid="{00000000-0004-0000-0000-0000A90A0000}"/>
    <hyperlink ref="G2732" r:id="rId2731" xr:uid="{00000000-0004-0000-0000-0000AA0A0000}"/>
    <hyperlink ref="G2733" r:id="rId2732" xr:uid="{00000000-0004-0000-0000-0000AB0A0000}"/>
    <hyperlink ref="G2734" r:id="rId2733" xr:uid="{00000000-0004-0000-0000-0000AC0A0000}"/>
    <hyperlink ref="G2735" r:id="rId2734" xr:uid="{00000000-0004-0000-0000-0000AD0A0000}"/>
    <hyperlink ref="G2736" r:id="rId2735" xr:uid="{00000000-0004-0000-0000-0000AE0A0000}"/>
    <hyperlink ref="G2737" r:id="rId2736" xr:uid="{00000000-0004-0000-0000-0000AF0A0000}"/>
    <hyperlink ref="G2738" r:id="rId2737" xr:uid="{00000000-0004-0000-0000-0000B00A0000}"/>
    <hyperlink ref="G2739" r:id="rId2738" xr:uid="{00000000-0004-0000-0000-0000B10A0000}"/>
    <hyperlink ref="G2740" r:id="rId2739" xr:uid="{00000000-0004-0000-0000-0000B20A0000}"/>
    <hyperlink ref="G2741" r:id="rId2740" xr:uid="{00000000-0004-0000-0000-0000B30A0000}"/>
    <hyperlink ref="G2742" r:id="rId2741" xr:uid="{00000000-0004-0000-0000-0000B40A0000}"/>
    <hyperlink ref="G2743" r:id="rId2742" xr:uid="{00000000-0004-0000-0000-0000B50A0000}"/>
    <hyperlink ref="G2744" r:id="rId2743" xr:uid="{00000000-0004-0000-0000-0000B60A0000}"/>
    <hyperlink ref="G2745" r:id="rId2744" xr:uid="{00000000-0004-0000-0000-0000B70A0000}"/>
    <hyperlink ref="G2746" r:id="rId2745" xr:uid="{00000000-0004-0000-0000-0000B80A0000}"/>
    <hyperlink ref="G2747" r:id="rId2746" xr:uid="{00000000-0004-0000-0000-0000B90A0000}"/>
    <hyperlink ref="G2748" r:id="rId2747" xr:uid="{00000000-0004-0000-0000-0000BA0A0000}"/>
    <hyperlink ref="G2749" r:id="rId2748" xr:uid="{00000000-0004-0000-0000-0000BB0A0000}"/>
    <hyperlink ref="G2750" r:id="rId2749" xr:uid="{00000000-0004-0000-0000-0000BC0A0000}"/>
    <hyperlink ref="G2751" r:id="rId2750" xr:uid="{00000000-0004-0000-0000-0000BD0A0000}"/>
    <hyperlink ref="G2752" r:id="rId2751" xr:uid="{00000000-0004-0000-0000-0000BE0A0000}"/>
    <hyperlink ref="G2753" r:id="rId2752" xr:uid="{00000000-0004-0000-0000-0000BF0A0000}"/>
    <hyperlink ref="G2754" r:id="rId2753" xr:uid="{00000000-0004-0000-0000-0000C00A0000}"/>
    <hyperlink ref="G2755" r:id="rId2754" xr:uid="{00000000-0004-0000-0000-0000C10A0000}"/>
    <hyperlink ref="G2756" r:id="rId2755" xr:uid="{00000000-0004-0000-0000-0000C20A0000}"/>
    <hyperlink ref="G2757" r:id="rId2756" xr:uid="{00000000-0004-0000-0000-0000C30A0000}"/>
    <hyperlink ref="G2758" r:id="rId2757" xr:uid="{00000000-0004-0000-0000-0000C40A0000}"/>
    <hyperlink ref="G2759" r:id="rId2758" xr:uid="{00000000-0004-0000-0000-0000C50A0000}"/>
    <hyperlink ref="G2760" r:id="rId2759" xr:uid="{00000000-0004-0000-0000-0000C60A0000}"/>
    <hyperlink ref="G2761" r:id="rId2760" xr:uid="{00000000-0004-0000-0000-0000C70A0000}"/>
    <hyperlink ref="G2762" r:id="rId2761" xr:uid="{00000000-0004-0000-0000-0000C80A0000}"/>
    <hyperlink ref="G2763" r:id="rId2762" xr:uid="{00000000-0004-0000-0000-0000C90A0000}"/>
    <hyperlink ref="G2764" r:id="rId2763" xr:uid="{00000000-0004-0000-0000-0000CA0A0000}"/>
    <hyperlink ref="G2765" r:id="rId2764" xr:uid="{00000000-0004-0000-0000-0000CB0A0000}"/>
    <hyperlink ref="G2766" r:id="rId2765" xr:uid="{00000000-0004-0000-0000-0000CC0A0000}"/>
    <hyperlink ref="G2767" r:id="rId2766" xr:uid="{00000000-0004-0000-0000-0000CD0A0000}"/>
    <hyperlink ref="G2768" r:id="rId2767" xr:uid="{00000000-0004-0000-0000-0000CE0A0000}"/>
    <hyperlink ref="G2769" r:id="rId2768" xr:uid="{00000000-0004-0000-0000-0000CF0A0000}"/>
    <hyperlink ref="G2770" r:id="rId2769" xr:uid="{00000000-0004-0000-0000-0000D00A0000}"/>
    <hyperlink ref="G2771" r:id="rId2770" xr:uid="{00000000-0004-0000-0000-0000D10A0000}"/>
    <hyperlink ref="G2772" r:id="rId2771" xr:uid="{00000000-0004-0000-0000-0000D20A0000}"/>
    <hyperlink ref="G2773" r:id="rId2772" xr:uid="{00000000-0004-0000-0000-0000D30A0000}"/>
    <hyperlink ref="G2774" r:id="rId2773" xr:uid="{00000000-0004-0000-0000-0000D40A0000}"/>
    <hyperlink ref="G2775" r:id="rId2774" xr:uid="{00000000-0004-0000-0000-0000D50A0000}"/>
    <hyperlink ref="G2776" r:id="rId2775" xr:uid="{00000000-0004-0000-0000-0000D60A0000}"/>
    <hyperlink ref="G2777" r:id="rId2776" xr:uid="{00000000-0004-0000-0000-0000D70A0000}"/>
    <hyperlink ref="G2778" r:id="rId2777" xr:uid="{00000000-0004-0000-0000-0000D80A0000}"/>
    <hyperlink ref="G2779" r:id="rId2778" xr:uid="{00000000-0004-0000-0000-0000D90A0000}"/>
    <hyperlink ref="G2780" r:id="rId2779" xr:uid="{00000000-0004-0000-0000-0000DA0A0000}"/>
    <hyperlink ref="G2781" r:id="rId2780" xr:uid="{00000000-0004-0000-0000-0000DB0A0000}"/>
    <hyperlink ref="G2782" r:id="rId2781" xr:uid="{00000000-0004-0000-0000-0000DC0A0000}"/>
    <hyperlink ref="G2783" r:id="rId2782" xr:uid="{00000000-0004-0000-0000-0000DD0A0000}"/>
    <hyperlink ref="G2784" r:id="rId2783" xr:uid="{00000000-0004-0000-0000-0000DE0A0000}"/>
    <hyperlink ref="G2785" r:id="rId2784" xr:uid="{00000000-0004-0000-0000-0000DF0A0000}"/>
    <hyperlink ref="G2786" r:id="rId2785" xr:uid="{00000000-0004-0000-0000-0000E00A0000}"/>
    <hyperlink ref="G2787" r:id="rId2786" xr:uid="{00000000-0004-0000-0000-0000E10A0000}"/>
    <hyperlink ref="G2788" r:id="rId2787" xr:uid="{00000000-0004-0000-0000-0000E20A0000}"/>
    <hyperlink ref="G2789" r:id="rId2788" xr:uid="{00000000-0004-0000-0000-0000E30A0000}"/>
    <hyperlink ref="G2790" r:id="rId2789" xr:uid="{00000000-0004-0000-0000-0000E40A0000}"/>
    <hyperlink ref="G2791" r:id="rId2790" xr:uid="{00000000-0004-0000-0000-0000E50A0000}"/>
    <hyperlink ref="G2792" r:id="rId2791" xr:uid="{00000000-0004-0000-0000-0000E60A0000}"/>
    <hyperlink ref="G2793" r:id="rId2792" xr:uid="{00000000-0004-0000-0000-0000E70A0000}"/>
    <hyperlink ref="G2794" r:id="rId2793" xr:uid="{00000000-0004-0000-0000-0000E80A0000}"/>
    <hyperlink ref="G2795" r:id="rId2794" xr:uid="{00000000-0004-0000-0000-0000E90A0000}"/>
    <hyperlink ref="G2796" r:id="rId2795" xr:uid="{00000000-0004-0000-0000-0000EA0A0000}"/>
    <hyperlink ref="G2797" r:id="rId2796" xr:uid="{00000000-0004-0000-0000-0000EB0A0000}"/>
    <hyperlink ref="G2798" r:id="rId2797" xr:uid="{00000000-0004-0000-0000-0000EC0A0000}"/>
    <hyperlink ref="G2799" r:id="rId2798" xr:uid="{00000000-0004-0000-0000-0000ED0A0000}"/>
    <hyperlink ref="G2800" r:id="rId2799" xr:uid="{00000000-0004-0000-0000-0000EE0A0000}"/>
    <hyperlink ref="G2801" r:id="rId2800" xr:uid="{00000000-0004-0000-0000-0000EF0A0000}"/>
    <hyperlink ref="G2802" r:id="rId2801" xr:uid="{00000000-0004-0000-0000-0000F00A0000}"/>
    <hyperlink ref="G2803" r:id="rId2802" xr:uid="{00000000-0004-0000-0000-0000F10A0000}"/>
    <hyperlink ref="G2804" r:id="rId2803" xr:uid="{00000000-0004-0000-0000-0000F20A0000}"/>
    <hyperlink ref="G2805" r:id="rId2804" xr:uid="{00000000-0004-0000-0000-0000F30A0000}"/>
    <hyperlink ref="G2806" r:id="rId2805" xr:uid="{00000000-0004-0000-0000-0000F40A0000}"/>
    <hyperlink ref="G2807" r:id="rId2806" xr:uid="{00000000-0004-0000-0000-0000F50A0000}"/>
    <hyperlink ref="G2808" r:id="rId2807" xr:uid="{00000000-0004-0000-0000-0000F60A0000}"/>
    <hyperlink ref="G2809" r:id="rId2808" xr:uid="{00000000-0004-0000-0000-0000F70A0000}"/>
    <hyperlink ref="G2810" r:id="rId2809" xr:uid="{00000000-0004-0000-0000-0000F80A0000}"/>
    <hyperlink ref="G2811" r:id="rId2810" xr:uid="{00000000-0004-0000-0000-0000F90A0000}"/>
    <hyperlink ref="G2812" r:id="rId2811" xr:uid="{00000000-0004-0000-0000-0000FA0A0000}"/>
    <hyperlink ref="G2813" r:id="rId2812" xr:uid="{00000000-0004-0000-0000-0000FB0A0000}"/>
    <hyperlink ref="G2814" r:id="rId2813" xr:uid="{00000000-0004-0000-0000-0000FC0A0000}"/>
    <hyperlink ref="G2815" r:id="rId2814" xr:uid="{00000000-0004-0000-0000-0000FD0A0000}"/>
    <hyperlink ref="G2816" r:id="rId2815" xr:uid="{00000000-0004-0000-0000-0000FE0A0000}"/>
    <hyperlink ref="G2817" r:id="rId2816" xr:uid="{00000000-0004-0000-0000-0000FF0A0000}"/>
    <hyperlink ref="G2818" r:id="rId2817" xr:uid="{00000000-0004-0000-0000-0000000B0000}"/>
    <hyperlink ref="G2819" r:id="rId2818" xr:uid="{00000000-0004-0000-0000-0000010B0000}"/>
    <hyperlink ref="G2820" r:id="rId2819" xr:uid="{00000000-0004-0000-0000-0000020B0000}"/>
    <hyperlink ref="G2821" r:id="rId2820" xr:uid="{00000000-0004-0000-0000-0000030B0000}"/>
    <hyperlink ref="G2822" r:id="rId2821" xr:uid="{00000000-0004-0000-0000-0000040B0000}"/>
    <hyperlink ref="G2823" r:id="rId2822" xr:uid="{00000000-0004-0000-0000-0000050B0000}"/>
    <hyperlink ref="G2824" r:id="rId2823" xr:uid="{00000000-0004-0000-0000-0000060B0000}"/>
    <hyperlink ref="G2825" r:id="rId2824" xr:uid="{00000000-0004-0000-0000-0000070B0000}"/>
    <hyperlink ref="G2826" r:id="rId2825" xr:uid="{00000000-0004-0000-0000-0000080B0000}"/>
    <hyperlink ref="G2827" r:id="rId2826" xr:uid="{00000000-0004-0000-0000-0000090B0000}"/>
    <hyperlink ref="G2828" r:id="rId2827" xr:uid="{00000000-0004-0000-0000-00000A0B0000}"/>
    <hyperlink ref="G2829" r:id="rId2828" xr:uid="{00000000-0004-0000-0000-00000B0B0000}"/>
    <hyperlink ref="G2830" r:id="rId2829" xr:uid="{00000000-0004-0000-0000-00000C0B0000}"/>
    <hyperlink ref="G2831" r:id="rId2830" xr:uid="{00000000-0004-0000-0000-00000D0B0000}"/>
    <hyperlink ref="G2832" r:id="rId2831" xr:uid="{00000000-0004-0000-0000-00000E0B0000}"/>
    <hyperlink ref="G2833" r:id="rId2832" xr:uid="{00000000-0004-0000-0000-00000F0B0000}"/>
    <hyperlink ref="G2834" r:id="rId2833" xr:uid="{00000000-0004-0000-0000-0000100B0000}"/>
    <hyperlink ref="G2835" r:id="rId2834" xr:uid="{00000000-0004-0000-0000-0000110B0000}"/>
    <hyperlink ref="G2836" r:id="rId2835" xr:uid="{00000000-0004-0000-0000-0000120B0000}"/>
    <hyperlink ref="G2837" r:id="rId2836" xr:uid="{00000000-0004-0000-0000-0000130B0000}"/>
    <hyperlink ref="G2838" r:id="rId2837" xr:uid="{00000000-0004-0000-0000-0000140B0000}"/>
    <hyperlink ref="G2839" r:id="rId2838" xr:uid="{00000000-0004-0000-0000-0000150B0000}"/>
    <hyperlink ref="G2840" r:id="rId2839" xr:uid="{00000000-0004-0000-0000-0000160B0000}"/>
    <hyperlink ref="G2841" r:id="rId2840" xr:uid="{00000000-0004-0000-0000-0000170B0000}"/>
    <hyperlink ref="G2842" r:id="rId2841" xr:uid="{00000000-0004-0000-0000-0000180B0000}"/>
    <hyperlink ref="G2843" r:id="rId2842" xr:uid="{00000000-0004-0000-0000-0000190B0000}"/>
    <hyperlink ref="G2844" r:id="rId2843" xr:uid="{00000000-0004-0000-0000-00001A0B0000}"/>
    <hyperlink ref="G2845" r:id="rId2844" xr:uid="{00000000-0004-0000-0000-00001B0B0000}"/>
    <hyperlink ref="G2846" r:id="rId2845" xr:uid="{00000000-0004-0000-0000-00001C0B0000}"/>
    <hyperlink ref="G2847" r:id="rId2846" xr:uid="{00000000-0004-0000-0000-00001D0B0000}"/>
    <hyperlink ref="G2848" r:id="rId2847" xr:uid="{00000000-0004-0000-0000-00001E0B0000}"/>
    <hyperlink ref="G2849" r:id="rId2848" xr:uid="{00000000-0004-0000-0000-00001F0B0000}"/>
    <hyperlink ref="G2850" r:id="rId2849" xr:uid="{00000000-0004-0000-0000-0000200B0000}"/>
    <hyperlink ref="G2851" r:id="rId2850" xr:uid="{00000000-0004-0000-0000-0000210B0000}"/>
    <hyperlink ref="G2852" r:id="rId2851" xr:uid="{00000000-0004-0000-0000-0000220B0000}"/>
    <hyperlink ref="G2853" r:id="rId2852" xr:uid="{00000000-0004-0000-0000-0000230B0000}"/>
    <hyperlink ref="G2854" r:id="rId2853" xr:uid="{00000000-0004-0000-0000-0000240B0000}"/>
    <hyperlink ref="G2855" r:id="rId2854" xr:uid="{00000000-0004-0000-0000-0000250B0000}"/>
    <hyperlink ref="G2856" r:id="rId2855" xr:uid="{00000000-0004-0000-0000-0000260B0000}"/>
    <hyperlink ref="G2857" r:id="rId2856" xr:uid="{00000000-0004-0000-0000-0000270B0000}"/>
    <hyperlink ref="G2858" r:id="rId2857" xr:uid="{00000000-0004-0000-0000-0000280B0000}"/>
    <hyperlink ref="G2859" r:id="rId2858" xr:uid="{00000000-0004-0000-0000-0000290B0000}"/>
    <hyperlink ref="G2860" r:id="rId2859" xr:uid="{00000000-0004-0000-0000-00002A0B0000}"/>
    <hyperlink ref="G2861" r:id="rId2860" xr:uid="{00000000-0004-0000-0000-00002B0B0000}"/>
    <hyperlink ref="G2862" r:id="rId2861" xr:uid="{00000000-0004-0000-0000-00002C0B0000}"/>
    <hyperlink ref="G2863" r:id="rId2862" xr:uid="{00000000-0004-0000-0000-00002D0B0000}"/>
    <hyperlink ref="G2864" r:id="rId2863" xr:uid="{00000000-0004-0000-0000-00002E0B0000}"/>
    <hyperlink ref="G2865" r:id="rId2864" xr:uid="{00000000-0004-0000-0000-00002F0B0000}"/>
    <hyperlink ref="G2866" r:id="rId2865" xr:uid="{00000000-0004-0000-0000-0000300B0000}"/>
    <hyperlink ref="G2867" r:id="rId2866" xr:uid="{00000000-0004-0000-0000-0000310B0000}"/>
    <hyperlink ref="G2868" r:id="rId2867" xr:uid="{00000000-0004-0000-0000-0000320B0000}"/>
    <hyperlink ref="G2869" r:id="rId2868" xr:uid="{00000000-0004-0000-0000-0000330B0000}"/>
    <hyperlink ref="G2870" r:id="rId2869" xr:uid="{00000000-0004-0000-0000-0000340B0000}"/>
    <hyperlink ref="G2871" r:id="rId2870" xr:uid="{00000000-0004-0000-0000-0000350B0000}"/>
    <hyperlink ref="G2872" r:id="rId2871" xr:uid="{00000000-0004-0000-0000-0000360B0000}"/>
    <hyperlink ref="G2873" r:id="rId2872" xr:uid="{00000000-0004-0000-0000-0000370B0000}"/>
    <hyperlink ref="G2874" r:id="rId2873" xr:uid="{00000000-0004-0000-0000-0000380B0000}"/>
    <hyperlink ref="G2875" r:id="rId2874" xr:uid="{00000000-0004-0000-0000-0000390B0000}"/>
    <hyperlink ref="G2876" r:id="rId2875" xr:uid="{00000000-0004-0000-0000-00003A0B0000}"/>
    <hyperlink ref="G2877" r:id="rId2876" xr:uid="{00000000-0004-0000-0000-00003B0B0000}"/>
    <hyperlink ref="G2878" r:id="rId2877" xr:uid="{00000000-0004-0000-0000-00003C0B0000}"/>
    <hyperlink ref="G2879" r:id="rId2878" xr:uid="{00000000-0004-0000-0000-00003D0B0000}"/>
    <hyperlink ref="G2880" r:id="rId2879" xr:uid="{00000000-0004-0000-0000-00003E0B0000}"/>
    <hyperlink ref="G2881" r:id="rId2880" xr:uid="{00000000-0004-0000-0000-00003F0B0000}"/>
    <hyperlink ref="G2882" r:id="rId2881" xr:uid="{00000000-0004-0000-0000-0000400B0000}"/>
    <hyperlink ref="G2883" r:id="rId2882" xr:uid="{00000000-0004-0000-0000-0000410B0000}"/>
    <hyperlink ref="G2884" r:id="rId2883" xr:uid="{00000000-0004-0000-0000-0000420B0000}"/>
    <hyperlink ref="G2885" r:id="rId2884" xr:uid="{00000000-0004-0000-0000-0000430B0000}"/>
    <hyperlink ref="G2886" r:id="rId2885" xr:uid="{00000000-0004-0000-0000-0000440B0000}"/>
    <hyperlink ref="G2887" r:id="rId2886" xr:uid="{00000000-0004-0000-0000-0000450B0000}"/>
    <hyperlink ref="G2888" r:id="rId2887" xr:uid="{00000000-0004-0000-0000-0000460B0000}"/>
    <hyperlink ref="G2889" r:id="rId2888" xr:uid="{00000000-0004-0000-0000-0000470B0000}"/>
    <hyperlink ref="G2890" r:id="rId2889" xr:uid="{00000000-0004-0000-0000-0000480B0000}"/>
    <hyperlink ref="G2891" r:id="rId2890" xr:uid="{00000000-0004-0000-0000-0000490B0000}"/>
    <hyperlink ref="G2892" r:id="rId2891" xr:uid="{00000000-0004-0000-0000-00004A0B0000}"/>
    <hyperlink ref="G2893" r:id="rId2892" xr:uid="{00000000-0004-0000-0000-00004B0B0000}"/>
    <hyperlink ref="G2894" r:id="rId2893" xr:uid="{00000000-0004-0000-0000-00004C0B0000}"/>
    <hyperlink ref="G2895" r:id="rId2894" xr:uid="{00000000-0004-0000-0000-00004D0B0000}"/>
    <hyperlink ref="G2896" r:id="rId2895" xr:uid="{00000000-0004-0000-0000-00004E0B0000}"/>
    <hyperlink ref="G2897" r:id="rId2896" xr:uid="{00000000-0004-0000-0000-00004F0B0000}"/>
    <hyperlink ref="G2898" r:id="rId2897" xr:uid="{00000000-0004-0000-0000-0000500B0000}"/>
    <hyperlink ref="G2899" r:id="rId2898" xr:uid="{00000000-0004-0000-0000-0000510B0000}"/>
    <hyperlink ref="G2900" r:id="rId2899" xr:uid="{00000000-0004-0000-0000-0000520B0000}"/>
    <hyperlink ref="G2901" r:id="rId2900" xr:uid="{00000000-0004-0000-0000-0000530B0000}"/>
    <hyperlink ref="G2902" r:id="rId2901" xr:uid="{00000000-0004-0000-0000-0000540B0000}"/>
    <hyperlink ref="G2903" r:id="rId2902" xr:uid="{00000000-0004-0000-0000-0000550B0000}"/>
    <hyperlink ref="G2904" r:id="rId2903" xr:uid="{00000000-0004-0000-0000-0000560B0000}"/>
    <hyperlink ref="G2905" r:id="rId2904" xr:uid="{00000000-0004-0000-0000-0000570B0000}"/>
    <hyperlink ref="G2906" r:id="rId2905" xr:uid="{00000000-0004-0000-0000-0000580B0000}"/>
    <hyperlink ref="G2907" r:id="rId2906" xr:uid="{00000000-0004-0000-0000-0000590B0000}"/>
    <hyperlink ref="G2908" r:id="rId2907" xr:uid="{00000000-0004-0000-0000-00005A0B0000}"/>
    <hyperlink ref="G2909" r:id="rId2908" xr:uid="{00000000-0004-0000-0000-00005B0B0000}"/>
    <hyperlink ref="G2910" r:id="rId2909" xr:uid="{00000000-0004-0000-0000-00005C0B0000}"/>
    <hyperlink ref="G2911" r:id="rId2910" xr:uid="{00000000-0004-0000-0000-00005D0B0000}"/>
    <hyperlink ref="G2912" r:id="rId2911" xr:uid="{00000000-0004-0000-0000-00005E0B0000}"/>
    <hyperlink ref="G2913" r:id="rId2912" xr:uid="{00000000-0004-0000-0000-00005F0B0000}"/>
    <hyperlink ref="G2914" r:id="rId2913" xr:uid="{00000000-0004-0000-0000-0000600B0000}"/>
    <hyperlink ref="G2915" r:id="rId2914" xr:uid="{00000000-0004-0000-0000-0000610B0000}"/>
    <hyperlink ref="G2916" r:id="rId2915" xr:uid="{00000000-0004-0000-0000-0000620B0000}"/>
    <hyperlink ref="G2917" r:id="rId2916" xr:uid="{00000000-0004-0000-0000-0000630B0000}"/>
    <hyperlink ref="G2918" r:id="rId2917" xr:uid="{00000000-0004-0000-0000-0000640B0000}"/>
    <hyperlink ref="G2919" r:id="rId2918" xr:uid="{00000000-0004-0000-0000-0000650B0000}"/>
    <hyperlink ref="G2920" r:id="rId2919" xr:uid="{00000000-0004-0000-0000-0000660B0000}"/>
    <hyperlink ref="G2921" r:id="rId2920" xr:uid="{00000000-0004-0000-0000-0000670B0000}"/>
    <hyperlink ref="G2922" r:id="rId2921" xr:uid="{00000000-0004-0000-0000-0000680B0000}"/>
    <hyperlink ref="G2923" r:id="rId2922" xr:uid="{00000000-0004-0000-0000-0000690B0000}"/>
    <hyperlink ref="G2924" r:id="rId2923" xr:uid="{00000000-0004-0000-0000-00006A0B0000}"/>
    <hyperlink ref="G2925" r:id="rId2924" xr:uid="{00000000-0004-0000-0000-00006B0B0000}"/>
    <hyperlink ref="G2926" r:id="rId2925" xr:uid="{00000000-0004-0000-0000-00006C0B0000}"/>
    <hyperlink ref="G2927" r:id="rId2926" xr:uid="{00000000-0004-0000-0000-00006D0B0000}"/>
    <hyperlink ref="G2928" r:id="rId2927" xr:uid="{00000000-0004-0000-0000-00006E0B0000}"/>
    <hyperlink ref="G2929" r:id="rId2928" xr:uid="{00000000-0004-0000-0000-00006F0B0000}"/>
    <hyperlink ref="G2930" r:id="rId2929" xr:uid="{00000000-0004-0000-0000-0000700B0000}"/>
    <hyperlink ref="G2931" r:id="rId2930" xr:uid="{00000000-0004-0000-0000-0000710B0000}"/>
    <hyperlink ref="G2932" r:id="rId2931" xr:uid="{00000000-0004-0000-0000-0000720B0000}"/>
    <hyperlink ref="G2933" r:id="rId2932" xr:uid="{00000000-0004-0000-0000-0000730B0000}"/>
    <hyperlink ref="G2934" r:id="rId2933" xr:uid="{00000000-0004-0000-0000-0000740B0000}"/>
    <hyperlink ref="G2935" r:id="rId2934" xr:uid="{00000000-0004-0000-0000-0000750B0000}"/>
    <hyperlink ref="G2936" r:id="rId2935" xr:uid="{00000000-0004-0000-0000-0000760B0000}"/>
    <hyperlink ref="G2937" r:id="rId2936" xr:uid="{00000000-0004-0000-0000-0000770B0000}"/>
    <hyperlink ref="G2938" r:id="rId2937" xr:uid="{00000000-0004-0000-0000-0000780B0000}"/>
    <hyperlink ref="G2939" r:id="rId2938" xr:uid="{00000000-0004-0000-0000-0000790B0000}"/>
    <hyperlink ref="G2940" r:id="rId2939" xr:uid="{00000000-0004-0000-0000-00007A0B0000}"/>
    <hyperlink ref="G2941" r:id="rId2940" xr:uid="{00000000-0004-0000-0000-00007B0B0000}"/>
    <hyperlink ref="G2942" r:id="rId2941" xr:uid="{00000000-0004-0000-0000-00007C0B0000}"/>
    <hyperlink ref="G2943" r:id="rId2942" xr:uid="{00000000-0004-0000-0000-00007D0B0000}"/>
    <hyperlink ref="G2944" r:id="rId2943" xr:uid="{00000000-0004-0000-0000-00007E0B0000}"/>
    <hyperlink ref="G2945" r:id="rId2944" xr:uid="{00000000-0004-0000-0000-00007F0B0000}"/>
    <hyperlink ref="G2946" r:id="rId2945" xr:uid="{00000000-0004-0000-0000-0000800B0000}"/>
    <hyperlink ref="G2947" r:id="rId2946" xr:uid="{00000000-0004-0000-0000-0000810B0000}"/>
    <hyperlink ref="G2948" r:id="rId2947" xr:uid="{00000000-0004-0000-0000-0000820B0000}"/>
    <hyperlink ref="G2949" r:id="rId2948" xr:uid="{00000000-0004-0000-0000-0000830B0000}"/>
    <hyperlink ref="G2950" r:id="rId2949" xr:uid="{00000000-0004-0000-0000-0000840B0000}"/>
    <hyperlink ref="G2951" r:id="rId2950" xr:uid="{00000000-0004-0000-0000-0000850B0000}"/>
    <hyperlink ref="G2952" r:id="rId2951" xr:uid="{00000000-0004-0000-0000-0000860B0000}"/>
    <hyperlink ref="G2953" r:id="rId2952" xr:uid="{00000000-0004-0000-0000-0000870B0000}"/>
    <hyperlink ref="G2954" r:id="rId2953" xr:uid="{00000000-0004-0000-0000-0000880B0000}"/>
    <hyperlink ref="G2955" r:id="rId2954" xr:uid="{00000000-0004-0000-0000-0000890B0000}"/>
    <hyperlink ref="G2956" r:id="rId2955" xr:uid="{00000000-0004-0000-0000-00008A0B0000}"/>
    <hyperlink ref="G2957" r:id="rId2956" xr:uid="{00000000-0004-0000-0000-00008B0B0000}"/>
    <hyperlink ref="G2958" r:id="rId2957" xr:uid="{00000000-0004-0000-0000-00008C0B0000}"/>
    <hyperlink ref="G2959" r:id="rId2958" xr:uid="{00000000-0004-0000-0000-00008D0B0000}"/>
    <hyperlink ref="G2960" r:id="rId2959" xr:uid="{00000000-0004-0000-0000-00008E0B0000}"/>
    <hyperlink ref="G2961" r:id="rId2960" xr:uid="{00000000-0004-0000-0000-00008F0B0000}"/>
    <hyperlink ref="G2962" r:id="rId2961" xr:uid="{00000000-0004-0000-0000-0000900B0000}"/>
    <hyperlink ref="G2963" r:id="rId2962" xr:uid="{00000000-0004-0000-0000-0000910B0000}"/>
    <hyperlink ref="G2964" r:id="rId2963" xr:uid="{00000000-0004-0000-0000-0000920B0000}"/>
    <hyperlink ref="G2965" r:id="rId2964" xr:uid="{00000000-0004-0000-0000-0000930B0000}"/>
    <hyperlink ref="G2966" r:id="rId2965" xr:uid="{00000000-0004-0000-0000-0000940B0000}"/>
    <hyperlink ref="G2967" r:id="rId2966" xr:uid="{00000000-0004-0000-0000-0000950B0000}"/>
    <hyperlink ref="G2968" r:id="rId2967" xr:uid="{00000000-0004-0000-0000-0000960B0000}"/>
    <hyperlink ref="G2969" r:id="rId2968" xr:uid="{00000000-0004-0000-0000-0000970B0000}"/>
    <hyperlink ref="G2970" r:id="rId2969" xr:uid="{00000000-0004-0000-0000-0000980B0000}"/>
    <hyperlink ref="G2971" r:id="rId2970" xr:uid="{00000000-0004-0000-0000-0000990B0000}"/>
    <hyperlink ref="G2972" r:id="rId2971" xr:uid="{00000000-0004-0000-0000-00009A0B0000}"/>
    <hyperlink ref="G2973" r:id="rId2972" xr:uid="{00000000-0004-0000-0000-00009B0B0000}"/>
    <hyperlink ref="G2974" r:id="rId2973" xr:uid="{00000000-0004-0000-0000-00009C0B0000}"/>
    <hyperlink ref="G2975" r:id="rId2974" xr:uid="{00000000-0004-0000-0000-00009D0B0000}"/>
    <hyperlink ref="G2976" r:id="rId2975" xr:uid="{00000000-0004-0000-0000-00009E0B0000}"/>
    <hyperlink ref="G2977" r:id="rId2976" xr:uid="{00000000-0004-0000-0000-00009F0B0000}"/>
    <hyperlink ref="G2978" r:id="rId2977" xr:uid="{00000000-0004-0000-0000-0000A00B0000}"/>
    <hyperlink ref="G2979" r:id="rId2978" xr:uid="{00000000-0004-0000-0000-0000A10B0000}"/>
    <hyperlink ref="G2980" r:id="rId2979" xr:uid="{00000000-0004-0000-0000-0000A20B0000}"/>
    <hyperlink ref="G2981" r:id="rId2980" xr:uid="{00000000-0004-0000-0000-0000A30B0000}"/>
    <hyperlink ref="G2982" r:id="rId2981" xr:uid="{00000000-0004-0000-0000-0000A40B0000}"/>
    <hyperlink ref="G2983" r:id="rId2982" xr:uid="{00000000-0004-0000-0000-0000A50B0000}"/>
    <hyperlink ref="G2984" r:id="rId2983" xr:uid="{00000000-0004-0000-0000-0000A60B0000}"/>
    <hyperlink ref="G2985" r:id="rId2984" xr:uid="{00000000-0004-0000-0000-0000A70B0000}"/>
    <hyperlink ref="G2986" r:id="rId2985" xr:uid="{00000000-0004-0000-0000-0000A80B0000}"/>
    <hyperlink ref="G2987" r:id="rId2986" xr:uid="{00000000-0004-0000-0000-0000A90B0000}"/>
    <hyperlink ref="G2988" r:id="rId2987" xr:uid="{00000000-0004-0000-0000-0000AA0B0000}"/>
    <hyperlink ref="G2989" r:id="rId2988" xr:uid="{00000000-0004-0000-0000-0000AB0B0000}"/>
    <hyperlink ref="G2990" r:id="rId2989" xr:uid="{00000000-0004-0000-0000-0000AC0B0000}"/>
    <hyperlink ref="G2991" r:id="rId2990" xr:uid="{00000000-0004-0000-0000-0000AD0B0000}"/>
    <hyperlink ref="G2992" r:id="rId2991" xr:uid="{00000000-0004-0000-0000-0000AE0B0000}"/>
    <hyperlink ref="G2993" r:id="rId2992" xr:uid="{00000000-0004-0000-0000-0000AF0B0000}"/>
    <hyperlink ref="G2994" r:id="rId2993" xr:uid="{00000000-0004-0000-0000-0000B00B0000}"/>
    <hyperlink ref="G2995" r:id="rId2994" xr:uid="{00000000-0004-0000-0000-0000B10B0000}"/>
    <hyperlink ref="G2996" r:id="rId2995" xr:uid="{00000000-0004-0000-0000-0000B20B0000}"/>
    <hyperlink ref="G2997" r:id="rId2996" xr:uid="{00000000-0004-0000-0000-0000B30B0000}"/>
    <hyperlink ref="G2998" r:id="rId2997" xr:uid="{00000000-0004-0000-0000-0000B40B0000}"/>
    <hyperlink ref="G2999" r:id="rId2998" xr:uid="{00000000-0004-0000-0000-0000B50B0000}"/>
    <hyperlink ref="G3000" r:id="rId2999" xr:uid="{00000000-0004-0000-0000-0000B60B0000}"/>
    <hyperlink ref="G3001" r:id="rId3000" xr:uid="{00000000-0004-0000-0000-0000B70B0000}"/>
    <hyperlink ref="G3002" r:id="rId3001" xr:uid="{00000000-0004-0000-0000-0000B80B0000}"/>
    <hyperlink ref="G3003" r:id="rId3002" xr:uid="{00000000-0004-0000-0000-0000B90B0000}"/>
    <hyperlink ref="G3004" r:id="rId3003" xr:uid="{00000000-0004-0000-0000-0000BA0B0000}"/>
    <hyperlink ref="G3005" r:id="rId3004" xr:uid="{00000000-0004-0000-0000-0000BB0B0000}"/>
    <hyperlink ref="G3006" r:id="rId3005" xr:uid="{00000000-0004-0000-0000-0000BC0B0000}"/>
    <hyperlink ref="G3007" r:id="rId3006" xr:uid="{00000000-0004-0000-0000-0000BD0B0000}"/>
    <hyperlink ref="G3008" r:id="rId3007" xr:uid="{00000000-0004-0000-0000-0000BE0B0000}"/>
    <hyperlink ref="G3009" r:id="rId3008" xr:uid="{00000000-0004-0000-0000-0000BF0B0000}"/>
    <hyperlink ref="G3010" r:id="rId3009" xr:uid="{00000000-0004-0000-0000-0000C00B0000}"/>
    <hyperlink ref="G3011" r:id="rId3010" xr:uid="{00000000-0004-0000-0000-0000C10B0000}"/>
    <hyperlink ref="G3012" r:id="rId3011" xr:uid="{00000000-0004-0000-0000-0000C20B0000}"/>
    <hyperlink ref="G3013" r:id="rId3012" xr:uid="{00000000-0004-0000-0000-0000C30B0000}"/>
    <hyperlink ref="G3014" r:id="rId3013" xr:uid="{00000000-0004-0000-0000-0000C40B0000}"/>
    <hyperlink ref="G3015" r:id="rId3014" xr:uid="{00000000-0004-0000-0000-0000C50B0000}"/>
    <hyperlink ref="G3016" r:id="rId3015" xr:uid="{00000000-0004-0000-0000-0000C60B0000}"/>
    <hyperlink ref="G3017" r:id="rId3016" xr:uid="{00000000-0004-0000-0000-0000C70B0000}"/>
    <hyperlink ref="G3018" r:id="rId3017" xr:uid="{00000000-0004-0000-0000-0000C80B0000}"/>
    <hyperlink ref="G3019" r:id="rId3018" xr:uid="{00000000-0004-0000-0000-0000C90B0000}"/>
    <hyperlink ref="G3020" r:id="rId3019" xr:uid="{00000000-0004-0000-0000-0000CA0B0000}"/>
    <hyperlink ref="G3021" r:id="rId3020" xr:uid="{00000000-0004-0000-0000-0000CB0B0000}"/>
    <hyperlink ref="G3022" r:id="rId3021" xr:uid="{00000000-0004-0000-0000-0000CC0B0000}"/>
    <hyperlink ref="G3023" r:id="rId3022" xr:uid="{00000000-0004-0000-0000-0000CD0B0000}"/>
    <hyperlink ref="G3024" r:id="rId3023" xr:uid="{00000000-0004-0000-0000-0000CE0B0000}"/>
    <hyperlink ref="G3025" r:id="rId3024" xr:uid="{00000000-0004-0000-0000-0000CF0B0000}"/>
    <hyperlink ref="G3026" r:id="rId3025" xr:uid="{00000000-0004-0000-0000-0000D00B0000}"/>
    <hyperlink ref="G3027" r:id="rId3026" xr:uid="{00000000-0004-0000-0000-0000D10B0000}"/>
    <hyperlink ref="G3028" r:id="rId3027" xr:uid="{00000000-0004-0000-0000-0000D20B0000}"/>
    <hyperlink ref="G3029" r:id="rId3028" xr:uid="{00000000-0004-0000-0000-0000D30B0000}"/>
    <hyperlink ref="G3030" r:id="rId3029" xr:uid="{00000000-0004-0000-0000-0000D40B0000}"/>
    <hyperlink ref="G3031" r:id="rId3030" xr:uid="{00000000-0004-0000-0000-0000D50B0000}"/>
    <hyperlink ref="G3032" r:id="rId3031" xr:uid="{00000000-0004-0000-0000-0000D60B0000}"/>
    <hyperlink ref="G3033" r:id="rId3032" xr:uid="{00000000-0004-0000-0000-0000D70B0000}"/>
    <hyperlink ref="G3034" r:id="rId3033" xr:uid="{00000000-0004-0000-0000-0000D80B0000}"/>
    <hyperlink ref="G3035" r:id="rId3034" xr:uid="{00000000-0004-0000-0000-0000D90B0000}"/>
    <hyperlink ref="G3036" r:id="rId3035" xr:uid="{00000000-0004-0000-0000-0000DA0B0000}"/>
    <hyperlink ref="G3037" r:id="rId3036" xr:uid="{00000000-0004-0000-0000-0000DB0B0000}"/>
    <hyperlink ref="G3038" r:id="rId3037" xr:uid="{00000000-0004-0000-0000-0000DC0B0000}"/>
    <hyperlink ref="G3039" r:id="rId3038" xr:uid="{00000000-0004-0000-0000-0000DD0B0000}"/>
    <hyperlink ref="G3040" r:id="rId3039" xr:uid="{00000000-0004-0000-0000-0000DE0B0000}"/>
    <hyperlink ref="G3041" r:id="rId3040" xr:uid="{00000000-0004-0000-0000-0000DF0B0000}"/>
    <hyperlink ref="G3042" r:id="rId3041" xr:uid="{00000000-0004-0000-0000-0000E00B0000}"/>
    <hyperlink ref="G3043" r:id="rId3042" xr:uid="{00000000-0004-0000-0000-0000E10B0000}"/>
    <hyperlink ref="G3044" r:id="rId3043" xr:uid="{00000000-0004-0000-0000-0000E20B0000}"/>
    <hyperlink ref="G3045" r:id="rId3044" xr:uid="{00000000-0004-0000-0000-0000E30B0000}"/>
    <hyperlink ref="G3046" r:id="rId3045" xr:uid="{00000000-0004-0000-0000-0000E40B0000}"/>
    <hyperlink ref="G3047" r:id="rId3046" xr:uid="{00000000-0004-0000-0000-0000E50B0000}"/>
    <hyperlink ref="G3048" r:id="rId3047" xr:uid="{00000000-0004-0000-0000-0000E60B0000}"/>
    <hyperlink ref="G3049" r:id="rId3048" xr:uid="{00000000-0004-0000-0000-0000E70B0000}"/>
    <hyperlink ref="G3050" r:id="rId3049" xr:uid="{00000000-0004-0000-0000-0000E80B0000}"/>
    <hyperlink ref="G3051" r:id="rId3050" xr:uid="{00000000-0004-0000-0000-0000E90B0000}"/>
    <hyperlink ref="G3052" r:id="rId3051" xr:uid="{00000000-0004-0000-0000-0000EA0B0000}"/>
    <hyperlink ref="G3053" r:id="rId3052" xr:uid="{00000000-0004-0000-0000-0000EB0B0000}"/>
    <hyperlink ref="G3054" r:id="rId3053" xr:uid="{00000000-0004-0000-0000-0000EC0B0000}"/>
    <hyperlink ref="G3055" r:id="rId3054" xr:uid="{00000000-0004-0000-0000-0000ED0B0000}"/>
    <hyperlink ref="G3056" r:id="rId3055" xr:uid="{00000000-0004-0000-0000-0000EE0B0000}"/>
    <hyperlink ref="G3057" r:id="rId3056" xr:uid="{00000000-0004-0000-0000-0000EF0B0000}"/>
    <hyperlink ref="G3058" r:id="rId3057" xr:uid="{00000000-0004-0000-0000-0000F00B0000}"/>
    <hyperlink ref="G3059" r:id="rId3058" xr:uid="{00000000-0004-0000-0000-0000F10B0000}"/>
    <hyperlink ref="G3060" r:id="rId3059" xr:uid="{00000000-0004-0000-0000-0000F20B0000}"/>
    <hyperlink ref="G3061" r:id="rId3060" xr:uid="{00000000-0004-0000-0000-0000F30B0000}"/>
    <hyperlink ref="G3062" r:id="rId3061" xr:uid="{00000000-0004-0000-0000-0000F40B0000}"/>
    <hyperlink ref="G3063" r:id="rId3062" xr:uid="{00000000-0004-0000-0000-0000F50B0000}"/>
    <hyperlink ref="G3064" r:id="rId3063" xr:uid="{00000000-0004-0000-0000-0000F60B0000}"/>
    <hyperlink ref="G3065" r:id="rId3064" xr:uid="{00000000-0004-0000-0000-0000F70B0000}"/>
    <hyperlink ref="G3066" r:id="rId3065" xr:uid="{00000000-0004-0000-0000-0000F80B0000}"/>
    <hyperlink ref="G3067" r:id="rId3066" xr:uid="{00000000-0004-0000-0000-0000F90B0000}"/>
    <hyperlink ref="G3068" r:id="rId3067" xr:uid="{00000000-0004-0000-0000-0000FA0B0000}"/>
    <hyperlink ref="G3069" r:id="rId3068" xr:uid="{00000000-0004-0000-0000-0000FB0B0000}"/>
    <hyperlink ref="G3070" r:id="rId3069" xr:uid="{00000000-0004-0000-0000-0000FC0B0000}"/>
    <hyperlink ref="G3071" r:id="rId3070" xr:uid="{00000000-0004-0000-0000-0000FD0B0000}"/>
    <hyperlink ref="G3072" r:id="rId3071" xr:uid="{00000000-0004-0000-0000-0000FE0B0000}"/>
    <hyperlink ref="G3073" r:id="rId3072" xr:uid="{00000000-0004-0000-0000-0000FF0B0000}"/>
    <hyperlink ref="G3074" r:id="rId3073" xr:uid="{00000000-0004-0000-0000-0000000C0000}"/>
    <hyperlink ref="G3075" r:id="rId3074" xr:uid="{00000000-0004-0000-0000-0000010C0000}"/>
    <hyperlink ref="G3076" r:id="rId3075" xr:uid="{00000000-0004-0000-0000-0000020C0000}"/>
    <hyperlink ref="G3077" r:id="rId3076" xr:uid="{00000000-0004-0000-0000-0000030C0000}"/>
    <hyperlink ref="G3078" r:id="rId3077" xr:uid="{00000000-0004-0000-0000-0000040C0000}"/>
    <hyperlink ref="G3079" r:id="rId3078" xr:uid="{00000000-0004-0000-0000-0000050C0000}"/>
    <hyperlink ref="G3080" r:id="rId3079" xr:uid="{00000000-0004-0000-0000-0000060C0000}"/>
    <hyperlink ref="G3081" r:id="rId3080" xr:uid="{00000000-0004-0000-0000-0000070C0000}"/>
    <hyperlink ref="G3082" r:id="rId3081" xr:uid="{00000000-0004-0000-0000-0000080C0000}"/>
    <hyperlink ref="G3083" r:id="rId3082" xr:uid="{00000000-0004-0000-0000-0000090C0000}"/>
    <hyperlink ref="G3084" r:id="rId3083" xr:uid="{00000000-0004-0000-0000-00000A0C0000}"/>
    <hyperlink ref="G3085" r:id="rId3084" xr:uid="{00000000-0004-0000-0000-00000B0C0000}"/>
    <hyperlink ref="G3086" r:id="rId3085" xr:uid="{00000000-0004-0000-0000-00000C0C0000}"/>
    <hyperlink ref="G3087" r:id="rId3086" xr:uid="{00000000-0004-0000-0000-00000D0C0000}"/>
    <hyperlink ref="G3088" r:id="rId3087" xr:uid="{00000000-0004-0000-0000-00000E0C0000}"/>
    <hyperlink ref="G3089" r:id="rId3088" xr:uid="{00000000-0004-0000-0000-00000F0C0000}"/>
    <hyperlink ref="G3090" r:id="rId3089" xr:uid="{00000000-0004-0000-0000-0000100C0000}"/>
    <hyperlink ref="G3091" r:id="rId3090" xr:uid="{00000000-0004-0000-0000-0000110C0000}"/>
    <hyperlink ref="G3092" r:id="rId3091" xr:uid="{00000000-0004-0000-0000-0000120C0000}"/>
    <hyperlink ref="G3093" r:id="rId3092" xr:uid="{00000000-0004-0000-0000-0000130C0000}"/>
    <hyperlink ref="G3094" r:id="rId3093" xr:uid="{00000000-0004-0000-0000-0000140C0000}"/>
    <hyperlink ref="G3095" r:id="rId3094" xr:uid="{00000000-0004-0000-0000-0000150C0000}"/>
    <hyperlink ref="G3096" r:id="rId3095" xr:uid="{00000000-0004-0000-0000-0000160C0000}"/>
    <hyperlink ref="G3097" r:id="rId3096" xr:uid="{00000000-0004-0000-0000-0000170C0000}"/>
    <hyperlink ref="G3098" r:id="rId3097" xr:uid="{00000000-0004-0000-0000-0000180C0000}"/>
    <hyperlink ref="G3099" r:id="rId3098" xr:uid="{00000000-0004-0000-0000-0000190C0000}"/>
    <hyperlink ref="G3100" r:id="rId3099" xr:uid="{00000000-0004-0000-0000-00001A0C0000}"/>
    <hyperlink ref="G3101" r:id="rId3100" xr:uid="{00000000-0004-0000-0000-00001B0C0000}"/>
    <hyperlink ref="G3102" r:id="rId3101" xr:uid="{00000000-0004-0000-0000-00001C0C0000}"/>
    <hyperlink ref="G3103" r:id="rId3102" xr:uid="{00000000-0004-0000-0000-00001D0C0000}"/>
    <hyperlink ref="G3104" r:id="rId3103" xr:uid="{00000000-0004-0000-0000-00001E0C0000}"/>
    <hyperlink ref="G3105" r:id="rId3104" xr:uid="{00000000-0004-0000-0000-00001F0C0000}"/>
    <hyperlink ref="G3106" r:id="rId3105" xr:uid="{00000000-0004-0000-0000-0000200C0000}"/>
    <hyperlink ref="G3107" r:id="rId3106" xr:uid="{00000000-0004-0000-0000-0000210C0000}"/>
    <hyperlink ref="G3108" r:id="rId3107" xr:uid="{00000000-0004-0000-0000-0000220C0000}"/>
    <hyperlink ref="G3109" r:id="rId3108" xr:uid="{00000000-0004-0000-0000-0000230C0000}"/>
    <hyperlink ref="G3110" r:id="rId3109" xr:uid="{00000000-0004-0000-0000-0000240C0000}"/>
    <hyperlink ref="G3111" r:id="rId3110" xr:uid="{00000000-0004-0000-0000-0000250C0000}"/>
    <hyperlink ref="G3112" r:id="rId3111" xr:uid="{00000000-0004-0000-0000-0000260C0000}"/>
    <hyperlink ref="G3113" r:id="rId3112" xr:uid="{00000000-0004-0000-0000-0000270C0000}"/>
    <hyperlink ref="G3114" r:id="rId3113" xr:uid="{00000000-0004-0000-0000-0000280C0000}"/>
    <hyperlink ref="G3115" r:id="rId3114" xr:uid="{00000000-0004-0000-0000-0000290C0000}"/>
    <hyperlink ref="G3116" r:id="rId3115" xr:uid="{00000000-0004-0000-0000-00002A0C0000}"/>
    <hyperlink ref="G3117" r:id="rId3116" xr:uid="{00000000-0004-0000-0000-00002B0C0000}"/>
    <hyperlink ref="G3118" r:id="rId3117" xr:uid="{00000000-0004-0000-0000-00002C0C0000}"/>
    <hyperlink ref="G3119" r:id="rId3118" xr:uid="{00000000-0004-0000-0000-00002D0C0000}"/>
    <hyperlink ref="G3120" r:id="rId3119" xr:uid="{00000000-0004-0000-0000-00002E0C0000}"/>
    <hyperlink ref="G3121" r:id="rId3120" xr:uid="{00000000-0004-0000-0000-00002F0C0000}"/>
    <hyperlink ref="G3122" r:id="rId3121" xr:uid="{00000000-0004-0000-0000-0000300C0000}"/>
    <hyperlink ref="G3123" r:id="rId3122" xr:uid="{00000000-0004-0000-0000-0000310C0000}"/>
    <hyperlink ref="G3124" r:id="rId3123" xr:uid="{00000000-0004-0000-0000-0000320C0000}"/>
    <hyperlink ref="G3125" r:id="rId3124" xr:uid="{00000000-0004-0000-0000-0000330C0000}"/>
    <hyperlink ref="G3126" r:id="rId3125" xr:uid="{00000000-0004-0000-0000-0000340C0000}"/>
    <hyperlink ref="G3127" r:id="rId3126" xr:uid="{00000000-0004-0000-0000-0000350C0000}"/>
    <hyperlink ref="G3128" r:id="rId3127" xr:uid="{00000000-0004-0000-0000-0000360C0000}"/>
    <hyperlink ref="G3129" r:id="rId3128" xr:uid="{00000000-0004-0000-0000-0000370C0000}"/>
    <hyperlink ref="G3130" r:id="rId3129" xr:uid="{00000000-0004-0000-0000-0000380C0000}"/>
    <hyperlink ref="G3131" r:id="rId3130" xr:uid="{00000000-0004-0000-0000-0000390C0000}"/>
    <hyperlink ref="G3132" r:id="rId3131" xr:uid="{00000000-0004-0000-0000-00003A0C0000}"/>
    <hyperlink ref="G3133" r:id="rId3132" xr:uid="{00000000-0004-0000-0000-00003B0C0000}"/>
    <hyperlink ref="G3134" r:id="rId3133" xr:uid="{00000000-0004-0000-0000-00003C0C0000}"/>
    <hyperlink ref="G3135" r:id="rId3134" xr:uid="{00000000-0004-0000-0000-00003D0C0000}"/>
    <hyperlink ref="G3136" r:id="rId3135" xr:uid="{00000000-0004-0000-0000-00003E0C0000}"/>
    <hyperlink ref="G3137" r:id="rId3136" xr:uid="{00000000-0004-0000-0000-00003F0C0000}"/>
    <hyperlink ref="G3138" r:id="rId3137" xr:uid="{00000000-0004-0000-0000-0000400C0000}"/>
    <hyperlink ref="G3139" r:id="rId3138" xr:uid="{00000000-0004-0000-0000-0000410C0000}"/>
    <hyperlink ref="G3140" r:id="rId3139" xr:uid="{00000000-0004-0000-0000-0000420C0000}"/>
    <hyperlink ref="G3141" r:id="rId3140" xr:uid="{00000000-0004-0000-0000-0000430C0000}"/>
    <hyperlink ref="G3142" r:id="rId3141" xr:uid="{00000000-0004-0000-0000-0000440C0000}"/>
    <hyperlink ref="G3143" r:id="rId3142" xr:uid="{00000000-0004-0000-0000-0000450C0000}"/>
    <hyperlink ref="G3144" r:id="rId3143" xr:uid="{00000000-0004-0000-0000-0000460C0000}"/>
    <hyperlink ref="G3145" r:id="rId3144" xr:uid="{00000000-0004-0000-0000-0000470C0000}"/>
    <hyperlink ref="G3146" r:id="rId3145" xr:uid="{00000000-0004-0000-0000-0000480C0000}"/>
    <hyperlink ref="G3147" r:id="rId3146" xr:uid="{00000000-0004-0000-0000-0000490C0000}"/>
    <hyperlink ref="G3148" r:id="rId3147" xr:uid="{00000000-0004-0000-0000-00004A0C0000}"/>
    <hyperlink ref="G3149" r:id="rId3148" xr:uid="{00000000-0004-0000-0000-00004B0C0000}"/>
    <hyperlink ref="G3150" r:id="rId3149" xr:uid="{00000000-0004-0000-0000-00004C0C0000}"/>
    <hyperlink ref="G3151" r:id="rId3150" xr:uid="{00000000-0004-0000-0000-00004D0C0000}"/>
    <hyperlink ref="G3152" r:id="rId3151" xr:uid="{00000000-0004-0000-0000-00004E0C0000}"/>
    <hyperlink ref="G3153" r:id="rId3152" xr:uid="{00000000-0004-0000-0000-00004F0C0000}"/>
    <hyperlink ref="G3154" r:id="rId3153" xr:uid="{00000000-0004-0000-0000-0000500C0000}"/>
    <hyperlink ref="G3155" r:id="rId3154" xr:uid="{00000000-0004-0000-0000-0000510C0000}"/>
    <hyperlink ref="G3156" r:id="rId3155" xr:uid="{00000000-0004-0000-0000-0000520C0000}"/>
    <hyperlink ref="G3157" r:id="rId3156" xr:uid="{00000000-0004-0000-0000-0000530C0000}"/>
    <hyperlink ref="G3158" r:id="rId3157" xr:uid="{00000000-0004-0000-0000-0000540C0000}"/>
    <hyperlink ref="G3159" r:id="rId3158" xr:uid="{00000000-0004-0000-0000-0000550C0000}"/>
    <hyperlink ref="G3160" r:id="rId3159" xr:uid="{00000000-0004-0000-0000-0000560C0000}"/>
    <hyperlink ref="G3161" r:id="rId3160" xr:uid="{00000000-0004-0000-0000-0000570C0000}"/>
    <hyperlink ref="G3162" r:id="rId3161" xr:uid="{00000000-0004-0000-0000-0000580C0000}"/>
    <hyperlink ref="G3163" r:id="rId3162" xr:uid="{00000000-0004-0000-0000-0000590C0000}"/>
    <hyperlink ref="G3164" r:id="rId3163" xr:uid="{00000000-0004-0000-0000-00005A0C0000}"/>
    <hyperlink ref="G3165" r:id="rId3164" xr:uid="{00000000-0004-0000-0000-00005B0C0000}"/>
    <hyperlink ref="G3166" r:id="rId3165" xr:uid="{00000000-0004-0000-0000-00005C0C0000}"/>
    <hyperlink ref="G3167" r:id="rId3166" xr:uid="{00000000-0004-0000-0000-00005D0C0000}"/>
    <hyperlink ref="G3168" r:id="rId3167" xr:uid="{00000000-0004-0000-0000-00005E0C0000}"/>
    <hyperlink ref="G3169" r:id="rId3168" xr:uid="{00000000-0004-0000-0000-00005F0C0000}"/>
    <hyperlink ref="G3170" r:id="rId3169" xr:uid="{00000000-0004-0000-0000-0000600C0000}"/>
    <hyperlink ref="G3171" r:id="rId3170" xr:uid="{00000000-0004-0000-0000-0000610C0000}"/>
    <hyperlink ref="G3172" r:id="rId3171" xr:uid="{00000000-0004-0000-0000-0000620C0000}"/>
    <hyperlink ref="G3173" r:id="rId3172" xr:uid="{00000000-0004-0000-0000-0000630C0000}"/>
    <hyperlink ref="G3174" r:id="rId3173" xr:uid="{00000000-0004-0000-0000-0000640C0000}"/>
    <hyperlink ref="G3175" r:id="rId3174" xr:uid="{00000000-0004-0000-0000-0000650C0000}"/>
    <hyperlink ref="G3176" r:id="rId3175" xr:uid="{00000000-0004-0000-0000-0000660C0000}"/>
    <hyperlink ref="G3177" r:id="rId3176" xr:uid="{00000000-0004-0000-0000-0000670C0000}"/>
    <hyperlink ref="G3178" r:id="rId3177" xr:uid="{00000000-0004-0000-0000-0000680C0000}"/>
    <hyperlink ref="G3179" r:id="rId3178" xr:uid="{00000000-0004-0000-0000-0000690C0000}"/>
    <hyperlink ref="G3180" r:id="rId3179" xr:uid="{00000000-0004-0000-0000-00006A0C0000}"/>
    <hyperlink ref="G3181" r:id="rId3180" xr:uid="{00000000-0004-0000-0000-00006B0C0000}"/>
    <hyperlink ref="G3182" r:id="rId3181" xr:uid="{00000000-0004-0000-0000-00006C0C0000}"/>
    <hyperlink ref="G3183" r:id="rId3182" xr:uid="{00000000-0004-0000-0000-00006D0C0000}"/>
    <hyperlink ref="G3184" r:id="rId3183" xr:uid="{00000000-0004-0000-0000-00006E0C0000}"/>
    <hyperlink ref="G3185" r:id="rId3184" xr:uid="{00000000-0004-0000-0000-00006F0C0000}"/>
    <hyperlink ref="G3186" r:id="rId3185" xr:uid="{00000000-0004-0000-0000-0000700C0000}"/>
    <hyperlink ref="G3187" r:id="rId3186" xr:uid="{00000000-0004-0000-0000-0000710C0000}"/>
    <hyperlink ref="G3188" r:id="rId3187" xr:uid="{00000000-0004-0000-0000-0000720C0000}"/>
    <hyperlink ref="G3189" r:id="rId3188" xr:uid="{00000000-0004-0000-0000-0000730C0000}"/>
    <hyperlink ref="G3190" r:id="rId3189" xr:uid="{00000000-0004-0000-0000-0000740C0000}"/>
    <hyperlink ref="G3191" r:id="rId3190" xr:uid="{00000000-0004-0000-0000-0000750C0000}"/>
    <hyperlink ref="G3192" r:id="rId3191" xr:uid="{00000000-0004-0000-0000-0000760C0000}"/>
    <hyperlink ref="G3193" r:id="rId3192" xr:uid="{00000000-0004-0000-0000-0000770C0000}"/>
    <hyperlink ref="G3194" r:id="rId3193" xr:uid="{00000000-0004-0000-0000-0000780C0000}"/>
    <hyperlink ref="G3195" r:id="rId3194" xr:uid="{00000000-0004-0000-0000-0000790C0000}"/>
    <hyperlink ref="G3196" r:id="rId3195" xr:uid="{00000000-0004-0000-0000-00007A0C0000}"/>
    <hyperlink ref="G3197" r:id="rId3196" xr:uid="{00000000-0004-0000-0000-00007B0C0000}"/>
    <hyperlink ref="G3198" r:id="rId3197" xr:uid="{00000000-0004-0000-0000-00007C0C0000}"/>
    <hyperlink ref="G3199" r:id="rId3198" xr:uid="{00000000-0004-0000-0000-00007D0C0000}"/>
    <hyperlink ref="G3200" r:id="rId3199" xr:uid="{00000000-0004-0000-0000-00007E0C0000}"/>
    <hyperlink ref="G3201" r:id="rId3200" xr:uid="{00000000-0004-0000-0000-00007F0C0000}"/>
    <hyperlink ref="G3202" r:id="rId3201" xr:uid="{00000000-0004-0000-0000-0000800C0000}"/>
    <hyperlink ref="G3203" r:id="rId3202" xr:uid="{00000000-0004-0000-0000-0000810C0000}"/>
    <hyperlink ref="G3204" r:id="rId3203" xr:uid="{00000000-0004-0000-0000-0000820C0000}"/>
    <hyperlink ref="G3205" r:id="rId3204" xr:uid="{00000000-0004-0000-0000-0000830C0000}"/>
    <hyperlink ref="G3206" r:id="rId3205" xr:uid="{00000000-0004-0000-0000-0000840C0000}"/>
    <hyperlink ref="G3207" r:id="rId3206" xr:uid="{00000000-0004-0000-0000-0000850C0000}"/>
    <hyperlink ref="G3208" r:id="rId3207" xr:uid="{00000000-0004-0000-0000-0000860C0000}"/>
    <hyperlink ref="G3209" r:id="rId3208" xr:uid="{00000000-0004-0000-0000-0000870C0000}"/>
    <hyperlink ref="G3210" r:id="rId3209" xr:uid="{00000000-0004-0000-0000-0000880C0000}"/>
    <hyperlink ref="G3211" r:id="rId3210" xr:uid="{00000000-0004-0000-0000-0000890C0000}"/>
    <hyperlink ref="G3212" r:id="rId3211" xr:uid="{00000000-0004-0000-0000-00008A0C0000}"/>
    <hyperlink ref="G3213" r:id="rId3212" xr:uid="{00000000-0004-0000-0000-00008B0C0000}"/>
    <hyperlink ref="G3214" r:id="rId3213" xr:uid="{00000000-0004-0000-0000-00008C0C0000}"/>
    <hyperlink ref="G3215" r:id="rId3214" xr:uid="{00000000-0004-0000-0000-00008D0C0000}"/>
    <hyperlink ref="G3216" r:id="rId3215" xr:uid="{00000000-0004-0000-0000-00008E0C0000}"/>
    <hyperlink ref="G3217" r:id="rId3216" xr:uid="{00000000-0004-0000-0000-00008F0C0000}"/>
    <hyperlink ref="G3218" r:id="rId3217" xr:uid="{00000000-0004-0000-0000-0000900C0000}"/>
    <hyperlink ref="G3219" r:id="rId3218" xr:uid="{00000000-0004-0000-0000-0000910C0000}"/>
    <hyperlink ref="G3220" r:id="rId3219" xr:uid="{00000000-0004-0000-0000-0000920C0000}"/>
    <hyperlink ref="G3221" r:id="rId3220" xr:uid="{00000000-0004-0000-0000-0000930C0000}"/>
    <hyperlink ref="G3222" r:id="rId3221" xr:uid="{00000000-0004-0000-0000-0000940C0000}"/>
    <hyperlink ref="G3223" r:id="rId3222" xr:uid="{00000000-0004-0000-0000-0000950C0000}"/>
    <hyperlink ref="G3224" r:id="rId3223" xr:uid="{00000000-0004-0000-0000-0000960C0000}"/>
    <hyperlink ref="G3225" r:id="rId3224" xr:uid="{00000000-0004-0000-0000-0000970C0000}"/>
    <hyperlink ref="G3226" r:id="rId3225" xr:uid="{00000000-0004-0000-0000-0000980C0000}"/>
    <hyperlink ref="G3227" r:id="rId3226" xr:uid="{00000000-0004-0000-0000-0000990C0000}"/>
    <hyperlink ref="G3228" r:id="rId3227" xr:uid="{00000000-0004-0000-0000-00009A0C0000}"/>
    <hyperlink ref="G3229" r:id="rId3228" xr:uid="{00000000-0004-0000-0000-00009B0C0000}"/>
    <hyperlink ref="G3230" r:id="rId3229" xr:uid="{00000000-0004-0000-0000-00009C0C0000}"/>
    <hyperlink ref="G3231" r:id="rId3230" xr:uid="{00000000-0004-0000-0000-00009D0C0000}"/>
    <hyperlink ref="G3232" r:id="rId3231" xr:uid="{00000000-0004-0000-0000-00009E0C0000}"/>
    <hyperlink ref="G3233" r:id="rId3232" xr:uid="{00000000-0004-0000-0000-00009F0C0000}"/>
    <hyperlink ref="G3234" r:id="rId3233" xr:uid="{00000000-0004-0000-0000-0000A00C0000}"/>
    <hyperlink ref="G3235" r:id="rId3234" xr:uid="{00000000-0004-0000-0000-0000A10C0000}"/>
    <hyperlink ref="G3236" r:id="rId3235" xr:uid="{00000000-0004-0000-0000-0000A20C0000}"/>
    <hyperlink ref="G3237" r:id="rId3236" xr:uid="{00000000-0004-0000-0000-0000A30C0000}"/>
    <hyperlink ref="G3238" r:id="rId3237" xr:uid="{00000000-0004-0000-0000-0000A40C0000}"/>
    <hyperlink ref="G3239" r:id="rId3238" xr:uid="{00000000-0004-0000-0000-0000A50C0000}"/>
    <hyperlink ref="G3240" r:id="rId3239" xr:uid="{00000000-0004-0000-0000-0000A60C0000}"/>
    <hyperlink ref="G3241" r:id="rId3240" xr:uid="{00000000-0004-0000-0000-0000A70C0000}"/>
    <hyperlink ref="G3242" r:id="rId3241" xr:uid="{00000000-0004-0000-0000-0000A80C0000}"/>
    <hyperlink ref="G3243" r:id="rId3242" xr:uid="{00000000-0004-0000-0000-0000A90C0000}"/>
    <hyperlink ref="G3244" r:id="rId3243" xr:uid="{00000000-0004-0000-0000-0000AA0C0000}"/>
    <hyperlink ref="G3245" r:id="rId3244" xr:uid="{00000000-0004-0000-0000-0000AB0C0000}"/>
    <hyperlink ref="G3246" r:id="rId3245" xr:uid="{00000000-0004-0000-0000-0000AC0C0000}"/>
    <hyperlink ref="G3247" r:id="rId3246" xr:uid="{00000000-0004-0000-0000-0000AD0C0000}"/>
    <hyperlink ref="G3248" r:id="rId3247" xr:uid="{00000000-0004-0000-0000-0000AE0C0000}"/>
    <hyperlink ref="G3249" r:id="rId3248" xr:uid="{00000000-0004-0000-0000-0000AF0C0000}"/>
    <hyperlink ref="G3250" r:id="rId3249" xr:uid="{00000000-0004-0000-0000-0000B00C0000}"/>
    <hyperlink ref="G3251" r:id="rId3250" xr:uid="{00000000-0004-0000-0000-0000B10C0000}"/>
    <hyperlink ref="G3252" r:id="rId3251" xr:uid="{00000000-0004-0000-0000-0000B20C0000}"/>
    <hyperlink ref="G3253" r:id="rId3252" xr:uid="{00000000-0004-0000-0000-0000B30C0000}"/>
    <hyperlink ref="G3254" r:id="rId3253" xr:uid="{00000000-0004-0000-0000-0000B40C0000}"/>
    <hyperlink ref="G3255" r:id="rId3254" xr:uid="{00000000-0004-0000-0000-0000B50C0000}"/>
    <hyperlink ref="G3256" r:id="rId3255" xr:uid="{00000000-0004-0000-0000-0000B60C0000}"/>
    <hyperlink ref="G3257" r:id="rId3256" xr:uid="{00000000-0004-0000-0000-0000B70C0000}"/>
    <hyperlink ref="G3258" r:id="rId3257" xr:uid="{00000000-0004-0000-0000-0000B80C0000}"/>
    <hyperlink ref="G3259" r:id="rId3258" xr:uid="{00000000-0004-0000-0000-0000B90C0000}"/>
    <hyperlink ref="G3260" r:id="rId3259" xr:uid="{00000000-0004-0000-0000-0000BA0C0000}"/>
    <hyperlink ref="G3261" r:id="rId3260" xr:uid="{00000000-0004-0000-0000-0000BB0C0000}"/>
    <hyperlink ref="G3262" r:id="rId3261" xr:uid="{00000000-0004-0000-0000-0000BC0C0000}"/>
    <hyperlink ref="G3263" r:id="rId3262" xr:uid="{00000000-0004-0000-0000-0000BD0C0000}"/>
    <hyperlink ref="G3264" r:id="rId3263" xr:uid="{00000000-0004-0000-0000-0000BE0C0000}"/>
    <hyperlink ref="G3265" r:id="rId3264" xr:uid="{00000000-0004-0000-0000-0000BF0C0000}"/>
    <hyperlink ref="G3266" r:id="rId3265" xr:uid="{00000000-0004-0000-0000-0000C00C0000}"/>
    <hyperlink ref="G3267" r:id="rId3266" xr:uid="{00000000-0004-0000-0000-0000C10C0000}"/>
    <hyperlink ref="G3268" r:id="rId3267" xr:uid="{00000000-0004-0000-0000-0000C20C0000}"/>
    <hyperlink ref="G3269" r:id="rId3268" xr:uid="{00000000-0004-0000-0000-0000C30C0000}"/>
    <hyperlink ref="G3270" r:id="rId3269" xr:uid="{00000000-0004-0000-0000-0000C40C0000}"/>
    <hyperlink ref="G3271" r:id="rId3270" xr:uid="{00000000-0004-0000-0000-0000C50C0000}"/>
    <hyperlink ref="G3272" r:id="rId3271" xr:uid="{00000000-0004-0000-0000-0000C60C0000}"/>
    <hyperlink ref="G3273" r:id="rId3272" xr:uid="{00000000-0004-0000-0000-0000C70C0000}"/>
    <hyperlink ref="G3274" r:id="rId3273" xr:uid="{00000000-0004-0000-0000-0000C80C0000}"/>
    <hyperlink ref="G3275" r:id="rId3274" xr:uid="{00000000-0004-0000-0000-0000C90C0000}"/>
    <hyperlink ref="G3276" r:id="rId3275" xr:uid="{00000000-0004-0000-0000-0000CA0C0000}"/>
    <hyperlink ref="G3277" r:id="rId3276" xr:uid="{00000000-0004-0000-0000-0000CB0C0000}"/>
    <hyperlink ref="G3278" r:id="rId3277" xr:uid="{00000000-0004-0000-0000-0000CC0C0000}"/>
    <hyperlink ref="G3279" r:id="rId3278" xr:uid="{00000000-0004-0000-0000-0000CD0C0000}"/>
    <hyperlink ref="G3280" r:id="rId3279" xr:uid="{00000000-0004-0000-0000-0000CE0C0000}"/>
    <hyperlink ref="G3281" r:id="rId3280" xr:uid="{00000000-0004-0000-0000-0000CF0C0000}"/>
    <hyperlink ref="G3282" r:id="rId3281" xr:uid="{00000000-0004-0000-0000-0000D00C0000}"/>
    <hyperlink ref="G3283" r:id="rId3282" xr:uid="{00000000-0004-0000-0000-0000D10C0000}"/>
    <hyperlink ref="G3284" r:id="rId3283" xr:uid="{00000000-0004-0000-0000-0000D20C0000}"/>
    <hyperlink ref="G3285" r:id="rId3284" xr:uid="{00000000-0004-0000-0000-0000D30C0000}"/>
    <hyperlink ref="G3286" r:id="rId3285" xr:uid="{00000000-0004-0000-0000-0000D40C0000}"/>
    <hyperlink ref="G3287" r:id="rId3286" xr:uid="{00000000-0004-0000-0000-0000D50C0000}"/>
    <hyperlink ref="G3288" r:id="rId3287" xr:uid="{00000000-0004-0000-0000-0000D60C0000}"/>
    <hyperlink ref="G3289" r:id="rId3288" xr:uid="{00000000-0004-0000-0000-0000D70C0000}"/>
    <hyperlink ref="G3290" r:id="rId3289" xr:uid="{00000000-0004-0000-0000-0000D80C0000}"/>
    <hyperlink ref="G3291" r:id="rId3290" xr:uid="{00000000-0004-0000-0000-0000D90C0000}"/>
    <hyperlink ref="G3292" r:id="rId3291" xr:uid="{00000000-0004-0000-0000-0000DA0C0000}"/>
    <hyperlink ref="G3293" r:id="rId3292" xr:uid="{00000000-0004-0000-0000-0000DB0C0000}"/>
    <hyperlink ref="G3294" r:id="rId3293" xr:uid="{00000000-0004-0000-0000-0000DC0C0000}"/>
    <hyperlink ref="G3295" r:id="rId3294" xr:uid="{00000000-0004-0000-0000-0000DD0C0000}"/>
    <hyperlink ref="G3296" r:id="rId3295" xr:uid="{00000000-0004-0000-0000-0000DE0C0000}"/>
    <hyperlink ref="G3297" r:id="rId3296" xr:uid="{00000000-0004-0000-0000-0000DF0C0000}"/>
    <hyperlink ref="G3298" r:id="rId3297" xr:uid="{00000000-0004-0000-0000-0000E00C0000}"/>
    <hyperlink ref="G3299" r:id="rId3298" xr:uid="{00000000-0004-0000-0000-0000E10C0000}"/>
    <hyperlink ref="G3300" r:id="rId3299" xr:uid="{00000000-0004-0000-0000-0000E20C0000}"/>
    <hyperlink ref="G3301" r:id="rId3300" xr:uid="{00000000-0004-0000-0000-0000E30C0000}"/>
    <hyperlink ref="G3302" r:id="rId3301" xr:uid="{00000000-0004-0000-0000-0000E40C0000}"/>
    <hyperlink ref="G3303" r:id="rId3302" xr:uid="{00000000-0004-0000-0000-0000E50C0000}"/>
    <hyperlink ref="G3304" r:id="rId3303" xr:uid="{00000000-0004-0000-0000-0000E60C0000}"/>
    <hyperlink ref="G3305" r:id="rId3304" xr:uid="{00000000-0004-0000-0000-0000E70C0000}"/>
    <hyperlink ref="G3306" r:id="rId3305" xr:uid="{00000000-0004-0000-0000-0000E80C0000}"/>
    <hyperlink ref="G3307" r:id="rId3306" xr:uid="{00000000-0004-0000-0000-0000E90C0000}"/>
    <hyperlink ref="G3308" r:id="rId3307" xr:uid="{00000000-0004-0000-0000-0000EA0C0000}"/>
    <hyperlink ref="G3309" r:id="rId3308" xr:uid="{00000000-0004-0000-0000-0000EB0C0000}"/>
    <hyperlink ref="G3310" r:id="rId3309" xr:uid="{00000000-0004-0000-0000-0000EC0C0000}"/>
    <hyperlink ref="G3311" r:id="rId3310" xr:uid="{00000000-0004-0000-0000-0000ED0C0000}"/>
    <hyperlink ref="G3312" r:id="rId3311" xr:uid="{00000000-0004-0000-0000-0000EE0C0000}"/>
    <hyperlink ref="G3313" r:id="rId3312" xr:uid="{00000000-0004-0000-0000-0000EF0C0000}"/>
    <hyperlink ref="G3314" r:id="rId3313" xr:uid="{00000000-0004-0000-0000-0000F00C0000}"/>
    <hyperlink ref="G3315" r:id="rId3314" xr:uid="{00000000-0004-0000-0000-0000F10C0000}"/>
    <hyperlink ref="G3316" r:id="rId3315" xr:uid="{00000000-0004-0000-0000-0000F20C0000}"/>
    <hyperlink ref="G3317" r:id="rId3316" xr:uid="{00000000-0004-0000-0000-0000F30C0000}"/>
    <hyperlink ref="G3318" r:id="rId3317" xr:uid="{00000000-0004-0000-0000-0000F40C0000}"/>
    <hyperlink ref="G3319" r:id="rId3318" xr:uid="{00000000-0004-0000-0000-0000F50C0000}"/>
    <hyperlink ref="G3320" r:id="rId3319" xr:uid="{00000000-0004-0000-0000-0000F60C0000}"/>
    <hyperlink ref="G3321" r:id="rId3320" xr:uid="{00000000-0004-0000-0000-0000F70C0000}"/>
    <hyperlink ref="G3322" r:id="rId3321" xr:uid="{00000000-0004-0000-0000-0000F80C0000}"/>
    <hyperlink ref="G3323" r:id="rId3322" xr:uid="{00000000-0004-0000-0000-0000F90C0000}"/>
    <hyperlink ref="G3324" r:id="rId3323" xr:uid="{00000000-0004-0000-0000-0000FA0C0000}"/>
    <hyperlink ref="G3325" r:id="rId3324" xr:uid="{00000000-0004-0000-0000-0000FB0C0000}"/>
    <hyperlink ref="G3326" r:id="rId3325" xr:uid="{00000000-0004-0000-0000-0000FC0C0000}"/>
    <hyperlink ref="G3327" r:id="rId3326" xr:uid="{00000000-0004-0000-0000-0000FD0C0000}"/>
    <hyperlink ref="G3328" r:id="rId3327" xr:uid="{00000000-0004-0000-0000-0000FE0C0000}"/>
    <hyperlink ref="G3329" r:id="rId3328" xr:uid="{00000000-0004-0000-0000-0000FF0C0000}"/>
    <hyperlink ref="G3330" r:id="rId3329" xr:uid="{00000000-0004-0000-0000-0000000D0000}"/>
    <hyperlink ref="G3331" r:id="rId3330" xr:uid="{00000000-0004-0000-0000-0000010D0000}"/>
    <hyperlink ref="G3332" r:id="rId3331" xr:uid="{00000000-0004-0000-0000-0000020D0000}"/>
    <hyperlink ref="G3333" r:id="rId3332" xr:uid="{00000000-0004-0000-0000-0000030D0000}"/>
    <hyperlink ref="G3334" r:id="rId3333" xr:uid="{00000000-0004-0000-0000-0000040D0000}"/>
    <hyperlink ref="G3335" r:id="rId3334" xr:uid="{00000000-0004-0000-0000-0000050D0000}"/>
    <hyperlink ref="G3336" r:id="rId3335" xr:uid="{00000000-0004-0000-0000-0000060D0000}"/>
    <hyperlink ref="G3337" r:id="rId3336" xr:uid="{00000000-0004-0000-0000-0000070D0000}"/>
    <hyperlink ref="G3338" r:id="rId3337" xr:uid="{00000000-0004-0000-0000-0000080D0000}"/>
    <hyperlink ref="G3339" r:id="rId3338" xr:uid="{00000000-0004-0000-0000-0000090D0000}"/>
    <hyperlink ref="G3340" r:id="rId3339" xr:uid="{00000000-0004-0000-0000-00000A0D0000}"/>
    <hyperlink ref="G3341" r:id="rId3340" xr:uid="{00000000-0004-0000-0000-00000B0D0000}"/>
    <hyperlink ref="G3342" r:id="rId3341" xr:uid="{00000000-0004-0000-0000-00000C0D0000}"/>
    <hyperlink ref="G3343" r:id="rId3342" xr:uid="{00000000-0004-0000-0000-00000D0D0000}"/>
    <hyperlink ref="G3344" r:id="rId3343" xr:uid="{00000000-0004-0000-0000-00000E0D0000}"/>
    <hyperlink ref="G3345" r:id="rId3344" xr:uid="{00000000-0004-0000-0000-00000F0D0000}"/>
    <hyperlink ref="G3346" r:id="rId3345" xr:uid="{00000000-0004-0000-0000-0000100D0000}"/>
    <hyperlink ref="G3347" r:id="rId3346" xr:uid="{00000000-0004-0000-0000-0000110D0000}"/>
    <hyperlink ref="G3348" r:id="rId3347" xr:uid="{00000000-0004-0000-0000-0000120D0000}"/>
    <hyperlink ref="G3349" r:id="rId3348" xr:uid="{00000000-0004-0000-0000-0000130D0000}"/>
    <hyperlink ref="G3350" r:id="rId3349" xr:uid="{00000000-0004-0000-0000-0000140D0000}"/>
    <hyperlink ref="G3351" r:id="rId3350" xr:uid="{00000000-0004-0000-0000-0000150D0000}"/>
    <hyperlink ref="G3352" r:id="rId3351" xr:uid="{00000000-0004-0000-0000-0000160D0000}"/>
    <hyperlink ref="G3353" r:id="rId3352" xr:uid="{00000000-0004-0000-0000-0000170D0000}"/>
    <hyperlink ref="G3354" r:id="rId3353" xr:uid="{00000000-0004-0000-0000-0000180D0000}"/>
    <hyperlink ref="G3355" r:id="rId3354" xr:uid="{00000000-0004-0000-0000-0000190D0000}"/>
    <hyperlink ref="G3356" r:id="rId3355" xr:uid="{00000000-0004-0000-0000-00001A0D0000}"/>
    <hyperlink ref="G3357" r:id="rId3356" xr:uid="{00000000-0004-0000-0000-00001B0D0000}"/>
    <hyperlink ref="G3358" r:id="rId3357" xr:uid="{00000000-0004-0000-0000-00001C0D0000}"/>
    <hyperlink ref="G3359" r:id="rId3358" xr:uid="{00000000-0004-0000-0000-00001D0D0000}"/>
    <hyperlink ref="G3360" r:id="rId3359" xr:uid="{00000000-0004-0000-0000-00001E0D0000}"/>
    <hyperlink ref="G3361" r:id="rId3360" xr:uid="{00000000-0004-0000-0000-00001F0D0000}"/>
    <hyperlink ref="G3362" r:id="rId3361" xr:uid="{00000000-0004-0000-0000-0000200D0000}"/>
    <hyperlink ref="G3363" r:id="rId3362" xr:uid="{00000000-0004-0000-0000-0000210D0000}"/>
    <hyperlink ref="G3364" r:id="rId3363" xr:uid="{00000000-0004-0000-0000-0000220D0000}"/>
    <hyperlink ref="G3365" r:id="rId3364" xr:uid="{00000000-0004-0000-0000-0000230D0000}"/>
    <hyperlink ref="G3366" r:id="rId3365" xr:uid="{00000000-0004-0000-0000-0000240D0000}"/>
    <hyperlink ref="G3367" r:id="rId3366" xr:uid="{00000000-0004-0000-0000-0000250D0000}"/>
    <hyperlink ref="G3368" r:id="rId3367" xr:uid="{00000000-0004-0000-0000-0000260D0000}"/>
    <hyperlink ref="G3369" r:id="rId3368" xr:uid="{00000000-0004-0000-0000-0000270D0000}"/>
    <hyperlink ref="G3370" r:id="rId3369" xr:uid="{00000000-0004-0000-0000-0000280D0000}"/>
    <hyperlink ref="G3371" r:id="rId3370" xr:uid="{00000000-0004-0000-0000-0000290D0000}"/>
    <hyperlink ref="G3372" r:id="rId3371" xr:uid="{00000000-0004-0000-0000-00002A0D0000}"/>
    <hyperlink ref="G3373" r:id="rId3372" xr:uid="{00000000-0004-0000-0000-00002B0D0000}"/>
    <hyperlink ref="G3374" r:id="rId3373" xr:uid="{00000000-0004-0000-0000-00002C0D0000}"/>
    <hyperlink ref="G3375" r:id="rId3374" xr:uid="{00000000-0004-0000-0000-00002D0D0000}"/>
    <hyperlink ref="G3376" r:id="rId3375" xr:uid="{00000000-0004-0000-0000-00002E0D0000}"/>
    <hyperlink ref="G3377" r:id="rId3376" xr:uid="{00000000-0004-0000-0000-00002F0D0000}"/>
    <hyperlink ref="G3378" r:id="rId3377" xr:uid="{00000000-0004-0000-0000-0000300D0000}"/>
    <hyperlink ref="G3379" r:id="rId3378" xr:uid="{00000000-0004-0000-0000-0000310D0000}"/>
    <hyperlink ref="G3380" r:id="rId3379" xr:uid="{00000000-0004-0000-0000-0000320D0000}"/>
    <hyperlink ref="G3381" r:id="rId3380" xr:uid="{00000000-0004-0000-0000-0000330D0000}"/>
    <hyperlink ref="G3382" r:id="rId3381" xr:uid="{00000000-0004-0000-0000-0000340D0000}"/>
    <hyperlink ref="G3383" r:id="rId3382" xr:uid="{00000000-0004-0000-0000-0000350D0000}"/>
    <hyperlink ref="G3384" r:id="rId3383" xr:uid="{00000000-0004-0000-0000-0000360D0000}"/>
    <hyperlink ref="G3385" r:id="rId3384" xr:uid="{00000000-0004-0000-0000-0000370D0000}"/>
    <hyperlink ref="G3386" r:id="rId3385" xr:uid="{00000000-0004-0000-0000-0000380D0000}"/>
    <hyperlink ref="G3387" r:id="rId3386" xr:uid="{00000000-0004-0000-0000-0000390D0000}"/>
    <hyperlink ref="G3388" r:id="rId3387" xr:uid="{00000000-0004-0000-0000-00003A0D0000}"/>
    <hyperlink ref="G3389" r:id="rId3388" xr:uid="{00000000-0004-0000-0000-00003B0D0000}"/>
    <hyperlink ref="G3390" r:id="rId3389" xr:uid="{00000000-0004-0000-0000-00003C0D0000}"/>
    <hyperlink ref="G3391" r:id="rId3390" xr:uid="{00000000-0004-0000-0000-00003D0D0000}"/>
    <hyperlink ref="G3392" r:id="rId3391" xr:uid="{00000000-0004-0000-0000-00003E0D0000}"/>
    <hyperlink ref="G3393" r:id="rId3392" xr:uid="{00000000-0004-0000-0000-00003F0D0000}"/>
    <hyperlink ref="G3394" r:id="rId3393" xr:uid="{00000000-0004-0000-0000-0000400D0000}"/>
    <hyperlink ref="G3395" r:id="rId3394" xr:uid="{00000000-0004-0000-0000-0000410D0000}"/>
    <hyperlink ref="G3396" r:id="rId3395" xr:uid="{00000000-0004-0000-0000-0000420D0000}"/>
    <hyperlink ref="G3397" r:id="rId3396" xr:uid="{00000000-0004-0000-0000-0000430D0000}"/>
    <hyperlink ref="G3398" r:id="rId3397" xr:uid="{00000000-0004-0000-0000-0000440D0000}"/>
    <hyperlink ref="G3399" r:id="rId3398" xr:uid="{00000000-0004-0000-0000-0000450D0000}"/>
    <hyperlink ref="G3400" r:id="rId3399" xr:uid="{00000000-0004-0000-0000-0000460D0000}"/>
    <hyperlink ref="G3401" r:id="rId3400" xr:uid="{00000000-0004-0000-0000-0000470D0000}"/>
    <hyperlink ref="G3402" r:id="rId3401" xr:uid="{00000000-0004-0000-0000-0000480D0000}"/>
    <hyperlink ref="G3403" r:id="rId3402" xr:uid="{00000000-0004-0000-0000-0000490D0000}"/>
    <hyperlink ref="G3404" r:id="rId3403" xr:uid="{00000000-0004-0000-0000-00004A0D0000}"/>
    <hyperlink ref="G3405" r:id="rId3404" xr:uid="{00000000-0004-0000-0000-00004B0D0000}"/>
    <hyperlink ref="G3406" r:id="rId3405" xr:uid="{00000000-0004-0000-0000-00004C0D0000}"/>
    <hyperlink ref="G3407" r:id="rId3406" xr:uid="{00000000-0004-0000-0000-00004D0D0000}"/>
    <hyperlink ref="G3408" r:id="rId3407" xr:uid="{00000000-0004-0000-0000-00004E0D0000}"/>
    <hyperlink ref="G3409" r:id="rId3408" xr:uid="{00000000-0004-0000-0000-00004F0D0000}"/>
    <hyperlink ref="G3410" r:id="rId3409" xr:uid="{00000000-0004-0000-0000-0000500D0000}"/>
    <hyperlink ref="G3411" r:id="rId3410" xr:uid="{00000000-0004-0000-0000-0000510D0000}"/>
    <hyperlink ref="G3412" r:id="rId3411" xr:uid="{00000000-0004-0000-0000-0000520D0000}"/>
    <hyperlink ref="G3413" r:id="rId3412" xr:uid="{00000000-0004-0000-0000-0000530D0000}"/>
    <hyperlink ref="G3414" r:id="rId3413" xr:uid="{00000000-0004-0000-0000-0000540D0000}"/>
    <hyperlink ref="G3415" r:id="rId3414" xr:uid="{00000000-0004-0000-0000-0000550D0000}"/>
    <hyperlink ref="G3416" r:id="rId3415" xr:uid="{00000000-0004-0000-0000-0000560D0000}"/>
    <hyperlink ref="G3417" r:id="rId3416" xr:uid="{00000000-0004-0000-0000-0000570D0000}"/>
    <hyperlink ref="G3418" r:id="rId3417" xr:uid="{00000000-0004-0000-0000-0000580D0000}"/>
    <hyperlink ref="G3419" r:id="rId3418" xr:uid="{00000000-0004-0000-0000-0000590D0000}"/>
    <hyperlink ref="G3420" r:id="rId3419" xr:uid="{00000000-0004-0000-0000-00005A0D0000}"/>
    <hyperlink ref="G3421" r:id="rId3420" xr:uid="{00000000-0004-0000-0000-00005B0D0000}"/>
    <hyperlink ref="G3422" r:id="rId3421" xr:uid="{00000000-0004-0000-0000-00005C0D0000}"/>
    <hyperlink ref="G3423" r:id="rId3422" xr:uid="{00000000-0004-0000-0000-00005D0D0000}"/>
    <hyperlink ref="G3424" r:id="rId3423" xr:uid="{00000000-0004-0000-0000-00005E0D0000}"/>
    <hyperlink ref="G3425" r:id="rId3424" xr:uid="{00000000-0004-0000-0000-00005F0D0000}"/>
    <hyperlink ref="G3426" r:id="rId3425" xr:uid="{00000000-0004-0000-0000-0000600D0000}"/>
    <hyperlink ref="G3427" r:id="rId3426" xr:uid="{00000000-0004-0000-0000-0000610D0000}"/>
    <hyperlink ref="G3428" r:id="rId3427" xr:uid="{00000000-0004-0000-0000-0000620D0000}"/>
    <hyperlink ref="G3429" r:id="rId3428" xr:uid="{00000000-0004-0000-0000-0000630D0000}"/>
    <hyperlink ref="G3430" r:id="rId3429" xr:uid="{00000000-0004-0000-0000-0000640D0000}"/>
    <hyperlink ref="G3431" r:id="rId3430" xr:uid="{00000000-0004-0000-0000-0000650D0000}"/>
    <hyperlink ref="G3432" r:id="rId3431" xr:uid="{00000000-0004-0000-0000-0000660D0000}"/>
    <hyperlink ref="G3433" r:id="rId3432" xr:uid="{00000000-0004-0000-0000-0000670D0000}"/>
    <hyperlink ref="G3434" r:id="rId3433" xr:uid="{00000000-0004-0000-0000-0000680D0000}"/>
    <hyperlink ref="G3435" r:id="rId3434" xr:uid="{00000000-0004-0000-0000-0000690D0000}"/>
    <hyperlink ref="G3436" r:id="rId3435" xr:uid="{00000000-0004-0000-0000-00006A0D0000}"/>
    <hyperlink ref="G3437" r:id="rId3436" xr:uid="{00000000-0004-0000-0000-00006B0D0000}"/>
    <hyperlink ref="G3438" r:id="rId3437" xr:uid="{00000000-0004-0000-0000-00006C0D0000}"/>
    <hyperlink ref="G3439" r:id="rId3438" xr:uid="{00000000-0004-0000-0000-00006D0D0000}"/>
    <hyperlink ref="G3440" r:id="rId3439" xr:uid="{00000000-0004-0000-0000-00006E0D0000}"/>
    <hyperlink ref="G3441" r:id="rId3440" xr:uid="{00000000-0004-0000-0000-00006F0D0000}"/>
    <hyperlink ref="G3442" r:id="rId3441" xr:uid="{00000000-0004-0000-0000-0000700D0000}"/>
    <hyperlink ref="G3443" r:id="rId3442" xr:uid="{00000000-0004-0000-0000-0000710D0000}"/>
    <hyperlink ref="G3444" r:id="rId3443" xr:uid="{00000000-0004-0000-0000-0000720D0000}"/>
    <hyperlink ref="G3445" r:id="rId3444" xr:uid="{00000000-0004-0000-0000-0000730D0000}"/>
    <hyperlink ref="G3446" r:id="rId3445" xr:uid="{00000000-0004-0000-0000-0000740D0000}"/>
    <hyperlink ref="G3447" r:id="rId3446" xr:uid="{00000000-0004-0000-0000-0000750D0000}"/>
    <hyperlink ref="G3448" r:id="rId3447" xr:uid="{00000000-0004-0000-0000-0000760D0000}"/>
    <hyperlink ref="G3449" r:id="rId3448" xr:uid="{00000000-0004-0000-0000-0000770D0000}"/>
    <hyperlink ref="G3450" r:id="rId3449" xr:uid="{00000000-0004-0000-0000-0000780D0000}"/>
    <hyperlink ref="G3451" r:id="rId3450" xr:uid="{00000000-0004-0000-0000-0000790D0000}"/>
    <hyperlink ref="G3452" r:id="rId3451" xr:uid="{00000000-0004-0000-0000-00007A0D0000}"/>
    <hyperlink ref="G3453" r:id="rId3452" xr:uid="{00000000-0004-0000-0000-00007B0D0000}"/>
    <hyperlink ref="G3454" r:id="rId3453" xr:uid="{00000000-0004-0000-0000-00007C0D0000}"/>
    <hyperlink ref="G3455" r:id="rId3454" xr:uid="{00000000-0004-0000-0000-00007D0D0000}"/>
    <hyperlink ref="G3456" r:id="rId3455" xr:uid="{00000000-0004-0000-0000-00007E0D0000}"/>
    <hyperlink ref="G3457" r:id="rId3456" xr:uid="{00000000-0004-0000-0000-00007F0D0000}"/>
    <hyperlink ref="G3458" r:id="rId3457" xr:uid="{00000000-0004-0000-0000-0000800D0000}"/>
    <hyperlink ref="G3459" r:id="rId3458" xr:uid="{00000000-0004-0000-0000-0000810D0000}"/>
    <hyperlink ref="G3460" r:id="rId3459" xr:uid="{00000000-0004-0000-0000-0000820D0000}"/>
    <hyperlink ref="G3461" r:id="rId3460" xr:uid="{00000000-0004-0000-0000-0000830D0000}"/>
    <hyperlink ref="G3462" r:id="rId3461" xr:uid="{00000000-0004-0000-0000-0000840D0000}"/>
    <hyperlink ref="G3463" r:id="rId3462" xr:uid="{00000000-0004-0000-0000-0000850D0000}"/>
    <hyperlink ref="G3464" r:id="rId3463" xr:uid="{00000000-0004-0000-0000-0000860D0000}"/>
    <hyperlink ref="G3465" r:id="rId3464" xr:uid="{00000000-0004-0000-0000-0000870D0000}"/>
    <hyperlink ref="G3466" r:id="rId3465" xr:uid="{00000000-0004-0000-0000-0000880D0000}"/>
    <hyperlink ref="G3467" r:id="rId3466" xr:uid="{00000000-0004-0000-0000-0000890D0000}"/>
    <hyperlink ref="G3468" r:id="rId3467" xr:uid="{00000000-0004-0000-0000-00008A0D0000}"/>
    <hyperlink ref="G3469" r:id="rId3468" xr:uid="{00000000-0004-0000-0000-00008B0D0000}"/>
    <hyperlink ref="G3470" r:id="rId3469" xr:uid="{00000000-0004-0000-0000-00008C0D0000}"/>
    <hyperlink ref="G3471" r:id="rId3470" xr:uid="{00000000-0004-0000-0000-00008D0D0000}"/>
    <hyperlink ref="G3472" r:id="rId3471" xr:uid="{00000000-0004-0000-0000-00008E0D0000}"/>
    <hyperlink ref="G3473" r:id="rId3472" xr:uid="{00000000-0004-0000-0000-00008F0D0000}"/>
    <hyperlink ref="G3474" r:id="rId3473" xr:uid="{00000000-0004-0000-0000-0000900D0000}"/>
    <hyperlink ref="G3475" r:id="rId3474" xr:uid="{00000000-0004-0000-0000-0000910D0000}"/>
    <hyperlink ref="G3476" r:id="rId3475" xr:uid="{00000000-0004-0000-0000-0000920D0000}"/>
    <hyperlink ref="G3477" r:id="rId3476" xr:uid="{00000000-0004-0000-0000-0000930D0000}"/>
    <hyperlink ref="G3478" r:id="rId3477" xr:uid="{00000000-0004-0000-0000-0000940D0000}"/>
    <hyperlink ref="G3479" r:id="rId3478" xr:uid="{00000000-0004-0000-0000-0000950D0000}"/>
    <hyperlink ref="G3480" r:id="rId3479" xr:uid="{00000000-0004-0000-0000-0000960D0000}"/>
    <hyperlink ref="G3481" r:id="rId3480" xr:uid="{00000000-0004-0000-0000-0000970D0000}"/>
    <hyperlink ref="G3482" r:id="rId3481" xr:uid="{00000000-0004-0000-0000-0000980D0000}"/>
    <hyperlink ref="G3483" r:id="rId3482" xr:uid="{00000000-0004-0000-0000-0000990D0000}"/>
    <hyperlink ref="G3484" r:id="rId3483" xr:uid="{00000000-0004-0000-0000-00009A0D0000}"/>
    <hyperlink ref="G3485" r:id="rId3484" xr:uid="{00000000-0004-0000-0000-00009B0D0000}"/>
    <hyperlink ref="G3486" r:id="rId3485" xr:uid="{00000000-0004-0000-0000-00009C0D0000}"/>
    <hyperlink ref="G3487" r:id="rId3486" xr:uid="{00000000-0004-0000-0000-00009D0D0000}"/>
    <hyperlink ref="G3488" r:id="rId3487" xr:uid="{00000000-0004-0000-0000-00009E0D0000}"/>
    <hyperlink ref="G3489" r:id="rId3488" xr:uid="{00000000-0004-0000-0000-00009F0D0000}"/>
    <hyperlink ref="G3490" r:id="rId3489" xr:uid="{00000000-0004-0000-0000-0000A00D0000}"/>
    <hyperlink ref="G3491" r:id="rId3490" xr:uid="{00000000-0004-0000-0000-0000A10D0000}"/>
    <hyperlink ref="G3492" r:id="rId3491" xr:uid="{00000000-0004-0000-0000-0000A20D0000}"/>
    <hyperlink ref="G3493" r:id="rId3492" xr:uid="{00000000-0004-0000-0000-0000A30D0000}"/>
    <hyperlink ref="G3494" r:id="rId3493" xr:uid="{00000000-0004-0000-0000-0000A40D0000}"/>
    <hyperlink ref="G3495" r:id="rId3494" xr:uid="{00000000-0004-0000-0000-0000A50D0000}"/>
    <hyperlink ref="G3496" r:id="rId3495" xr:uid="{00000000-0004-0000-0000-0000A60D0000}"/>
    <hyperlink ref="G3497" r:id="rId3496" xr:uid="{00000000-0004-0000-0000-0000A70D0000}"/>
    <hyperlink ref="G3498" r:id="rId3497" xr:uid="{00000000-0004-0000-0000-0000A80D0000}"/>
    <hyperlink ref="G3499" r:id="rId3498" xr:uid="{00000000-0004-0000-0000-0000A90D0000}"/>
    <hyperlink ref="G3500" r:id="rId3499" xr:uid="{00000000-0004-0000-0000-0000AA0D0000}"/>
    <hyperlink ref="G3501" r:id="rId3500" xr:uid="{00000000-0004-0000-0000-0000AB0D0000}"/>
    <hyperlink ref="G3502" r:id="rId3501" xr:uid="{00000000-0004-0000-0000-0000AC0D0000}"/>
    <hyperlink ref="G3503" r:id="rId3502" xr:uid="{00000000-0004-0000-0000-0000AD0D0000}"/>
    <hyperlink ref="G3504" r:id="rId3503" xr:uid="{00000000-0004-0000-0000-0000AE0D0000}"/>
    <hyperlink ref="G3505" r:id="rId3504" xr:uid="{00000000-0004-0000-0000-0000AF0D0000}"/>
    <hyperlink ref="G3506" r:id="rId3505" xr:uid="{00000000-0004-0000-0000-0000B00D0000}"/>
    <hyperlink ref="G3507" r:id="rId3506" xr:uid="{00000000-0004-0000-0000-0000B10D0000}"/>
    <hyperlink ref="G3508" r:id="rId3507" xr:uid="{00000000-0004-0000-0000-0000B20D0000}"/>
    <hyperlink ref="G3509" r:id="rId3508" xr:uid="{00000000-0004-0000-0000-0000B30D0000}"/>
    <hyperlink ref="G3510" r:id="rId3509" xr:uid="{00000000-0004-0000-0000-0000B40D0000}"/>
    <hyperlink ref="G3511" r:id="rId3510" xr:uid="{00000000-0004-0000-0000-0000B50D0000}"/>
    <hyperlink ref="G3512" r:id="rId3511" xr:uid="{00000000-0004-0000-0000-0000B60D0000}"/>
    <hyperlink ref="G3513" r:id="rId3512" xr:uid="{00000000-0004-0000-0000-0000B70D0000}"/>
    <hyperlink ref="G3514" r:id="rId3513" xr:uid="{00000000-0004-0000-0000-0000B80D0000}"/>
    <hyperlink ref="G3515" r:id="rId3514" xr:uid="{00000000-0004-0000-0000-0000B90D0000}"/>
    <hyperlink ref="G3516" r:id="rId3515" xr:uid="{00000000-0004-0000-0000-0000BA0D0000}"/>
    <hyperlink ref="G3517" r:id="rId3516" xr:uid="{00000000-0004-0000-0000-0000BB0D0000}"/>
    <hyperlink ref="G3518" r:id="rId3517" xr:uid="{00000000-0004-0000-0000-0000BC0D0000}"/>
    <hyperlink ref="G3519" r:id="rId3518" xr:uid="{00000000-0004-0000-0000-0000BD0D0000}"/>
    <hyperlink ref="G3520" r:id="rId3519" xr:uid="{00000000-0004-0000-0000-0000BE0D0000}"/>
    <hyperlink ref="G3521" r:id="rId3520" xr:uid="{00000000-0004-0000-0000-0000BF0D0000}"/>
    <hyperlink ref="G3522" r:id="rId3521" xr:uid="{00000000-0004-0000-0000-0000C00D0000}"/>
    <hyperlink ref="G3523" r:id="rId3522" xr:uid="{00000000-0004-0000-0000-0000C10D0000}"/>
    <hyperlink ref="G3524" r:id="rId3523" xr:uid="{00000000-0004-0000-0000-0000C20D0000}"/>
    <hyperlink ref="G3525" r:id="rId3524" xr:uid="{00000000-0004-0000-0000-0000C30D0000}"/>
    <hyperlink ref="G3526" r:id="rId3525" xr:uid="{00000000-0004-0000-0000-0000C40D0000}"/>
    <hyperlink ref="G3527" r:id="rId3526" xr:uid="{00000000-0004-0000-0000-0000C50D0000}"/>
    <hyperlink ref="G3528" r:id="rId3527" xr:uid="{00000000-0004-0000-0000-0000C60D0000}"/>
    <hyperlink ref="G3529" r:id="rId3528" xr:uid="{00000000-0004-0000-0000-0000C70D0000}"/>
    <hyperlink ref="G3530" r:id="rId3529" xr:uid="{00000000-0004-0000-0000-0000C80D0000}"/>
    <hyperlink ref="G3531" r:id="rId3530" xr:uid="{00000000-0004-0000-0000-0000C90D0000}"/>
    <hyperlink ref="G3532" r:id="rId3531" xr:uid="{00000000-0004-0000-0000-0000CA0D0000}"/>
    <hyperlink ref="G3533" r:id="rId3532" xr:uid="{00000000-0004-0000-0000-0000CB0D0000}"/>
    <hyperlink ref="G3534" r:id="rId3533" xr:uid="{00000000-0004-0000-0000-0000CC0D0000}"/>
    <hyperlink ref="G3535" r:id="rId3534" xr:uid="{00000000-0004-0000-0000-0000CD0D0000}"/>
    <hyperlink ref="G3536" r:id="rId3535" xr:uid="{00000000-0004-0000-0000-0000CE0D0000}"/>
    <hyperlink ref="G3537" r:id="rId3536" xr:uid="{00000000-0004-0000-0000-0000CF0D0000}"/>
    <hyperlink ref="G3538" r:id="rId3537" xr:uid="{00000000-0004-0000-0000-0000D00D0000}"/>
    <hyperlink ref="G3539" r:id="rId3538" xr:uid="{00000000-0004-0000-0000-0000D10D0000}"/>
    <hyperlink ref="G3540" r:id="rId3539" xr:uid="{00000000-0004-0000-0000-0000D20D0000}"/>
    <hyperlink ref="G3541" r:id="rId3540" xr:uid="{00000000-0004-0000-0000-0000D30D0000}"/>
    <hyperlink ref="G3542" r:id="rId3541" xr:uid="{00000000-0004-0000-0000-0000D40D0000}"/>
    <hyperlink ref="G3543" r:id="rId3542" xr:uid="{00000000-0004-0000-0000-0000D50D0000}"/>
    <hyperlink ref="G3544" r:id="rId3543" xr:uid="{00000000-0004-0000-0000-0000D60D0000}"/>
    <hyperlink ref="G3545" r:id="rId3544" xr:uid="{00000000-0004-0000-0000-0000D70D0000}"/>
    <hyperlink ref="G3546" r:id="rId3545" xr:uid="{00000000-0004-0000-0000-0000D80D0000}"/>
    <hyperlink ref="G3547" r:id="rId3546" xr:uid="{00000000-0004-0000-0000-0000D90D0000}"/>
    <hyperlink ref="G3548" r:id="rId3547" xr:uid="{00000000-0004-0000-0000-0000DA0D0000}"/>
    <hyperlink ref="G3549" r:id="rId3548" xr:uid="{00000000-0004-0000-0000-0000DB0D0000}"/>
    <hyperlink ref="G3550" r:id="rId3549" xr:uid="{00000000-0004-0000-0000-0000DC0D0000}"/>
    <hyperlink ref="G3551" r:id="rId3550" xr:uid="{00000000-0004-0000-0000-0000DD0D0000}"/>
    <hyperlink ref="G3552" r:id="rId3551" xr:uid="{00000000-0004-0000-0000-0000DE0D0000}"/>
    <hyperlink ref="G3553" r:id="rId3552" xr:uid="{00000000-0004-0000-0000-0000DF0D0000}"/>
    <hyperlink ref="G3554" r:id="rId3553" xr:uid="{00000000-0004-0000-0000-0000E00D0000}"/>
    <hyperlink ref="G3555" r:id="rId3554" xr:uid="{00000000-0004-0000-0000-0000E10D0000}"/>
    <hyperlink ref="G3556" r:id="rId3555" xr:uid="{00000000-0004-0000-0000-0000E20D0000}"/>
    <hyperlink ref="G3557" r:id="rId3556" xr:uid="{00000000-0004-0000-0000-0000E30D0000}"/>
    <hyperlink ref="G3558" r:id="rId3557" xr:uid="{00000000-0004-0000-0000-0000E40D0000}"/>
    <hyperlink ref="G3559" r:id="rId3558" xr:uid="{00000000-0004-0000-0000-0000E50D0000}"/>
    <hyperlink ref="G3560" r:id="rId3559" xr:uid="{00000000-0004-0000-0000-0000E60D0000}"/>
    <hyperlink ref="G3561" r:id="rId3560" xr:uid="{00000000-0004-0000-0000-0000E70D0000}"/>
    <hyperlink ref="G3562" r:id="rId3561" xr:uid="{00000000-0004-0000-0000-0000E80D0000}"/>
    <hyperlink ref="G3563" r:id="rId3562" xr:uid="{00000000-0004-0000-0000-0000E90D0000}"/>
    <hyperlink ref="G3564" r:id="rId3563" xr:uid="{00000000-0004-0000-0000-0000EA0D0000}"/>
    <hyperlink ref="G3565" r:id="rId3564" xr:uid="{00000000-0004-0000-0000-0000EB0D0000}"/>
    <hyperlink ref="G3566" r:id="rId3565" xr:uid="{00000000-0004-0000-0000-0000EC0D0000}"/>
    <hyperlink ref="G3567" r:id="rId3566" xr:uid="{00000000-0004-0000-0000-0000ED0D0000}"/>
    <hyperlink ref="G3568" r:id="rId3567" xr:uid="{00000000-0004-0000-0000-0000EE0D0000}"/>
    <hyperlink ref="G3569" r:id="rId3568" xr:uid="{00000000-0004-0000-0000-0000EF0D0000}"/>
    <hyperlink ref="G3570" r:id="rId3569" xr:uid="{00000000-0004-0000-0000-0000F00D0000}"/>
    <hyperlink ref="G3571" r:id="rId3570" xr:uid="{00000000-0004-0000-0000-0000F10D0000}"/>
    <hyperlink ref="G3572" r:id="rId3571" xr:uid="{00000000-0004-0000-0000-0000F20D0000}"/>
    <hyperlink ref="G3573" r:id="rId3572" xr:uid="{00000000-0004-0000-0000-0000F30D0000}"/>
    <hyperlink ref="G3574" r:id="rId3573" xr:uid="{00000000-0004-0000-0000-0000F40D0000}"/>
    <hyperlink ref="G3575" r:id="rId3574" xr:uid="{00000000-0004-0000-0000-0000F50D0000}"/>
    <hyperlink ref="G3576" r:id="rId3575" xr:uid="{00000000-0004-0000-0000-0000F60D0000}"/>
    <hyperlink ref="G3577" r:id="rId3576" xr:uid="{00000000-0004-0000-0000-0000F70D0000}"/>
    <hyperlink ref="G3578" r:id="rId3577" xr:uid="{00000000-0004-0000-0000-0000F80D0000}"/>
    <hyperlink ref="G3579" r:id="rId3578" xr:uid="{00000000-0004-0000-0000-0000F90D0000}"/>
    <hyperlink ref="G3580" r:id="rId3579" xr:uid="{00000000-0004-0000-0000-0000FA0D0000}"/>
    <hyperlink ref="G3581" r:id="rId3580" xr:uid="{00000000-0004-0000-0000-0000FB0D0000}"/>
    <hyperlink ref="G3582" r:id="rId3581" xr:uid="{00000000-0004-0000-0000-0000FC0D0000}"/>
    <hyperlink ref="G3583" r:id="rId3582" xr:uid="{00000000-0004-0000-0000-0000FD0D0000}"/>
    <hyperlink ref="G3584" r:id="rId3583" xr:uid="{00000000-0004-0000-0000-0000FE0D0000}"/>
    <hyperlink ref="G3585" r:id="rId3584" xr:uid="{00000000-0004-0000-0000-0000FF0D0000}"/>
    <hyperlink ref="G3586" r:id="rId3585" xr:uid="{00000000-0004-0000-0000-0000000E0000}"/>
    <hyperlink ref="G3587" r:id="rId3586" xr:uid="{00000000-0004-0000-0000-0000010E0000}"/>
    <hyperlink ref="G3588" r:id="rId3587" xr:uid="{00000000-0004-0000-0000-0000020E0000}"/>
    <hyperlink ref="G3589" r:id="rId3588" xr:uid="{00000000-0004-0000-0000-0000030E0000}"/>
    <hyperlink ref="G3590" r:id="rId3589" xr:uid="{00000000-0004-0000-0000-0000040E0000}"/>
    <hyperlink ref="G3591" r:id="rId3590" xr:uid="{00000000-0004-0000-0000-0000050E0000}"/>
    <hyperlink ref="G3592" r:id="rId3591" xr:uid="{00000000-0004-0000-0000-0000060E0000}"/>
    <hyperlink ref="G3593" r:id="rId3592" xr:uid="{00000000-0004-0000-0000-0000070E0000}"/>
    <hyperlink ref="G3594" r:id="rId3593" xr:uid="{00000000-0004-0000-0000-0000080E0000}"/>
    <hyperlink ref="G3595" r:id="rId3594" xr:uid="{00000000-0004-0000-0000-0000090E0000}"/>
    <hyperlink ref="G3596" r:id="rId3595" xr:uid="{00000000-0004-0000-0000-00000A0E0000}"/>
    <hyperlink ref="G3597" r:id="rId3596" xr:uid="{00000000-0004-0000-0000-00000B0E0000}"/>
    <hyperlink ref="G3598" r:id="rId3597" xr:uid="{00000000-0004-0000-0000-00000C0E0000}"/>
    <hyperlink ref="G3599" r:id="rId3598" xr:uid="{00000000-0004-0000-0000-00000D0E0000}"/>
    <hyperlink ref="G3600" r:id="rId3599" xr:uid="{00000000-0004-0000-0000-00000E0E0000}"/>
    <hyperlink ref="G3601" r:id="rId3600" xr:uid="{00000000-0004-0000-0000-00000F0E0000}"/>
    <hyperlink ref="G3602" r:id="rId3601" xr:uid="{00000000-0004-0000-0000-0000100E0000}"/>
    <hyperlink ref="G3603" r:id="rId3602" xr:uid="{00000000-0004-0000-0000-0000110E0000}"/>
    <hyperlink ref="G3604" r:id="rId3603" xr:uid="{00000000-0004-0000-0000-0000120E0000}"/>
    <hyperlink ref="G3605" r:id="rId3604" xr:uid="{00000000-0004-0000-0000-0000130E0000}"/>
    <hyperlink ref="G3606" r:id="rId3605" xr:uid="{00000000-0004-0000-0000-0000140E0000}"/>
    <hyperlink ref="G3607" r:id="rId3606" xr:uid="{00000000-0004-0000-0000-0000150E0000}"/>
    <hyperlink ref="G3608" r:id="rId3607" xr:uid="{00000000-0004-0000-0000-0000160E0000}"/>
    <hyperlink ref="G3609" r:id="rId3608" xr:uid="{00000000-0004-0000-0000-0000170E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Towae</cp:lastModifiedBy>
  <dcterms:created xsi:type="dcterms:W3CDTF">2022-06-01T18:50:03Z</dcterms:created>
  <dcterms:modified xsi:type="dcterms:W3CDTF">2022-11-30T16:29:46Z</dcterms:modified>
</cp:coreProperties>
</file>