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ibit-my.sharepoint.com/personal/f_venturoli_campus_unimib_it/Documents/Secondo anno/Lab II/Esperienze/Interferometro/"/>
    </mc:Choice>
  </mc:AlternateContent>
  <xr:revisionPtr revIDLastSave="0" documentId="8_{9A5BB683-4E0C-5B4F-A6F4-61C74594295C}" xr6:coauthVersionLast="47" xr6:coauthVersionMax="47" xr10:uidLastSave="{00000000-0000-0000-0000-000000000000}"/>
  <bookViews>
    <workbookView xWindow="14500" yWindow="500" windowWidth="14300" windowHeight="16100" firstSheet="2" activeTab="4" xr2:uid="{0FF5242E-8E14-A449-99D5-91270E0F3669}"/>
  </bookViews>
  <sheets>
    <sheet name="Sheet1" sheetId="1" r:id="rId1"/>
    <sheet name="calibrazione micrometro" sheetId="2" r:id="rId2"/>
    <sheet name="laser verde" sheetId="3" r:id="rId3"/>
    <sheet name="rifrazione aria" sheetId="4" r:id="rId4"/>
    <sheet name="rifrazione vetro" sheetId="5" r:id="rId5"/>
    <sheet name="Esperienza virtuale" sheetId="6" r:id="rId6"/>
  </sheets>
  <definedNames>
    <definedName name="_xlchart.v1.0" hidden="1">'calibrazione micrometro'!$A$4:$A$26</definedName>
    <definedName name="_xlchart.v1.1" hidden="1">'calibrazione micrometro'!$E$4:$E$25</definedName>
    <definedName name="_xlchart.v1.2" hidden="1">'laser verde'!$L$1:$L$10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6" l="1"/>
  <c r="D75" i="6"/>
  <c r="D57" i="6"/>
  <c r="D41" i="6"/>
  <c r="B85" i="6"/>
  <c r="A85" i="6"/>
  <c r="B66" i="6"/>
  <c r="A66" i="6"/>
  <c r="D38" i="6"/>
  <c r="B48" i="6"/>
  <c r="A48" i="6"/>
  <c r="B26" i="6"/>
  <c r="A26" i="6"/>
  <c r="G2" i="6" s="1"/>
  <c r="G6" i="6"/>
  <c r="G2" i="4"/>
  <c r="G3" i="4"/>
  <c r="G4" i="4"/>
  <c r="G5" i="4"/>
  <c r="G6" i="4"/>
  <c r="L24" i="4"/>
  <c r="G3" i="6" l="1"/>
  <c r="G4" i="6"/>
  <c r="G5" i="6"/>
  <c r="E40" i="2"/>
  <c r="G5" i="1"/>
  <c r="L11" i="3"/>
  <c r="L2" i="3"/>
  <c r="L3" i="3"/>
  <c r="L4" i="3"/>
  <c r="L5" i="3"/>
  <c r="L6" i="3"/>
  <c r="L7" i="3"/>
  <c r="L8" i="3"/>
  <c r="L9" i="3"/>
  <c r="L10" i="3"/>
  <c r="L1" i="3"/>
  <c r="F18" i="4"/>
  <c r="H34" i="4"/>
  <c r="B28" i="4"/>
  <c r="F34" i="4"/>
  <c r="F33" i="4"/>
  <c r="C36" i="4"/>
  <c r="F24" i="4"/>
  <c r="G19" i="4"/>
  <c r="G20" i="4"/>
  <c r="G21" i="4"/>
  <c r="G22" i="4"/>
  <c r="G18" i="4"/>
  <c r="F22" i="4"/>
  <c r="F21" i="4"/>
  <c r="F20" i="4"/>
  <c r="F19" i="4"/>
  <c r="B24" i="4" l="1"/>
  <c r="A24" i="4"/>
  <c r="D24" i="4"/>
  <c r="C17" i="5"/>
  <c r="B19" i="5"/>
  <c r="C21" i="5" s="1"/>
  <c r="C23" i="5" s="1"/>
  <c r="F17" i="5" s="1"/>
  <c r="I7" i="5"/>
  <c r="H7" i="5"/>
  <c r="K6" i="3"/>
  <c r="G22" i="3"/>
  <c r="G23" i="3"/>
  <c r="G25" i="3"/>
  <c r="G26" i="3" s="1"/>
  <c r="G24" i="3"/>
  <c r="K10" i="3"/>
  <c r="K9" i="3"/>
  <c r="K8" i="3"/>
  <c r="K7" i="3"/>
  <c r="K5" i="3"/>
  <c r="K4" i="3"/>
  <c r="K3" i="3"/>
  <c r="K2" i="3"/>
  <c r="K1" i="3"/>
  <c r="A14" i="3"/>
  <c r="E6" i="3"/>
  <c r="C30" i="3"/>
  <c r="C29" i="3"/>
  <c r="E4" i="3"/>
  <c r="C25" i="3"/>
  <c r="C22" i="3"/>
  <c r="C23" i="3"/>
  <c r="C26" i="3"/>
  <c r="D42" i="1"/>
  <c r="A42" i="1"/>
  <c r="D36" i="1"/>
  <c r="D37" i="1"/>
  <c r="D38" i="1"/>
  <c r="D39" i="1"/>
  <c r="D35" i="1"/>
  <c r="A36" i="1"/>
  <c r="A37" i="1"/>
  <c r="A38" i="1"/>
  <c r="A39" i="1"/>
  <c r="A35" i="1"/>
  <c r="D30" i="1"/>
  <c r="D29" i="1"/>
  <c r="D32" i="1"/>
  <c r="D31" i="1"/>
  <c r="D28" i="1"/>
  <c r="A32" i="1"/>
  <c r="A31" i="1"/>
  <c r="A30" i="1"/>
  <c r="A29" i="1"/>
  <c r="A28" i="1"/>
  <c r="B11" i="1"/>
  <c r="E5" i="3"/>
  <c r="E3" i="3"/>
  <c r="E35" i="2"/>
  <c r="B57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35" i="2"/>
  <c r="A54" i="2"/>
  <c r="A55" i="2"/>
  <c r="A56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35" i="2"/>
  <c r="G12" i="4"/>
  <c r="A7" i="5"/>
  <c r="A8" i="5"/>
  <c r="A9" i="5"/>
  <c r="A10" i="5"/>
  <c r="A11" i="5"/>
  <c r="A12" i="5"/>
  <c r="A13" i="5"/>
  <c r="E13" i="5" s="1"/>
  <c r="A14" i="5"/>
  <c r="A15" i="5"/>
  <c r="A6" i="5"/>
  <c r="A17" i="5"/>
  <c r="K2" i="5"/>
  <c r="E15" i="5" s="1"/>
  <c r="E8" i="5"/>
  <c r="B23" i="4"/>
  <c r="A23" i="4"/>
  <c r="D19" i="4"/>
  <c r="D20" i="4"/>
  <c r="D21" i="4"/>
  <c r="D22" i="4"/>
  <c r="D18" i="4"/>
  <c r="D23" i="4" s="1"/>
  <c r="C19" i="4"/>
  <c r="C24" i="4" s="1"/>
  <c r="C20" i="4"/>
  <c r="C21" i="4"/>
  <c r="C22" i="4"/>
  <c r="C18" i="4"/>
  <c r="A5" i="1"/>
  <c r="A26" i="2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E26" i="2" s="1"/>
  <c r="D7" i="2"/>
  <c r="E7" i="2" s="1"/>
  <c r="D6" i="2"/>
  <c r="E6" i="2" s="1"/>
  <c r="D5" i="2"/>
  <c r="E5" i="2" s="1"/>
  <c r="D4" i="2"/>
  <c r="E4" i="2" s="1"/>
  <c r="C32" i="4" l="1"/>
  <c r="C33" i="4" s="1"/>
  <c r="E9" i="5"/>
  <c r="E14" i="5"/>
  <c r="C28" i="3"/>
  <c r="C23" i="4"/>
  <c r="L23" i="4" s="1"/>
  <c r="E11" i="5"/>
  <c r="E7" i="5"/>
  <c r="E10" i="5"/>
  <c r="E6" i="5"/>
  <c r="C11" i="1"/>
  <c r="E12" i="5"/>
  <c r="D26" i="2"/>
  <c r="C28" i="4" l="1"/>
  <c r="E17" i="5"/>
  <c r="C34" i="4"/>
  <c r="K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tc={EFBA16E7-EBAC-6B47-8F4F-17334A6C2D2A}</author>
  </authors>
  <commentList>
    <comment ref="A1" authorId="0" shapeId="0" xr:uid="{EFBA16E7-EBAC-6B47-8F4F-17334A6C2D2A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delta P = Pf - Pi, con Pf = 0 sempre, Pi &lt; 0 sempre, allora delta P &gt; 0 sempre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CFCB419A-E134-5446-90A6-39DE67977AD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Il theta di inversione lo mettiamo = 0 e partiamo a calcolare i theta usati per l'interpolazione da lì</t>
        </r>
      </text>
    </comment>
  </commentList>
</comments>
</file>

<file path=xl/sharedStrings.xml><?xml version="1.0" encoding="utf-8"?>
<sst xmlns="http://schemas.openxmlformats.org/spreadsheetml/2006/main" count="113" uniqueCount="98">
  <si>
    <t>155 cm</t>
  </si>
  <si>
    <t xml:space="preserve">Distanza lente convergente e laser </t>
  </si>
  <si>
    <t>15 cm</t>
  </si>
  <si>
    <t>d=20 micrometri</t>
  </si>
  <si>
    <t>frangie misurate quando arricano</t>
  </si>
  <si>
    <t>delta N</t>
  </si>
  <si>
    <t>diametro</t>
  </si>
  <si>
    <t>raggio</t>
  </si>
  <si>
    <t>raggio cm</t>
  </si>
  <si>
    <t>theta</t>
  </si>
  <si>
    <t>Distanza muro lente convergente cm</t>
  </si>
  <si>
    <t>rapporto</t>
  </si>
  <si>
    <t>theta in gradi</t>
  </si>
  <si>
    <t>lambda</t>
  </si>
  <si>
    <t>delta d</t>
  </si>
  <si>
    <t>MEDIA</t>
  </si>
  <si>
    <t>DEVST</t>
  </si>
  <si>
    <t>raggi</t>
  </si>
  <si>
    <t>cm</t>
  </si>
  <si>
    <t>d=20 micro</t>
  </si>
  <si>
    <t>errore sul delta d</t>
  </si>
  <si>
    <t>distanza</t>
  </si>
  <si>
    <t>coseno</t>
  </si>
  <si>
    <t>lambda (nm)</t>
  </si>
  <si>
    <t>media</t>
  </si>
  <si>
    <t>delta P (kPa)</t>
  </si>
  <si>
    <t>x</t>
  </si>
  <si>
    <t xml:space="preserve">Presi ma non utilizzati perché troppo veloce </t>
  </si>
  <si>
    <t>y</t>
  </si>
  <si>
    <t>xy</t>
  </si>
  <si>
    <t>x^2</t>
  </si>
  <si>
    <t>medie</t>
  </si>
  <si>
    <t>stimatore B</t>
  </si>
  <si>
    <t>stimatore A</t>
  </si>
  <si>
    <t>coeff rifrazzione aria</t>
  </si>
  <si>
    <t>patm</t>
  </si>
  <si>
    <t>Delta N</t>
  </si>
  <si>
    <t>errore su d da calibrazione micrometro</t>
  </si>
  <si>
    <t>Theta inversione (°)</t>
  </si>
  <si>
    <t>nonio</t>
  </si>
  <si>
    <t>indice di rifrazione vetro</t>
  </si>
  <si>
    <t>d ( spessore lastra di vetro) cm</t>
  </si>
  <si>
    <t>Lambda laser rosso cm</t>
  </si>
  <si>
    <t xml:space="preserve"> (rad) (5°)</t>
  </si>
  <si>
    <t>y=ax+b</t>
  </si>
  <si>
    <t>scarti</t>
  </si>
  <si>
    <t>quatrati</t>
  </si>
  <si>
    <t>somma</t>
  </si>
  <si>
    <t>Raggi</t>
  </si>
  <si>
    <t>Scarto su distanza muro-lente</t>
  </si>
  <si>
    <t>scarto su raggio</t>
  </si>
  <si>
    <t>Scarto al qudrato</t>
  </si>
  <si>
    <t>errore su distanza tra lente e muro</t>
  </si>
  <si>
    <t>errore su raggio</t>
  </si>
  <si>
    <t>errore su theta</t>
  </si>
  <si>
    <t>derivata parziale su r</t>
  </si>
  <si>
    <t>contributo dal raggio</t>
  </si>
  <si>
    <t>derivata parziale su D</t>
  </si>
  <si>
    <t>contributo da D</t>
  </si>
  <si>
    <t>errore in rad</t>
  </si>
  <si>
    <t>dev st</t>
  </si>
  <si>
    <t>seno</t>
  </si>
  <si>
    <t>derivata parziale su theta</t>
  </si>
  <si>
    <t>contributo da theta</t>
  </si>
  <si>
    <t>derivata parziale su d</t>
  </si>
  <si>
    <t>contributo da d</t>
  </si>
  <si>
    <t>errore su lambda</t>
  </si>
  <si>
    <t>0,002 cm</t>
  </si>
  <si>
    <t>"ipotetico" numero di frangia per il suo raggio</t>
  </si>
  <si>
    <t>Abbiamo messo 1,2,3,4,5, ma in verità parliamo di un numero di frangia che non conosciamo, è meglio mettere 10,20,30,40, ma comunque poco cambia per qualasiasi numero di frangia mettiamo in quanto non lo conosciamo, dobbiamo solo immaginare sia corretta</t>
  </si>
  <si>
    <t>1-cos(theta)</t>
  </si>
  <si>
    <t>errore</t>
  </si>
  <si>
    <t>derivata rispetto a d</t>
  </si>
  <si>
    <t>delta</t>
  </si>
  <si>
    <t>somme</t>
  </si>
  <si>
    <t>a</t>
  </si>
  <si>
    <t>b</t>
  </si>
  <si>
    <t>sigmay</t>
  </si>
  <si>
    <t>sigma a</t>
  </si>
  <si>
    <t>sigma b</t>
  </si>
  <si>
    <t xml:space="preserve">STIAMO USANDO y= bx +a </t>
  </si>
  <si>
    <t>Distanza muro compenent holder</t>
  </si>
  <si>
    <t>T Test</t>
  </si>
  <si>
    <t>da 7 a 20</t>
  </si>
  <si>
    <t>da 10 a 20</t>
  </si>
  <si>
    <t>da 13 a 20</t>
  </si>
  <si>
    <t>d</t>
  </si>
  <si>
    <t>da 16 a 20</t>
  </si>
  <si>
    <t>da 18 a 20</t>
  </si>
  <si>
    <t>lambda nm</t>
  </si>
  <si>
    <t>delta d atteso</t>
  </si>
  <si>
    <t>thta</t>
  </si>
  <si>
    <t>d micrometro</t>
  </si>
  <si>
    <t>Lase rosso</t>
  </si>
  <si>
    <t>massimi</t>
  </si>
  <si>
    <t>laser giallo</t>
  </si>
  <si>
    <t>laser blu</t>
  </si>
  <si>
    <t>laser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</si>
</sst>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0" borderId="0" xfId="0" applyNumberFormat="1"/>
    <xf numFmtId="11" fontId="0" fillId="0" borderId="0" xfId="0" applyNumberFormat="1"/>
    <xf numFmtId="0" fontId="0" fillId="3" borderId="0" xfId="0" applyFill="1"/>
    <xf numFmtId="0" fontId="3" fillId="0" borderId="0" xfId="0" applyFon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7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Fit rifrazione 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'rifrazione aria'!$H$2:$H$6</c:f>
              <c:numCache>
                <c:formatCode>General</c:formatCode>
                <c:ptCount val="5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</c:numCache>
            </c:numRef>
          </c:xVal>
          <c:yVal>
            <c:numRef>
              <c:f>'rifrazione aria'!$G$2:$G$6</c:f>
              <c:numCache>
                <c:formatCode>0</c:formatCode>
                <c:ptCount val="5"/>
                <c:pt idx="0" formatCode="General">
                  <c:v>18</c:v>
                </c:pt>
                <c:pt idx="1">
                  <c:v>15.333333333333334</c:v>
                </c:pt>
                <c:pt idx="2" formatCode="General">
                  <c:v>13</c:v>
                </c:pt>
                <c:pt idx="3" formatCode="General">
                  <c:v>10</c:v>
                </c:pt>
                <c:pt idx="4" formatCode="General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B-2B45-A457-E01C5799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23407"/>
        <c:axId val="384724223"/>
      </c:scatterChart>
      <c:valAx>
        <c:axId val="384723407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ΔP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724223"/>
        <c:crosses val="autoZero"/>
        <c:crossBetween val="midCat"/>
      </c:valAx>
      <c:valAx>
        <c:axId val="384724223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ΔN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72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0EBE7EB-78EC-1C46-A623-7C039EB5F3E7}">
          <cx:dataPt idx="0"/>
          <cx:dataPt idx="18"/>
          <cx:dataId val="0"/>
          <cx:layoutPr>
            <cx:binning intervalClosed="r">
              <cx:binCount val="2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1E97E47-EFB4-D642-82FD-45006D3D2A97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5FF83D4-3292-A64B-9FDB-A70AB17B1E81}">
          <cx:dataLabels pos="inEnd">
            <cx:visibility seriesName="0" categoryName="0" value="1"/>
          </cx:dataLabels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0</xdr:row>
      <xdr:rowOff>190500</xdr:rowOff>
    </xdr:from>
    <xdr:to>
      <xdr:col>18</xdr:col>
      <xdr:colOff>25400</xdr:colOff>
      <xdr:row>19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55E8FD1-888B-4E41-ACD7-6C58EDA8D6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850" y="190500"/>
              <a:ext cx="6597650" cy="384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9</xdr:col>
      <xdr:colOff>812027</xdr:colOff>
      <xdr:row>22</xdr:row>
      <xdr:rowOff>20265</xdr:rowOff>
    </xdr:from>
    <xdr:to>
      <xdr:col>19</xdr:col>
      <xdr:colOff>679897</xdr:colOff>
      <xdr:row>46</xdr:row>
      <xdr:rowOff>51311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2A89C30-568D-4947-878B-FFC3373515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0627" y="4490665"/>
              <a:ext cx="8122870" cy="49078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457200</xdr:colOff>
      <xdr:row>19</xdr:row>
      <xdr:rowOff>95250</xdr:rowOff>
    </xdr:from>
    <xdr:ext cx="170938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D1C543-0B0C-8E4B-BBBA-972952FDE7FF}"/>
                </a:ext>
              </a:extLst>
            </xdr:cNvPr>
            <xdr:cNvSpPr txBox="1"/>
          </xdr:nvSpPr>
          <xdr:spPr>
            <a:xfrm>
              <a:off x="8521700" y="3956050"/>
              <a:ext cx="170938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𝜕𝜗</m:t>
                                </m:r>
                              </m:num>
                              <m:den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𝜕</m:t>
                                </m:r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𝑟</m:t>
                                </m:r>
                              </m:den>
                            </m:f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Sup>
                          <m:sSub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𝜕𝜗</m:t>
                                </m:r>
                              </m:num>
                              <m:den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𝜕</m:t>
                                </m:r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𝐷</m:t>
                                </m:r>
                              </m:den>
                            </m:f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Sup>
                          <m:sSub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sub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D1C543-0B0C-8E4B-BBBA-972952FDE7FF}"/>
                </a:ext>
              </a:extLst>
            </xdr:cNvPr>
            <xdr:cNvSpPr txBox="1"/>
          </xdr:nvSpPr>
          <xdr:spPr>
            <a:xfrm>
              <a:off x="8521700" y="3956050"/>
              <a:ext cx="170938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𝜎_𝜃</a:t>
              </a:r>
              <a:r>
                <a:rPr lang="it-IT" sz="1100" b="0" i="0">
                  <a:latin typeface="Cambria Math" panose="02040503050406030204" pitchFamily="18" charset="0"/>
                </a:rPr>
                <a:t>=√(〖(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𝜕𝜗/𝜕𝑟</a:t>
              </a:r>
              <a:r>
                <a:rPr lang="it-IT" sz="1100" b="0" i="0">
                  <a:latin typeface="Cambria Math" panose="02040503050406030204" pitchFamily="18" charset="0"/>
                </a:rPr>
                <a:t>)〗^2 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100" b="0" i="0">
                  <a:latin typeface="Cambria Math" panose="02040503050406030204" pitchFamily="18" charset="0"/>
                </a:rPr>
                <a:t>𝑟^2+〖(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𝜕𝜗/𝜕𝐷</a:t>
              </a:r>
              <a:r>
                <a:rPr lang="it-IT" sz="1100" b="0" i="0">
                  <a:latin typeface="Cambria Math" panose="02040503050406030204" pitchFamily="18" charset="0"/>
                </a:rPr>
                <a:t>)〗^2 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𝜎_𝐷^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781050</xdr:colOff>
      <xdr:row>18</xdr:row>
      <xdr:rowOff>57150</xdr:rowOff>
    </xdr:from>
    <xdr:ext cx="65" cy="17209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04BEEA-7EE3-7942-84F4-AB443A04980E}"/>
            </a:ext>
          </a:extLst>
        </xdr:cNvPr>
        <xdr:cNvSpPr txBox="1"/>
      </xdr:nvSpPr>
      <xdr:spPr>
        <a:xfrm>
          <a:off x="8540750" y="371475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9</xdr:col>
      <xdr:colOff>476250</xdr:colOff>
      <xdr:row>15</xdr:row>
      <xdr:rowOff>101600</xdr:rowOff>
    </xdr:from>
    <xdr:ext cx="166507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55E649D-9B7F-6341-8D04-CCCF89209AC0}"/>
                </a:ext>
              </a:extLst>
            </xdr:cNvPr>
            <xdr:cNvSpPr txBox="1"/>
          </xdr:nvSpPr>
          <xdr:spPr>
            <a:xfrm>
              <a:off x="8540750" y="3149600"/>
              <a:ext cx="166507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𝜕𝜆</m:t>
                                </m:r>
                              </m:num>
                              <m:den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𝜕𝜗</m:t>
                                </m:r>
                              </m:den>
                            </m:f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Sup>
                          <m:sSub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𝜗</m:t>
                            </m:r>
                          </m:sub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𝜕𝜆</m:t>
                                </m:r>
                              </m:num>
                              <m:den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𝜕</m:t>
                                </m:r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den>
                            </m:f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Sup>
                          <m:sSub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55E649D-9B7F-6341-8D04-CCCF89209AC0}"/>
                </a:ext>
              </a:extLst>
            </xdr:cNvPr>
            <xdr:cNvSpPr txBox="1"/>
          </xdr:nvSpPr>
          <xdr:spPr>
            <a:xfrm>
              <a:off x="8540750" y="3149600"/>
              <a:ext cx="166507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𝜎_𝜆</a:t>
              </a:r>
              <a:r>
                <a:rPr lang="it-IT" sz="1100" b="0" i="0">
                  <a:latin typeface="Cambria Math" panose="02040503050406030204" pitchFamily="18" charset="0"/>
                </a:rPr>
                <a:t>=√(〖(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𝜕𝜆/𝜕𝜗</a:t>
              </a:r>
              <a:r>
                <a:rPr lang="it-IT" sz="1100" b="0" i="0">
                  <a:latin typeface="Cambria Math" panose="02040503050406030204" pitchFamily="18" charset="0"/>
                </a:rPr>
                <a:t>)〗^2 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𝜎_𝜗^</a:t>
              </a:r>
              <a:r>
                <a:rPr lang="it-IT" sz="1100" b="0" i="0">
                  <a:latin typeface="Cambria Math" panose="02040503050406030204" pitchFamily="18" charset="0"/>
                </a:rPr>
                <a:t>2+〖(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𝜕𝜆/𝜕𝑑</a:t>
              </a:r>
              <a:r>
                <a:rPr lang="it-IT" sz="1100" b="0" i="0">
                  <a:latin typeface="Cambria Math" panose="02040503050406030204" pitchFamily="18" charset="0"/>
                </a:rPr>
                <a:t>)〗^2 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𝜎_𝑑^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8</xdr:col>
      <xdr:colOff>444500</xdr:colOff>
      <xdr:row>13</xdr:row>
      <xdr:rowOff>81845</xdr:rowOff>
    </xdr:from>
    <xdr:to>
      <xdr:col>13</xdr:col>
      <xdr:colOff>684389</xdr:colOff>
      <xdr:row>27</xdr:row>
      <xdr:rowOff>59267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B48C48E-F18F-514E-83E6-BF71646C9E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3500" y="2723445"/>
              <a:ext cx="4545189" cy="2822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343259</xdr:colOff>
      <xdr:row>0</xdr:row>
      <xdr:rowOff>190500</xdr:rowOff>
    </xdr:from>
    <xdr:to>
      <xdr:col>23</xdr:col>
      <xdr:colOff>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DF56F1-18E5-4F44-A024-441A70ECA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.venturoli@campus.unimib.it" id="{C99D3867-225A-FE42-84FC-66E01D951ADF}" userId="S::f.venturoli@campus.unimib.it::86aa111b-e5af-4e13-9152-bd258f019e74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3-17T15:44:40.72" personId="{C99D3867-225A-FE42-84FC-66E01D951ADF}" id="{EFBA16E7-EBAC-6B47-8F4F-17334A6C2D2A}">
    <text>delta P = Pf - Pi, con Pf = 0 sempre, Pi &lt; 0 sempre, allora delta P &gt; 0 sempre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EBA2-50F7-7548-9591-7A9D03EA404E}">
  <dimension ref="A1:G42"/>
  <sheetViews>
    <sheetView workbookViewId="0">
      <selection activeCell="G5" sqref="G5"/>
    </sheetView>
  </sheetViews>
  <sheetFormatPr baseColWidth="10" defaultRowHeight="16" x14ac:dyDescent="0.2"/>
  <cols>
    <col min="4" max="4" width="12.1640625" bestFit="1" customWidth="1"/>
  </cols>
  <sheetData>
    <row r="1" spans="1:7" x14ac:dyDescent="0.2">
      <c r="A1" t="s">
        <v>81</v>
      </c>
    </row>
    <row r="2" spans="1:7" x14ac:dyDescent="0.2">
      <c r="A2" t="s">
        <v>0</v>
      </c>
    </row>
    <row r="4" spans="1:7" x14ac:dyDescent="0.2">
      <c r="A4" t="s">
        <v>10</v>
      </c>
    </row>
    <row r="5" spans="1:7" x14ac:dyDescent="0.2">
      <c r="A5" s="2">
        <f>AVERAGE(B5:F5)</f>
        <v>184.4</v>
      </c>
      <c r="B5">
        <v>186</v>
      </c>
      <c r="C5">
        <v>186</v>
      </c>
      <c r="D5">
        <v>180</v>
      </c>
      <c r="E5">
        <v>185</v>
      </c>
      <c r="F5">
        <v>185</v>
      </c>
      <c r="G5">
        <f>STDEV(B5:F5)</f>
        <v>2.5099800796022262</v>
      </c>
    </row>
    <row r="7" spans="1:7" x14ac:dyDescent="0.2">
      <c r="A7" t="s">
        <v>1</v>
      </c>
    </row>
    <row r="8" spans="1:7" x14ac:dyDescent="0.2">
      <c r="A8" t="s">
        <v>2</v>
      </c>
    </row>
    <row r="9" spans="1:7" x14ac:dyDescent="0.2">
      <c r="F9" t="s">
        <v>48</v>
      </c>
    </row>
    <row r="10" spans="1:7" x14ac:dyDescent="0.2">
      <c r="A10" t="s">
        <v>6</v>
      </c>
      <c r="B10" t="s">
        <v>8</v>
      </c>
      <c r="C10" t="s">
        <v>11</v>
      </c>
      <c r="D10" t="s">
        <v>12</v>
      </c>
      <c r="F10">
        <v>1.59</v>
      </c>
    </row>
    <row r="11" spans="1:7" x14ac:dyDescent="0.2">
      <c r="A11">
        <v>3.9</v>
      </c>
      <c r="B11" s="2">
        <f>AVERAGE(F10:F14)</f>
        <v>1.9379999999999999</v>
      </c>
      <c r="C11">
        <f>((B11/A5))</f>
        <v>1.0509761388286333E-2</v>
      </c>
      <c r="D11">
        <v>0.62</v>
      </c>
      <c r="F11">
        <v>2</v>
      </c>
    </row>
    <row r="12" spans="1:7" x14ac:dyDescent="0.2">
      <c r="F12">
        <v>2</v>
      </c>
    </row>
    <row r="13" spans="1:7" x14ac:dyDescent="0.2">
      <c r="A13" t="s">
        <v>13</v>
      </c>
      <c r="F13">
        <v>2.1</v>
      </c>
    </row>
    <row r="14" spans="1:7" x14ac:dyDescent="0.2">
      <c r="A14">
        <v>632.79999999999995</v>
      </c>
      <c r="F14">
        <v>2</v>
      </c>
    </row>
    <row r="20" spans="1:4" x14ac:dyDescent="0.2">
      <c r="A20" t="s">
        <v>17</v>
      </c>
      <c r="B20" t="s">
        <v>18</v>
      </c>
    </row>
    <row r="21" spans="1:4" x14ac:dyDescent="0.2">
      <c r="A21">
        <v>1</v>
      </c>
      <c r="B21">
        <v>2.1</v>
      </c>
      <c r="D21" t="s">
        <v>68</v>
      </c>
    </row>
    <row r="22" spans="1:4" x14ac:dyDescent="0.2">
      <c r="A22">
        <v>2</v>
      </c>
      <c r="B22">
        <v>3</v>
      </c>
      <c r="D22" t="s">
        <v>69</v>
      </c>
    </row>
    <row r="23" spans="1:4" x14ac:dyDescent="0.2">
      <c r="A23">
        <v>3</v>
      </c>
      <c r="B23">
        <v>3.8</v>
      </c>
    </row>
    <row r="24" spans="1:4" x14ac:dyDescent="0.2">
      <c r="A24">
        <v>4</v>
      </c>
      <c r="B24">
        <v>4.4000000000000004</v>
      </c>
    </row>
    <row r="25" spans="1:4" x14ac:dyDescent="0.2">
      <c r="A25">
        <v>5</v>
      </c>
      <c r="B25">
        <v>4.9000000000000004</v>
      </c>
    </row>
    <row r="27" spans="1:4" x14ac:dyDescent="0.2">
      <c r="A27" t="s">
        <v>49</v>
      </c>
      <c r="D27" t="s">
        <v>50</v>
      </c>
    </row>
    <row r="28" spans="1:4" x14ac:dyDescent="0.2">
      <c r="A28">
        <f>A5-B5</f>
        <v>-1.5999999999999943</v>
      </c>
      <c r="D28">
        <f>B11-F10</f>
        <v>0.34799999999999986</v>
      </c>
    </row>
    <row r="29" spans="1:4" x14ac:dyDescent="0.2">
      <c r="A29">
        <f>A5-C5</f>
        <v>-1.5999999999999943</v>
      </c>
      <c r="D29">
        <f>B11-F11</f>
        <v>-6.2000000000000055E-2</v>
      </c>
    </row>
    <row r="30" spans="1:4" x14ac:dyDescent="0.2">
      <c r="A30">
        <f>A5-D5</f>
        <v>4.4000000000000057</v>
      </c>
      <c r="D30">
        <f>B11-F12</f>
        <v>-6.2000000000000055E-2</v>
      </c>
    </row>
    <row r="31" spans="1:4" x14ac:dyDescent="0.2">
      <c r="A31">
        <f>A5-E5</f>
        <v>-0.59999999999999432</v>
      </c>
      <c r="D31">
        <f>B11-F13</f>
        <v>-0.16200000000000014</v>
      </c>
    </row>
    <row r="32" spans="1:4" x14ac:dyDescent="0.2">
      <c r="A32">
        <f>A5-F5</f>
        <v>-0.59999999999999432</v>
      </c>
      <c r="D32">
        <f>B11-F14</f>
        <v>-6.2000000000000055E-2</v>
      </c>
    </row>
    <row r="34" spans="1:4" x14ac:dyDescent="0.2">
      <c r="A34" t="s">
        <v>51</v>
      </c>
    </row>
    <row r="35" spans="1:4" x14ac:dyDescent="0.2">
      <c r="A35">
        <f>A28*A28</f>
        <v>2.5599999999999818</v>
      </c>
      <c r="D35">
        <f>D28*D28</f>
        <v>0.12110399999999991</v>
      </c>
    </row>
    <row r="36" spans="1:4" x14ac:dyDescent="0.2">
      <c r="A36">
        <f t="shared" ref="A36:A39" si="0">A29*A29</f>
        <v>2.5599999999999818</v>
      </c>
      <c r="D36">
        <f t="shared" ref="D36:D39" si="1">D29*D29</f>
        <v>3.8440000000000067E-3</v>
      </c>
    </row>
    <row r="37" spans="1:4" x14ac:dyDescent="0.2">
      <c r="A37">
        <f t="shared" si="0"/>
        <v>19.360000000000049</v>
      </c>
      <c r="D37">
        <f t="shared" si="1"/>
        <v>3.8440000000000067E-3</v>
      </c>
    </row>
    <row r="38" spans="1:4" x14ac:dyDescent="0.2">
      <c r="A38">
        <f t="shared" si="0"/>
        <v>0.35999999999999316</v>
      </c>
      <c r="D38">
        <f t="shared" si="1"/>
        <v>2.6244000000000045E-2</v>
      </c>
    </row>
    <row r="39" spans="1:4" x14ac:dyDescent="0.2">
      <c r="A39">
        <f t="shared" si="0"/>
        <v>0.35999999999999316</v>
      </c>
      <c r="D39">
        <f t="shared" si="1"/>
        <v>3.8440000000000067E-3</v>
      </c>
    </row>
    <row r="41" spans="1:4" x14ac:dyDescent="0.2">
      <c r="A41" t="s">
        <v>52</v>
      </c>
      <c r="D41" t="s">
        <v>53</v>
      </c>
    </row>
    <row r="42" spans="1:4" x14ac:dyDescent="0.2">
      <c r="A42">
        <f>SQRT(((SUM(A35:A39))/4))</f>
        <v>2.5099800796022262</v>
      </c>
      <c r="D42">
        <f>SQRT(((SUM(D35:D39))/4))</f>
        <v>0.19929877069364976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E235-6CC0-8F4A-B943-CF971ABE8F2B}">
  <dimension ref="A1:G71"/>
  <sheetViews>
    <sheetView zoomScale="75" workbookViewId="0">
      <selection activeCell="C34" sqref="C34"/>
    </sheetView>
  </sheetViews>
  <sheetFormatPr baseColWidth="10" defaultRowHeight="16" x14ac:dyDescent="0.2"/>
  <cols>
    <col min="1" max="1" width="14.83203125" bestFit="1" customWidth="1"/>
    <col min="3" max="3" width="29" bestFit="1" customWidth="1"/>
  </cols>
  <sheetData>
    <row r="1" spans="1:5" x14ac:dyDescent="0.2">
      <c r="A1" t="s">
        <v>3</v>
      </c>
      <c r="C1" t="s">
        <v>4</v>
      </c>
    </row>
    <row r="3" spans="1:5" x14ac:dyDescent="0.2">
      <c r="A3" t="s">
        <v>5</v>
      </c>
      <c r="D3" t="s">
        <v>14</v>
      </c>
    </row>
    <row r="4" spans="1:5" x14ac:dyDescent="0.2">
      <c r="A4">
        <v>58</v>
      </c>
      <c r="D4" s="1">
        <f>(A4*Sheet1!A14)/(2*COS(Sheet1!D11))</f>
        <v>22547.838500668324</v>
      </c>
      <c r="E4" s="1">
        <f>D4/1000</f>
        <v>22.547838500668323</v>
      </c>
    </row>
    <row r="5" spans="1:5" x14ac:dyDescent="0.2">
      <c r="A5">
        <v>64</v>
      </c>
      <c r="D5" s="1">
        <f>(A5*Sheet1!A14)/(2*COS(Sheet1!D11))</f>
        <v>24880.373517978842</v>
      </c>
      <c r="E5" s="1">
        <f t="shared" ref="E5:E25" si="0">D5/1000</f>
        <v>24.880373517978843</v>
      </c>
    </row>
    <row r="6" spans="1:5" x14ac:dyDescent="0.2">
      <c r="A6">
        <v>63</v>
      </c>
      <c r="D6" s="1">
        <f>(A6*Sheet1!A14)/(2*COS(Sheet1!D11))</f>
        <v>24491.617681760421</v>
      </c>
      <c r="E6" s="1">
        <f t="shared" si="0"/>
        <v>24.49161768176042</v>
      </c>
    </row>
    <row r="7" spans="1:5" x14ac:dyDescent="0.2">
      <c r="A7">
        <v>60</v>
      </c>
      <c r="D7" s="1">
        <f>(A7*Sheet1!A14)/(2*COS(Sheet1!D11))</f>
        <v>23325.350173105166</v>
      </c>
      <c r="E7" s="1">
        <f t="shared" si="0"/>
        <v>23.325350173105164</v>
      </c>
    </row>
    <row r="8" spans="1:5" x14ac:dyDescent="0.2">
      <c r="A8">
        <v>62</v>
      </c>
      <c r="D8" s="1">
        <f>(A8*Sheet1!A14)/(2*COS(Sheet1!D11))</f>
        <v>24102.861845542004</v>
      </c>
      <c r="E8" s="1">
        <f t="shared" si="0"/>
        <v>24.102861845542005</v>
      </c>
    </row>
    <row r="9" spans="1:5" x14ac:dyDescent="0.2">
      <c r="A9">
        <v>60</v>
      </c>
      <c r="D9" s="1">
        <f>(A9*Sheet1!A14)/(2*COS(Sheet1!D11))</f>
        <v>23325.350173105166</v>
      </c>
      <c r="E9" s="1">
        <f t="shared" si="0"/>
        <v>23.325350173105164</v>
      </c>
    </row>
    <row r="10" spans="1:5" x14ac:dyDescent="0.2">
      <c r="A10">
        <v>61</v>
      </c>
      <c r="D10" s="1">
        <f>(A10*Sheet1!A14)/(2*COS(Sheet1!D11))</f>
        <v>23714.106009323583</v>
      </c>
      <c r="E10" s="1">
        <f t="shared" si="0"/>
        <v>23.714106009323583</v>
      </c>
    </row>
    <row r="11" spans="1:5" x14ac:dyDescent="0.2">
      <c r="A11">
        <v>61</v>
      </c>
      <c r="D11" s="1">
        <f>(A11*Sheet1!A14)/(2*COS(Sheet1!D11))</f>
        <v>23714.106009323583</v>
      </c>
      <c r="E11" s="1">
        <f t="shared" si="0"/>
        <v>23.714106009323583</v>
      </c>
    </row>
    <row r="12" spans="1:5" x14ac:dyDescent="0.2">
      <c r="A12">
        <v>59</v>
      </c>
      <c r="D12" s="1">
        <f>(A12*Sheet1!A14)/(2*COS(Sheet1!D11))</f>
        <v>22936.594336886745</v>
      </c>
      <c r="E12" s="1">
        <f t="shared" si="0"/>
        <v>22.936594336886746</v>
      </c>
    </row>
    <row r="13" spans="1:5" x14ac:dyDescent="0.2">
      <c r="A13">
        <v>61</v>
      </c>
      <c r="D13" s="1">
        <f>(A13*Sheet1!A14)/(2*COS(Sheet1!D11))</f>
        <v>23714.106009323583</v>
      </c>
      <c r="E13" s="1">
        <f t="shared" si="0"/>
        <v>23.714106009323583</v>
      </c>
    </row>
    <row r="14" spans="1:5" x14ac:dyDescent="0.2">
      <c r="A14">
        <v>59</v>
      </c>
      <c r="D14" s="1">
        <f>(A14*Sheet1!A14)/(2*COS(Sheet1!D11))</f>
        <v>22936.594336886745</v>
      </c>
      <c r="E14" s="1">
        <f t="shared" si="0"/>
        <v>22.936594336886746</v>
      </c>
    </row>
    <row r="15" spans="1:5" x14ac:dyDescent="0.2">
      <c r="A15">
        <v>61</v>
      </c>
      <c r="D15" s="1">
        <f>(A15*Sheet1!A14)/(2*COS(Sheet1!D11))</f>
        <v>23714.106009323583</v>
      </c>
      <c r="E15" s="1">
        <f t="shared" si="0"/>
        <v>23.714106009323583</v>
      </c>
    </row>
    <row r="16" spans="1:5" x14ac:dyDescent="0.2">
      <c r="A16">
        <v>63</v>
      </c>
      <c r="D16" s="1">
        <f>(A16*Sheet1!A14)/(2*COS(Sheet1!D11))</f>
        <v>24491.617681760421</v>
      </c>
      <c r="E16" s="1">
        <f t="shared" si="0"/>
        <v>24.49161768176042</v>
      </c>
    </row>
    <row r="17" spans="1:7" x14ac:dyDescent="0.2">
      <c r="A17">
        <v>57</v>
      </c>
      <c r="D17" s="1">
        <f>(A17*Sheet1!A14)/(2*COS(Sheet1!D11))</f>
        <v>22159.082664449907</v>
      </c>
      <c r="E17" s="1">
        <f t="shared" si="0"/>
        <v>22.159082664449908</v>
      </c>
    </row>
    <row r="18" spans="1:7" x14ac:dyDescent="0.2">
      <c r="A18">
        <v>63</v>
      </c>
      <c r="D18" s="1">
        <f>(A18*Sheet1!A14)/(2*COS(Sheet1!D11))</f>
        <v>24491.617681760421</v>
      </c>
      <c r="E18" s="1">
        <f t="shared" si="0"/>
        <v>24.49161768176042</v>
      </c>
    </row>
    <row r="19" spans="1:7" x14ac:dyDescent="0.2">
      <c r="A19">
        <v>59</v>
      </c>
      <c r="D19" s="1">
        <f>(A19*Sheet1!A14)/(2*COS(Sheet1!D11))</f>
        <v>22936.594336886745</v>
      </c>
      <c r="E19" s="1">
        <f t="shared" si="0"/>
        <v>22.936594336886746</v>
      </c>
    </row>
    <row r="20" spans="1:7" x14ac:dyDescent="0.2">
      <c r="A20">
        <v>63</v>
      </c>
      <c r="D20" s="1">
        <f>(A20*Sheet1!A14)/(2*COS(Sheet1!D11))</f>
        <v>24491.617681760421</v>
      </c>
      <c r="E20" s="1">
        <f t="shared" si="0"/>
        <v>24.49161768176042</v>
      </c>
    </row>
    <row r="21" spans="1:7" x14ac:dyDescent="0.2">
      <c r="A21">
        <v>61</v>
      </c>
      <c r="D21" s="1">
        <f>(A21*Sheet1!A14)/(2*COS(Sheet1!D11))</f>
        <v>23714.106009323583</v>
      </c>
      <c r="E21" s="1">
        <f t="shared" si="0"/>
        <v>23.714106009323583</v>
      </c>
    </row>
    <row r="22" spans="1:7" x14ac:dyDescent="0.2">
      <c r="A22">
        <v>58</v>
      </c>
      <c r="D22" s="1">
        <f>(A22*Sheet1!A14)/(2*COS(Sheet1!D11))</f>
        <v>22547.838500668324</v>
      </c>
      <c r="E22" s="1">
        <f t="shared" si="0"/>
        <v>22.547838500668323</v>
      </c>
    </row>
    <row r="23" spans="1:7" x14ac:dyDescent="0.2">
      <c r="A23">
        <v>62</v>
      </c>
      <c r="D23" s="1">
        <f>(A23*Sheet1!A14)/(2*COS(Sheet1!D11))</f>
        <v>24102.861845542004</v>
      </c>
      <c r="E23" s="1">
        <f t="shared" si="0"/>
        <v>24.102861845542005</v>
      </c>
    </row>
    <row r="24" spans="1:7" x14ac:dyDescent="0.2">
      <c r="A24">
        <v>60</v>
      </c>
      <c r="D24" s="1">
        <f>(A24*Sheet1!A14)/(2*COS(Sheet1!D11))</f>
        <v>23325.350173105166</v>
      </c>
      <c r="E24" s="1">
        <f t="shared" si="0"/>
        <v>23.325350173105164</v>
      </c>
    </row>
    <row r="25" spans="1:7" x14ac:dyDescent="0.2">
      <c r="A25">
        <v>62</v>
      </c>
      <c r="D25" s="1">
        <f>(A25*Sheet1!A14)/(2*COS(Sheet1!D11))</f>
        <v>24102.861845542004</v>
      </c>
      <c r="E25" s="1">
        <f t="shared" si="0"/>
        <v>24.102861845542005</v>
      </c>
    </row>
    <row r="26" spans="1:7" x14ac:dyDescent="0.2">
      <c r="A26" s="3">
        <f>AVERAGE(A4:A25)</f>
        <v>60.772727272727273</v>
      </c>
      <c r="B26" s="3"/>
      <c r="C26" s="3"/>
      <c r="D26" s="3">
        <f t="shared" ref="D26" si="1">MEDIAN(D4:D25)</f>
        <v>23714.106009323583</v>
      </c>
      <c r="E26" s="3">
        <f>AVERAGE(E4:E25)</f>
        <v>23.625752410183033</v>
      </c>
      <c r="F26" s="2"/>
      <c r="G26" s="2" t="s">
        <v>15</v>
      </c>
    </row>
    <row r="27" spans="1:7" x14ac:dyDescent="0.2">
      <c r="E27" s="1"/>
    </row>
    <row r="34" spans="1:5" x14ac:dyDescent="0.2">
      <c r="A34" t="s">
        <v>45</v>
      </c>
      <c r="B34" t="s">
        <v>46</v>
      </c>
    </row>
    <row r="35" spans="1:5" x14ac:dyDescent="0.2">
      <c r="A35" s="1">
        <f>23.63-E4</f>
        <v>1.0821614993316757</v>
      </c>
      <c r="B35">
        <f>A35*A35</f>
        <v>1.1710735106357804</v>
      </c>
      <c r="D35" s="3" t="s">
        <v>16</v>
      </c>
      <c r="E35" s="3">
        <f>B57/(COUNT(B35:B56)-1)</f>
        <v>0.54598817870326477</v>
      </c>
    </row>
    <row r="36" spans="1:5" x14ac:dyDescent="0.2">
      <c r="A36" s="1">
        <f t="shared" ref="A36:A56" si="2">23.63-E5</f>
        <v>-1.2503735179788436</v>
      </c>
      <c r="B36">
        <f t="shared" ref="B36:B56" si="3">A36*A36</f>
        <v>1.5634339344627894</v>
      </c>
    </row>
    <row r="37" spans="1:5" x14ac:dyDescent="0.2">
      <c r="A37" s="1">
        <f t="shared" si="2"/>
        <v>-0.86161768176042131</v>
      </c>
      <c r="B37">
        <f t="shared" si="3"/>
        <v>0.74238502952220264</v>
      </c>
    </row>
    <row r="38" spans="1:5" x14ac:dyDescent="0.2">
      <c r="A38" s="1">
        <f t="shared" si="2"/>
        <v>0.30464982689483477</v>
      </c>
      <c r="B38">
        <f t="shared" si="3"/>
        <v>9.2811517027052787E-2</v>
      </c>
    </row>
    <row r="39" spans="1:5" x14ac:dyDescent="0.2">
      <c r="A39" s="1">
        <f t="shared" si="2"/>
        <v>-0.47286184554200617</v>
      </c>
      <c r="B39">
        <f t="shared" si="3"/>
        <v>0.22359832496939211</v>
      </c>
    </row>
    <row r="40" spans="1:5" x14ac:dyDescent="0.2">
      <c r="A40" s="1">
        <f t="shared" si="2"/>
        <v>0.30464982689483477</v>
      </c>
      <c r="B40">
        <f t="shared" si="3"/>
        <v>9.2811517027052787E-2</v>
      </c>
      <c r="D40" t="s">
        <v>82</v>
      </c>
      <c r="E40">
        <f>(E26-20)/(E35/SQRT(COUNT(E4:E25)))</f>
        <v>31.147718777228153</v>
      </c>
    </row>
    <row r="41" spans="1:5" x14ac:dyDescent="0.2">
      <c r="A41" s="1">
        <f t="shared" si="2"/>
        <v>-8.4106009323583919E-2</v>
      </c>
      <c r="B41">
        <f t="shared" si="3"/>
        <v>7.0738208043387854E-3</v>
      </c>
    </row>
    <row r="42" spans="1:5" x14ac:dyDescent="0.2">
      <c r="A42" s="1">
        <f t="shared" si="2"/>
        <v>-8.4106009323583919E-2</v>
      </c>
      <c r="B42">
        <f t="shared" si="3"/>
        <v>7.0738208043387854E-3</v>
      </c>
    </row>
    <row r="43" spans="1:5" x14ac:dyDescent="0.2">
      <c r="A43" s="1">
        <f t="shared" si="2"/>
        <v>0.69340566311325347</v>
      </c>
      <c r="B43">
        <f t="shared" si="3"/>
        <v>0.48081141363753077</v>
      </c>
    </row>
    <row r="44" spans="1:5" x14ac:dyDescent="0.2">
      <c r="A44" s="1">
        <f t="shared" si="2"/>
        <v>-8.4106009323583919E-2</v>
      </c>
      <c r="B44">
        <f t="shared" si="3"/>
        <v>7.0738208043387854E-3</v>
      </c>
    </row>
    <row r="45" spans="1:5" x14ac:dyDescent="0.2">
      <c r="A45" s="1">
        <f t="shared" si="2"/>
        <v>0.69340566311325347</v>
      </c>
      <c r="B45">
        <f t="shared" si="3"/>
        <v>0.48081141363753077</v>
      </c>
    </row>
    <row r="46" spans="1:5" x14ac:dyDescent="0.2">
      <c r="A46" s="1">
        <f t="shared" si="2"/>
        <v>-8.4106009323583919E-2</v>
      </c>
      <c r="B46">
        <f t="shared" si="3"/>
        <v>7.0738208043387854E-3</v>
      </c>
    </row>
    <row r="47" spans="1:5" x14ac:dyDescent="0.2">
      <c r="A47" s="1">
        <f t="shared" si="2"/>
        <v>-0.86161768176042131</v>
      </c>
      <c r="B47">
        <f t="shared" si="3"/>
        <v>0.74238502952220264</v>
      </c>
    </row>
    <row r="48" spans="1:5" x14ac:dyDescent="0.2">
      <c r="A48" s="1">
        <f t="shared" si="2"/>
        <v>1.4709173355500909</v>
      </c>
      <c r="B48">
        <f t="shared" si="3"/>
        <v>2.1635978080217786</v>
      </c>
    </row>
    <row r="49" spans="1:3" x14ac:dyDescent="0.2">
      <c r="A49" s="1">
        <f t="shared" si="2"/>
        <v>-0.86161768176042131</v>
      </c>
      <c r="B49">
        <f t="shared" si="3"/>
        <v>0.74238502952220264</v>
      </c>
    </row>
    <row r="50" spans="1:3" x14ac:dyDescent="0.2">
      <c r="A50" s="1">
        <f t="shared" si="2"/>
        <v>0.69340566311325347</v>
      </c>
      <c r="B50">
        <f t="shared" si="3"/>
        <v>0.48081141363753077</v>
      </c>
    </row>
    <row r="51" spans="1:3" x14ac:dyDescent="0.2">
      <c r="A51" s="1">
        <f t="shared" si="2"/>
        <v>-0.86161768176042131</v>
      </c>
      <c r="B51">
        <f t="shared" si="3"/>
        <v>0.74238502952220264</v>
      </c>
    </row>
    <row r="52" spans="1:3" x14ac:dyDescent="0.2">
      <c r="A52" s="1">
        <f t="shared" si="2"/>
        <v>-8.4106009323583919E-2</v>
      </c>
      <c r="B52">
        <f t="shared" si="3"/>
        <v>7.0738208043387854E-3</v>
      </c>
    </row>
    <row r="53" spans="1:3" x14ac:dyDescent="0.2">
      <c r="A53" s="1">
        <f t="shared" si="2"/>
        <v>1.0821614993316757</v>
      </c>
      <c r="B53">
        <f t="shared" si="3"/>
        <v>1.1710735106357804</v>
      </c>
    </row>
    <row r="54" spans="1:3" x14ac:dyDescent="0.2">
      <c r="A54" s="1">
        <f>23.63-E23</f>
        <v>-0.47286184554200617</v>
      </c>
      <c r="B54">
        <f t="shared" si="3"/>
        <v>0.22359832496939211</v>
      </c>
    </row>
    <row r="55" spans="1:3" x14ac:dyDescent="0.2">
      <c r="A55" s="1">
        <f t="shared" si="2"/>
        <v>0.30464982689483477</v>
      </c>
      <c r="B55">
        <f t="shared" si="3"/>
        <v>9.2811517027052787E-2</v>
      </c>
    </row>
    <row r="56" spans="1:3" x14ac:dyDescent="0.2">
      <c r="A56" s="1">
        <f t="shared" si="2"/>
        <v>-0.47286184554200617</v>
      </c>
      <c r="B56">
        <f t="shared" si="3"/>
        <v>0.22359832496939211</v>
      </c>
    </row>
    <row r="57" spans="1:3" x14ac:dyDescent="0.2">
      <c r="A57" s="1"/>
      <c r="B57">
        <f>SUM(B35:B56)</f>
        <v>11.465751752768561</v>
      </c>
      <c r="C57" t="s">
        <v>47</v>
      </c>
    </row>
    <row r="58" spans="1:3" x14ac:dyDescent="0.2">
      <c r="A58" s="1"/>
    </row>
    <row r="59" spans="1:3" x14ac:dyDescent="0.2">
      <c r="A59" s="1"/>
    </row>
    <row r="60" spans="1:3" x14ac:dyDescent="0.2">
      <c r="A60" s="1"/>
    </row>
    <row r="61" spans="1:3" x14ac:dyDescent="0.2">
      <c r="A61" s="1"/>
    </row>
    <row r="62" spans="1:3" x14ac:dyDescent="0.2">
      <c r="A62" s="1"/>
    </row>
    <row r="63" spans="1:3" x14ac:dyDescent="0.2">
      <c r="A63" s="1"/>
    </row>
    <row r="64" spans="1:3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008B-C9CA-7B4C-A70D-8010FAC03831}">
  <dimension ref="A1:M30"/>
  <sheetViews>
    <sheetView topLeftCell="A3" zoomScale="90" workbookViewId="0">
      <selection activeCell="G45" sqref="G45"/>
    </sheetView>
  </sheetViews>
  <sheetFormatPr baseColWidth="10" defaultRowHeight="16" x14ac:dyDescent="0.2"/>
  <cols>
    <col min="2" max="2" width="15.1640625" bestFit="1" customWidth="1"/>
    <col min="3" max="3" width="12.83203125" bestFit="1" customWidth="1"/>
    <col min="7" max="7" width="12.83203125" bestFit="1" customWidth="1"/>
    <col min="10" max="10" width="11.83203125" bestFit="1" customWidth="1"/>
    <col min="11" max="11" width="12.1640625" bestFit="1" customWidth="1"/>
  </cols>
  <sheetData>
    <row r="1" spans="1:13" x14ac:dyDescent="0.2">
      <c r="A1" t="s">
        <v>19</v>
      </c>
      <c r="B1" t="s">
        <v>20</v>
      </c>
      <c r="C1" s="5">
        <v>8.6829999999999994E-5</v>
      </c>
      <c r="D1" t="s">
        <v>21</v>
      </c>
      <c r="E1">
        <v>183</v>
      </c>
      <c r="J1" t="s">
        <v>23</v>
      </c>
      <c r="K1">
        <f>2*E5*0.002/A4</f>
        <v>5.6337355437797684E-5</v>
      </c>
      <c r="L1" s="1">
        <f>K1*10000000</f>
        <v>563.3735543779768</v>
      </c>
    </row>
    <row r="2" spans="1:13" x14ac:dyDescent="0.2">
      <c r="A2" t="s">
        <v>67</v>
      </c>
      <c r="D2" t="s">
        <v>7</v>
      </c>
      <c r="E2">
        <v>0.9</v>
      </c>
      <c r="K2">
        <f>2*E5*0.002/A5</f>
        <v>5.4793866247721031E-5</v>
      </c>
      <c r="L2" s="1">
        <f t="shared" ref="L2:L10" si="0">K2*10000000</f>
        <v>547.9386624772103</v>
      </c>
    </row>
    <row r="3" spans="1:13" x14ac:dyDescent="0.2">
      <c r="A3" t="s">
        <v>5</v>
      </c>
      <c r="D3" t="s">
        <v>11</v>
      </c>
      <c r="E3">
        <f>E2/E1</f>
        <v>4.9180327868852463E-3</v>
      </c>
      <c r="K3">
        <f>2*E5*0.002/A6</f>
        <v>5.2630950474784676E-5</v>
      </c>
      <c r="L3" s="1">
        <f t="shared" si="0"/>
        <v>526.30950474784674</v>
      </c>
    </row>
    <row r="4" spans="1:13" x14ac:dyDescent="0.2">
      <c r="A4">
        <v>71</v>
      </c>
      <c r="D4" t="s">
        <v>9</v>
      </c>
      <c r="E4">
        <f>0.28*PI()/180</f>
        <v>4.8869219055841231E-3</v>
      </c>
      <c r="K4">
        <f>2*E5*0.002/A7</f>
        <v>5.3332696481115142E-5</v>
      </c>
      <c r="L4" s="1">
        <f t="shared" si="0"/>
        <v>533.32696481115147</v>
      </c>
    </row>
    <row r="5" spans="1:13" x14ac:dyDescent="0.2">
      <c r="A5">
        <v>73</v>
      </c>
      <c r="D5" t="s">
        <v>22</v>
      </c>
      <c r="E5">
        <f>COS(E4)</f>
        <v>0.99998805902090893</v>
      </c>
      <c r="K5">
        <f>2*E5*0.002/A8</f>
        <v>5.6337355437797684E-5</v>
      </c>
      <c r="L5" s="1">
        <f t="shared" si="0"/>
        <v>563.3735543779768</v>
      </c>
    </row>
    <row r="6" spans="1:13" x14ac:dyDescent="0.2">
      <c r="A6">
        <v>76</v>
      </c>
      <c r="D6" t="s">
        <v>61</v>
      </c>
      <c r="E6">
        <f>SIN(E4)</f>
        <v>4.8869024540245404E-3</v>
      </c>
      <c r="K6">
        <f>2*E5*0.002/A9</f>
        <v>5.1281438924149175E-5</v>
      </c>
      <c r="L6" s="1">
        <f t="shared" si="0"/>
        <v>512.81438924149177</v>
      </c>
    </row>
    <row r="7" spans="1:13" x14ac:dyDescent="0.2">
      <c r="A7">
        <v>75</v>
      </c>
      <c r="K7">
        <f>2*E5*0.002/A10</f>
        <v>4.9382126371402908E-5</v>
      </c>
      <c r="L7" s="1">
        <f t="shared" si="0"/>
        <v>493.8212637140291</v>
      </c>
    </row>
    <row r="8" spans="1:13" x14ac:dyDescent="0.2">
      <c r="A8">
        <v>71</v>
      </c>
      <c r="K8">
        <f>2*E5*0.002/A11</f>
        <v>5.4793866247721031E-5</v>
      </c>
      <c r="L8" s="1">
        <f t="shared" si="0"/>
        <v>547.9386624772103</v>
      </c>
    </row>
    <row r="9" spans="1:13" x14ac:dyDescent="0.2">
      <c r="A9">
        <v>78</v>
      </c>
      <c r="K9">
        <f>2*E5*0.002/A12</f>
        <v>5.1947431637449811E-5</v>
      </c>
      <c r="L9" s="1">
        <f t="shared" si="0"/>
        <v>519.47431637449813</v>
      </c>
    </row>
    <row r="10" spans="1:13" x14ac:dyDescent="0.2">
      <c r="A10">
        <v>81</v>
      </c>
      <c r="K10">
        <f>2*E5*0.002/A13</f>
        <v>5.4053408595724806E-5</v>
      </c>
      <c r="L10" s="1">
        <f t="shared" si="0"/>
        <v>540.53408595724807</v>
      </c>
    </row>
    <row r="11" spans="1:13" x14ac:dyDescent="0.2">
      <c r="A11">
        <v>73</v>
      </c>
      <c r="K11" s="2">
        <f>AVERAGE(K1:K10)</f>
        <v>5.3489049585566395E-5</v>
      </c>
      <c r="L11" s="2">
        <f>AVERAGE(L1:L10)</f>
        <v>534.89049585566386</v>
      </c>
      <c r="M11" t="s">
        <v>24</v>
      </c>
    </row>
    <row r="12" spans="1:13" x14ac:dyDescent="0.2">
      <c r="A12">
        <v>77</v>
      </c>
    </row>
    <row r="13" spans="1:13" x14ac:dyDescent="0.2">
      <c r="A13">
        <v>74</v>
      </c>
    </row>
    <row r="14" spans="1:13" x14ac:dyDescent="0.2">
      <c r="A14" s="2">
        <f>AVERAGE(A4:A13)</f>
        <v>74.900000000000006</v>
      </c>
    </row>
    <row r="16" spans="1:13" x14ac:dyDescent="0.2">
      <c r="A16" t="s">
        <v>52</v>
      </c>
      <c r="D16" t="s">
        <v>53</v>
      </c>
    </row>
    <row r="17" spans="1:7" x14ac:dyDescent="0.2">
      <c r="A17">
        <v>2.5099800796022262</v>
      </c>
      <c r="D17">
        <v>0.19929877069364976</v>
      </c>
    </row>
    <row r="22" spans="1:7" x14ac:dyDescent="0.2">
      <c r="A22" t="s">
        <v>55</v>
      </c>
      <c r="C22">
        <f>((1/(E1*(1+(E2/E1)*(E2/E1)))))</f>
        <v>5.4643487078606884E-3</v>
      </c>
      <c r="E22" t="s">
        <v>62</v>
      </c>
      <c r="G22">
        <f>(-2*E6*0.002)/(A14)</f>
        <v>-2.6098277458074983E-7</v>
      </c>
    </row>
    <row r="23" spans="1:7" x14ac:dyDescent="0.2">
      <c r="A23" t="s">
        <v>56</v>
      </c>
      <c r="C23">
        <f>C22*C22*D17*D17</f>
        <v>1.186003722139643E-6</v>
      </c>
      <c r="E23" t="s">
        <v>63</v>
      </c>
      <c r="G23">
        <f>G22*G22*C29</f>
        <v>1.2971061922450053E-18</v>
      </c>
    </row>
    <row r="24" spans="1:7" x14ac:dyDescent="0.2">
      <c r="E24" t="s">
        <v>64</v>
      </c>
      <c r="G24">
        <f>2*E5/A14</f>
        <v>2.6701950841679808E-2</v>
      </c>
    </row>
    <row r="25" spans="1:7" x14ac:dyDescent="0.2">
      <c r="A25" t="s">
        <v>57</v>
      </c>
      <c r="C25">
        <f>((-E2/((1+(E2/E1)*(E2/E1))*E1*E1)))</f>
        <v>-2.6873846104232896E-5</v>
      </c>
      <c r="E25" t="s">
        <v>65</v>
      </c>
      <c r="G25">
        <f>G24*G24*C1*C1</f>
        <v>5.3755831766942854E-12</v>
      </c>
    </row>
    <row r="26" spans="1:7" x14ac:dyDescent="0.2">
      <c r="A26" t="s">
        <v>58</v>
      </c>
      <c r="C26">
        <f>C25*C25*A17*A17</f>
        <v>4.5498827079341585E-9</v>
      </c>
      <c r="E26" t="s">
        <v>66</v>
      </c>
      <c r="G26">
        <f>SQRT(G23+G25)</f>
        <v>2.3185306713089818E-6</v>
      </c>
    </row>
    <row r="28" spans="1:7" x14ac:dyDescent="0.2">
      <c r="A28" t="s">
        <v>54</v>
      </c>
      <c r="C28">
        <f>SQRT(C23+C26)</f>
        <v>1.0911249263249269E-3</v>
      </c>
    </row>
    <row r="29" spans="1:7" x14ac:dyDescent="0.2">
      <c r="A29" t="s">
        <v>59</v>
      </c>
      <c r="C29">
        <f>C28*PI()/180</f>
        <v>1.9043722514950525E-5</v>
      </c>
    </row>
    <row r="30" spans="1:7" x14ac:dyDescent="0.2">
      <c r="A30" t="s">
        <v>60</v>
      </c>
      <c r="C30">
        <f>SQRT(C29)</f>
        <v>4.3639113779899933E-3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16E1-E739-FE4B-8E3C-385897A51730}">
  <dimension ref="A1:R64"/>
  <sheetViews>
    <sheetView zoomScale="75" zoomScaleNormal="100" workbookViewId="0">
      <selection activeCell="M33" sqref="M33"/>
    </sheetView>
  </sheetViews>
  <sheetFormatPr baseColWidth="10" defaultRowHeight="16" x14ac:dyDescent="0.2"/>
  <cols>
    <col min="1" max="1" width="38" bestFit="1" customWidth="1"/>
    <col min="8" max="8" width="12.83203125" bestFit="1" customWidth="1"/>
  </cols>
  <sheetData>
    <row r="1" spans="1:8" x14ac:dyDescent="0.2">
      <c r="A1" t="s">
        <v>25</v>
      </c>
      <c r="C1" t="s">
        <v>5</v>
      </c>
      <c r="G1" t="s">
        <v>24</v>
      </c>
    </row>
    <row r="2" spans="1:8" x14ac:dyDescent="0.2">
      <c r="A2">
        <v>80</v>
      </c>
      <c r="C2">
        <v>17</v>
      </c>
      <c r="D2">
        <v>20</v>
      </c>
      <c r="E2">
        <v>17</v>
      </c>
      <c r="G2">
        <f>AVERAGE(C2:E2)</f>
        <v>18</v>
      </c>
      <c r="H2">
        <v>80</v>
      </c>
    </row>
    <row r="3" spans="1:8" x14ac:dyDescent="0.2">
      <c r="A3">
        <v>70</v>
      </c>
      <c r="C3">
        <v>16</v>
      </c>
      <c r="D3">
        <v>15</v>
      </c>
      <c r="E3">
        <v>15</v>
      </c>
      <c r="G3" s="4">
        <f t="shared" ref="G3:G6" si="0">AVERAGE(C3:E3)</f>
        <v>15.333333333333334</v>
      </c>
      <c r="H3">
        <v>70</v>
      </c>
    </row>
    <row r="4" spans="1:8" x14ac:dyDescent="0.2">
      <c r="A4">
        <v>60</v>
      </c>
      <c r="C4">
        <v>13</v>
      </c>
      <c r="D4">
        <v>13</v>
      </c>
      <c r="E4">
        <v>13</v>
      </c>
      <c r="G4">
        <f t="shared" si="0"/>
        <v>13</v>
      </c>
      <c r="H4">
        <v>60</v>
      </c>
    </row>
    <row r="5" spans="1:8" x14ac:dyDescent="0.2">
      <c r="A5">
        <v>50</v>
      </c>
      <c r="C5">
        <v>10</v>
      </c>
      <c r="D5">
        <v>10</v>
      </c>
      <c r="E5">
        <v>10</v>
      </c>
      <c r="G5">
        <f t="shared" si="0"/>
        <v>10</v>
      </c>
      <c r="H5">
        <v>50</v>
      </c>
    </row>
    <row r="6" spans="1:8" x14ac:dyDescent="0.2">
      <c r="A6">
        <v>40</v>
      </c>
      <c r="C6">
        <v>8</v>
      </c>
      <c r="D6">
        <v>8</v>
      </c>
      <c r="E6">
        <v>8</v>
      </c>
      <c r="G6">
        <f t="shared" si="0"/>
        <v>8</v>
      </c>
      <c r="H6">
        <v>40</v>
      </c>
    </row>
    <row r="8" spans="1:8" x14ac:dyDescent="0.2">
      <c r="A8" t="s">
        <v>27</v>
      </c>
    </row>
    <row r="9" spans="1:8" x14ac:dyDescent="0.2">
      <c r="A9">
        <v>30</v>
      </c>
      <c r="C9">
        <v>7</v>
      </c>
    </row>
    <row r="10" spans="1:8" x14ac:dyDescent="0.2">
      <c r="A10">
        <v>20</v>
      </c>
      <c r="C10">
        <v>4</v>
      </c>
      <c r="G10" t="s">
        <v>13</v>
      </c>
      <c r="H10" t="s">
        <v>35</v>
      </c>
    </row>
    <row r="11" spans="1:8" x14ac:dyDescent="0.2">
      <c r="G11">
        <v>632.79999999999995</v>
      </c>
      <c r="H11">
        <v>101.325</v>
      </c>
    </row>
    <row r="12" spans="1:8" x14ac:dyDescent="0.2">
      <c r="F12" t="s">
        <v>18</v>
      </c>
      <c r="G12">
        <f>6.328*10^(-5)</f>
        <v>6.3280000000000004E-5</v>
      </c>
    </row>
    <row r="17" spans="1:13" x14ac:dyDescent="0.2">
      <c r="A17" t="s">
        <v>26</v>
      </c>
      <c r="B17" t="s">
        <v>28</v>
      </c>
      <c r="C17" t="s">
        <v>29</v>
      </c>
      <c r="D17" t="s">
        <v>30</v>
      </c>
    </row>
    <row r="18" spans="1:13" x14ac:dyDescent="0.2">
      <c r="A18">
        <v>81</v>
      </c>
      <c r="B18">
        <v>18</v>
      </c>
      <c r="C18">
        <f>A18*B18</f>
        <v>1458</v>
      </c>
      <c r="D18">
        <f>A18*A18</f>
        <v>6561</v>
      </c>
      <c r="F18">
        <f>B18-(A18*C34+C33)</f>
        <v>0.19999999999999929</v>
      </c>
      <c r="G18">
        <f>F18*F18</f>
        <v>3.9999999999999716E-2</v>
      </c>
    </row>
    <row r="19" spans="1:13" x14ac:dyDescent="0.2">
      <c r="A19">
        <v>71</v>
      </c>
      <c r="B19">
        <v>15</v>
      </c>
      <c r="C19">
        <f t="shared" ref="C19:C22" si="1">A19*B19</f>
        <v>1065</v>
      </c>
      <c r="D19">
        <f t="shared" ref="D19:D22" si="2">A19*A19</f>
        <v>5041</v>
      </c>
      <c r="F19">
        <f>B19-(A19*C34+C33)</f>
        <v>-0.30000000000000071</v>
      </c>
      <c r="G19">
        <f t="shared" ref="G19:G22" si="3">F19*F19</f>
        <v>9.0000000000000427E-2</v>
      </c>
    </row>
    <row r="20" spans="1:13" x14ac:dyDescent="0.2">
      <c r="A20">
        <v>61</v>
      </c>
      <c r="B20">
        <v>13</v>
      </c>
      <c r="C20">
        <f t="shared" si="1"/>
        <v>793</v>
      </c>
      <c r="D20">
        <f t="shared" si="2"/>
        <v>3721</v>
      </c>
      <c r="F20">
        <f>B20-(A20*C34+C33)</f>
        <v>0.19999999999999929</v>
      </c>
      <c r="G20">
        <f t="shared" si="3"/>
        <v>3.9999999999999716E-2</v>
      </c>
    </row>
    <row r="21" spans="1:13" x14ac:dyDescent="0.2">
      <c r="A21">
        <v>51</v>
      </c>
      <c r="B21">
        <v>10</v>
      </c>
      <c r="C21">
        <f t="shared" si="1"/>
        <v>510</v>
      </c>
      <c r="D21">
        <f t="shared" si="2"/>
        <v>2601</v>
      </c>
      <c r="F21">
        <f>B21-(A21*C34+C33)</f>
        <v>-0.30000000000000071</v>
      </c>
      <c r="G21">
        <f t="shared" si="3"/>
        <v>9.0000000000000427E-2</v>
      </c>
    </row>
    <row r="22" spans="1:13" x14ac:dyDescent="0.2">
      <c r="A22">
        <v>41</v>
      </c>
      <c r="B22">
        <v>8</v>
      </c>
      <c r="C22">
        <f t="shared" si="1"/>
        <v>328</v>
      </c>
      <c r="D22">
        <f t="shared" si="2"/>
        <v>1681</v>
      </c>
      <c r="F22">
        <f>B22-(A22*C34+C33)</f>
        <v>0.20000000000000018</v>
      </c>
      <c r="G22">
        <f t="shared" si="3"/>
        <v>4.000000000000007E-2</v>
      </c>
      <c r="K22" t="s">
        <v>44</v>
      </c>
      <c r="M22" t="s">
        <v>71</v>
      </c>
    </row>
    <row r="23" spans="1:13" x14ac:dyDescent="0.2">
      <c r="A23" s="2">
        <f>AVERAGE(A18:A22)</f>
        <v>61</v>
      </c>
      <c r="B23" s="2">
        <f t="shared" ref="B23:D23" si="4">AVERAGE(B18:B22)</f>
        <v>12.8</v>
      </c>
      <c r="C23" s="2">
        <f t="shared" si="4"/>
        <v>830.8</v>
      </c>
      <c r="D23" s="2">
        <f t="shared" si="4"/>
        <v>3921</v>
      </c>
      <c r="E23" s="2"/>
      <c r="G23" s="2"/>
      <c r="H23" s="2" t="s">
        <v>31</v>
      </c>
      <c r="K23" t="s">
        <v>32</v>
      </c>
      <c r="L23">
        <f>(C23-(A23*B23))/(D23-A23*A23)</f>
        <v>0.24999999999999944</v>
      </c>
    </row>
    <row r="24" spans="1:13" x14ac:dyDescent="0.2">
      <c r="A24">
        <f>SUM(A18:A22)</f>
        <v>305</v>
      </c>
      <c r="B24">
        <f t="shared" ref="B24:C24" si="5">SUM(B18:B22)</f>
        <v>64</v>
      </c>
      <c r="C24">
        <f t="shared" si="5"/>
        <v>4154</v>
      </c>
      <c r="D24">
        <f>SUM(D18:D22)</f>
        <v>19605</v>
      </c>
      <c r="F24">
        <f>SUM(G18:G22)</f>
        <v>0.30000000000000038</v>
      </c>
      <c r="H24" t="s">
        <v>74</v>
      </c>
      <c r="K24" t="s">
        <v>33</v>
      </c>
      <c r="L24">
        <f>-(B23-L23*A23)</f>
        <v>2.4499999999999655</v>
      </c>
    </row>
    <row r="28" spans="1:13" x14ac:dyDescent="0.2">
      <c r="A28" t="s">
        <v>34</v>
      </c>
      <c r="B28">
        <f>0.5*(C34*(H11*G12)+2)</f>
        <v>1.0008014807500001</v>
      </c>
      <c r="C28">
        <f>L24*G12*H11*0.5+1</f>
        <v>1.0078545113499999</v>
      </c>
    </row>
    <row r="30" spans="1:13" x14ac:dyDescent="0.2">
      <c r="E30" t="s">
        <v>80</v>
      </c>
    </row>
    <row r="32" spans="1:13" x14ac:dyDescent="0.2">
      <c r="B32" t="s">
        <v>73</v>
      </c>
      <c r="C32">
        <f>5*D24-(A24)*A24</f>
        <v>5000</v>
      </c>
    </row>
    <row r="33" spans="2:8" x14ac:dyDescent="0.2">
      <c r="B33" t="s">
        <v>75</v>
      </c>
      <c r="C33">
        <f>((D24*B24)-(A24*C24))/C32</f>
        <v>-2.4500000000000002</v>
      </c>
      <c r="E33" t="s">
        <v>78</v>
      </c>
      <c r="F33">
        <f>C36*SQRT(D24/C32)</f>
        <v>0.62617888817813117</v>
      </c>
    </row>
    <row r="34" spans="2:8" x14ac:dyDescent="0.2">
      <c r="B34" t="s">
        <v>76</v>
      </c>
      <c r="C34">
        <f>(5*C24-A24*B24)/C32</f>
        <v>0.25</v>
      </c>
      <c r="E34" t="s">
        <v>79</v>
      </c>
      <c r="F34">
        <f>C36*SQRT(5/C32)</f>
        <v>1.0000000000000007E-2</v>
      </c>
      <c r="H34">
        <f>((H11*G12)/2)*(F34)</f>
        <v>3.2059230000000029E-5</v>
      </c>
    </row>
    <row r="36" spans="2:8" x14ac:dyDescent="0.2">
      <c r="B36" t="s">
        <v>77</v>
      </c>
      <c r="C36">
        <f>SQRT(F24/3)</f>
        <v>0.31622776601683816</v>
      </c>
    </row>
    <row r="64" spans="11:18" x14ac:dyDescent="0.2">
      <c r="K64" s="7"/>
      <c r="L64" s="7"/>
      <c r="M64" s="7"/>
      <c r="N64" s="7"/>
      <c r="O64" s="7"/>
      <c r="P64" s="7"/>
      <c r="Q64" s="7"/>
      <c r="R64" s="7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FAD9-654E-6D47-A093-762D0D231520}">
  <dimension ref="A1:K23"/>
  <sheetViews>
    <sheetView tabSelected="1" topLeftCell="B1" zoomScale="119" zoomScaleNormal="142" workbookViewId="0">
      <selection activeCell="F5" sqref="F5"/>
    </sheetView>
  </sheetViews>
  <sheetFormatPr baseColWidth="10" defaultRowHeight="16" x14ac:dyDescent="0.2"/>
  <cols>
    <col min="11" max="11" width="11.1640625" bestFit="1" customWidth="1"/>
  </cols>
  <sheetData>
    <row r="1" spans="1:11" x14ac:dyDescent="0.2">
      <c r="A1" t="s">
        <v>38</v>
      </c>
      <c r="C1" t="s">
        <v>39</v>
      </c>
      <c r="D1" t="s">
        <v>37</v>
      </c>
      <c r="H1" t="s">
        <v>41</v>
      </c>
      <c r="K1" t="s">
        <v>42</v>
      </c>
    </row>
    <row r="2" spans="1:11" x14ac:dyDescent="0.2">
      <c r="A2">
        <v>-2</v>
      </c>
      <c r="C2">
        <v>1</v>
      </c>
      <c r="H2">
        <v>0.57599999999999996</v>
      </c>
      <c r="K2">
        <f>6.328*10^(-5)</f>
        <v>6.3280000000000004E-5</v>
      </c>
    </row>
    <row r="3" spans="1:11" x14ac:dyDescent="0.2">
      <c r="H3">
        <v>0.56100000000000005</v>
      </c>
    </row>
    <row r="4" spans="1:11" x14ac:dyDescent="0.2">
      <c r="H4">
        <v>0.57099999999999995</v>
      </c>
    </row>
    <row r="5" spans="1:11" x14ac:dyDescent="0.2">
      <c r="A5" t="s">
        <v>43</v>
      </c>
      <c r="C5" t="s">
        <v>36</v>
      </c>
      <c r="E5" t="s">
        <v>40</v>
      </c>
      <c r="H5">
        <v>0.57099999999999995</v>
      </c>
    </row>
    <row r="6" spans="1:11" x14ac:dyDescent="0.2">
      <c r="A6">
        <f t="shared" ref="A6:A15" si="0">5*(PI())/180</f>
        <v>8.7266462599716474E-2</v>
      </c>
      <c r="C6">
        <v>23</v>
      </c>
      <c r="E6" s="8">
        <f>((2*H2-C6*K2)*(1-COS(A6))/(2*H2*(1-COS(A6))-C6*K2))</f>
        <v>1.4951396905118677</v>
      </c>
      <c r="H6">
        <v>0.57299999999999995</v>
      </c>
    </row>
    <row r="7" spans="1:11" x14ac:dyDescent="0.2">
      <c r="A7">
        <f t="shared" si="0"/>
        <v>8.7266462599716474E-2</v>
      </c>
      <c r="C7">
        <v>23</v>
      </c>
      <c r="E7" s="8">
        <f>((2*H2-C7*K2)*(1-COS(A7))/(2*H2*(1-COS(A7))-C7*K2))</f>
        <v>1.4951396905118677</v>
      </c>
      <c r="H7" s="2">
        <f>AVERAGE(H2:H6)</f>
        <v>0.57040000000000002</v>
      </c>
      <c r="I7" s="2">
        <f>STDEV(H2:H6)</f>
        <v>5.6391488719486323E-3</v>
      </c>
    </row>
    <row r="8" spans="1:11" x14ac:dyDescent="0.2">
      <c r="A8">
        <f t="shared" si="0"/>
        <v>8.7266462599716474E-2</v>
      </c>
      <c r="C8">
        <v>22</v>
      </c>
      <c r="E8" s="8">
        <f>((2*H2-C8*K2)*(1-COS(A8))/(2*H2*(1-COS(A8))-C8*K2))</f>
        <v>1.4635935991660505</v>
      </c>
    </row>
    <row r="9" spans="1:11" x14ac:dyDescent="0.2">
      <c r="A9">
        <f t="shared" si="0"/>
        <v>8.7266462599716474E-2</v>
      </c>
      <c r="C9">
        <v>25</v>
      </c>
      <c r="E9" s="8">
        <f>((2*H2-C9*K2)*(1-COS(A9))/(2*H2*(1-COS(A9))-C9*K2))</f>
        <v>1.5625069157219993</v>
      </c>
    </row>
    <row r="10" spans="1:11" x14ac:dyDescent="0.2">
      <c r="A10">
        <f t="shared" si="0"/>
        <v>8.7266462599716474E-2</v>
      </c>
      <c r="C10">
        <v>23</v>
      </c>
      <c r="E10" s="8">
        <f>((2*H2-C10*K2)*(1-COS(A10))/(2*H2*(1-COS(A10))-C10*K2))</f>
        <v>1.4951396905118677</v>
      </c>
    </row>
    <row r="11" spans="1:11" x14ac:dyDescent="0.2">
      <c r="A11">
        <f t="shared" si="0"/>
        <v>8.7266462599716474E-2</v>
      </c>
      <c r="C11">
        <v>24</v>
      </c>
      <c r="E11" s="8">
        <f>((2*H2-C11*K2)*(1-COS(A11))/(2*H2*(1-COS(A11))-C11*K2))</f>
        <v>1.5280793212378809</v>
      </c>
    </row>
    <row r="12" spans="1:11" x14ac:dyDescent="0.2">
      <c r="A12">
        <f t="shared" si="0"/>
        <v>8.7266462599716474E-2</v>
      </c>
      <c r="C12">
        <v>24</v>
      </c>
      <c r="E12" s="8">
        <f>((2*H2-C12*K2)*(1-COS(A12))/(2*H2*(1-COS(A12))-C12*K2))</f>
        <v>1.5280793212378809</v>
      </c>
    </row>
    <row r="13" spans="1:11" x14ac:dyDescent="0.2">
      <c r="A13">
        <f t="shared" si="0"/>
        <v>8.7266462599716474E-2</v>
      </c>
      <c r="C13">
        <v>21</v>
      </c>
      <c r="E13" s="8">
        <f>((2*H2-C13*K2)*(1-COS(A13))/(2*H2*(1-COS(A13))-C13*K2))</f>
        <v>1.4333544467327766</v>
      </c>
    </row>
    <row r="14" spans="1:11" x14ac:dyDescent="0.2">
      <c r="A14">
        <f t="shared" si="0"/>
        <v>8.7266462599716474E-2</v>
      </c>
      <c r="C14">
        <v>25</v>
      </c>
      <c r="E14" s="8">
        <f>((2*H2-C14*K2)*(1-COS(A14))/(2*H2*(1-COS(A14))-C14*K2))</f>
        <v>1.5625069157219993</v>
      </c>
    </row>
    <row r="15" spans="1:11" x14ac:dyDescent="0.2">
      <c r="A15">
        <f t="shared" si="0"/>
        <v>8.7266462599716474E-2</v>
      </c>
      <c r="C15">
        <v>23</v>
      </c>
      <c r="E15" s="8">
        <f>((2*H2-C15*K2)*(1-COS(A15))/(2*H2*(1-COS(A15))-C15*K2))</f>
        <v>1.4951396905118677</v>
      </c>
    </row>
    <row r="16" spans="1:11" x14ac:dyDescent="0.2">
      <c r="F16" s="6" t="s">
        <v>71</v>
      </c>
    </row>
    <row r="17" spans="1:6" x14ac:dyDescent="0.2">
      <c r="A17">
        <f>5*(PI())/180</f>
        <v>8.7266462599716474E-2</v>
      </c>
      <c r="C17">
        <f>AVERAGE(C6:C15)</f>
        <v>23.3</v>
      </c>
      <c r="E17" s="9">
        <f>AVERAGE(E6:E15)</f>
        <v>1.5058679281866056</v>
      </c>
      <c r="F17" s="10">
        <f>SQRT(C23)</f>
        <v>1.1550282693687108E-2</v>
      </c>
    </row>
    <row r="19" spans="1:6" x14ac:dyDescent="0.2">
      <c r="A19" t="s">
        <v>70</v>
      </c>
      <c r="B19">
        <f>1-COS(A6)</f>
        <v>3.8053019082544548E-3</v>
      </c>
    </row>
    <row r="21" spans="1:6" x14ac:dyDescent="0.2">
      <c r="A21" t="s">
        <v>72</v>
      </c>
      <c r="C21">
        <f>(2*(B19)*((2*H7*B19)-C17*K2)-(2*B19)*(2*H7*B19)+C17*(K2*COS(A17)-K2))/((2*H7*B19-C17*K2)*(2*H7*B19-C17*K2))</f>
        <v>-2.0482315604652337</v>
      </c>
    </row>
    <row r="23" spans="1:6" x14ac:dyDescent="0.2">
      <c r="C23">
        <f>C21*C21*I7*I7</f>
        <v>1.3340903030408793E-4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7FF9-D198-E942-8247-09C852B38FE2}">
  <dimension ref="A1:G85"/>
  <sheetViews>
    <sheetView workbookViewId="0">
      <selection activeCell="C17" sqref="C17"/>
    </sheetView>
  </sheetViews>
  <sheetFormatPr baseColWidth="10" defaultRowHeight="16" x14ac:dyDescent="0.2"/>
  <sheetData>
    <row r="1" spans="1:7" x14ac:dyDescent="0.2">
      <c r="A1" t="s">
        <v>5</v>
      </c>
      <c r="C1" t="s">
        <v>92</v>
      </c>
      <c r="E1" t="s">
        <v>89</v>
      </c>
      <c r="G1" t="s">
        <v>90</v>
      </c>
    </row>
    <row r="2" spans="1:7" x14ac:dyDescent="0.2">
      <c r="A2">
        <v>43</v>
      </c>
      <c r="B2" s="11" t="s">
        <v>83</v>
      </c>
      <c r="C2">
        <v>13</v>
      </c>
      <c r="E2">
        <v>6.3200000000000006E-2</v>
      </c>
      <c r="G2">
        <f>A26*E2/(2*COS(E4))</f>
        <v>4.6756353339782599</v>
      </c>
    </row>
    <row r="3" spans="1:7" x14ac:dyDescent="0.2">
      <c r="A3">
        <v>33</v>
      </c>
      <c r="B3" t="s">
        <v>84</v>
      </c>
      <c r="C3">
        <v>10</v>
      </c>
      <c r="E3" t="s">
        <v>91</v>
      </c>
      <c r="G3">
        <f>A26*E2/(2*COS(E4))</f>
        <v>4.6756353339782599</v>
      </c>
    </row>
    <row r="4" spans="1:7" x14ac:dyDescent="0.2">
      <c r="A4">
        <v>23</v>
      </c>
      <c r="B4" t="s">
        <v>85</v>
      </c>
      <c r="C4">
        <v>7</v>
      </c>
      <c r="E4">
        <v>30</v>
      </c>
      <c r="G4">
        <f>A4*E2/(2*COS(E4))</f>
        <v>4.7117871535708753</v>
      </c>
    </row>
    <row r="5" spans="1:7" x14ac:dyDescent="0.2">
      <c r="A5">
        <v>13</v>
      </c>
      <c r="B5" t="s">
        <v>87</v>
      </c>
      <c r="C5">
        <v>4</v>
      </c>
      <c r="G5">
        <f>A5*E2/(2*COS(E4))</f>
        <v>2.6631840433226683</v>
      </c>
    </row>
    <row r="6" spans="1:7" x14ac:dyDescent="0.2">
      <c r="A6">
        <v>7</v>
      </c>
      <c r="B6" t="s">
        <v>88</v>
      </c>
      <c r="C6">
        <v>2</v>
      </c>
      <c r="G6">
        <f>A6*E2/(2*COS(E4))</f>
        <v>1.4340221771737445</v>
      </c>
    </row>
    <row r="9" spans="1:7" x14ac:dyDescent="0.2">
      <c r="A9">
        <v>23</v>
      </c>
    </row>
    <row r="10" spans="1:7" x14ac:dyDescent="0.2">
      <c r="A10">
        <v>22</v>
      </c>
      <c r="C10" s="12" t="s">
        <v>93</v>
      </c>
      <c r="D10" s="12"/>
      <c r="E10" s="12"/>
    </row>
    <row r="11" spans="1:7" x14ac:dyDescent="0.2">
      <c r="A11">
        <v>23</v>
      </c>
      <c r="C11" s="12"/>
      <c r="D11" s="12"/>
      <c r="E11" s="12"/>
    </row>
    <row r="12" spans="1:7" x14ac:dyDescent="0.2">
      <c r="A12">
        <v>23</v>
      </c>
      <c r="C12" s="12"/>
      <c r="D12" s="12"/>
      <c r="E12" s="12"/>
    </row>
    <row r="13" spans="1:7" x14ac:dyDescent="0.2">
      <c r="A13">
        <v>24</v>
      </c>
      <c r="C13" s="12"/>
      <c r="D13" s="12"/>
      <c r="E13" s="12"/>
    </row>
    <row r="14" spans="1:7" x14ac:dyDescent="0.2">
      <c r="A14">
        <v>23</v>
      </c>
    </row>
    <row r="15" spans="1:7" x14ac:dyDescent="0.2">
      <c r="A15">
        <v>23</v>
      </c>
    </row>
    <row r="16" spans="1:7" x14ac:dyDescent="0.2">
      <c r="A16">
        <v>23</v>
      </c>
      <c r="C16">
        <f>2*7*COS(E4)/A26</f>
        <v>9.4618157405270631E-2</v>
      </c>
    </row>
    <row r="17" spans="1:5" x14ac:dyDescent="0.2">
      <c r="A17">
        <v>22</v>
      </c>
    </row>
    <row r="18" spans="1:5" x14ac:dyDescent="0.2">
      <c r="A18">
        <v>22</v>
      </c>
    </row>
    <row r="19" spans="1:5" x14ac:dyDescent="0.2">
      <c r="A19">
        <v>23</v>
      </c>
    </row>
    <row r="20" spans="1:5" x14ac:dyDescent="0.2">
      <c r="A20">
        <v>24</v>
      </c>
    </row>
    <row r="21" spans="1:5" x14ac:dyDescent="0.2">
      <c r="A21">
        <v>23</v>
      </c>
    </row>
    <row r="22" spans="1:5" x14ac:dyDescent="0.2">
      <c r="A22">
        <v>22</v>
      </c>
    </row>
    <row r="23" spans="1:5" x14ac:dyDescent="0.2">
      <c r="A23">
        <v>22</v>
      </c>
    </row>
    <row r="24" spans="1:5" x14ac:dyDescent="0.2">
      <c r="A24">
        <v>23</v>
      </c>
    </row>
    <row r="25" spans="1:5" x14ac:dyDescent="0.2">
      <c r="A25">
        <v>23</v>
      </c>
    </row>
    <row r="26" spans="1:5" x14ac:dyDescent="0.2">
      <c r="A26">
        <f>AVERAGE(A9:A25)</f>
        <v>22.823529411764707</v>
      </c>
      <c r="B26">
        <f>STDEV(A9:A25)</f>
        <v>0.63593377383646033</v>
      </c>
    </row>
    <row r="31" spans="1:5" x14ac:dyDescent="0.2">
      <c r="A31" t="s">
        <v>94</v>
      </c>
      <c r="B31" t="s">
        <v>86</v>
      </c>
      <c r="D31" s="13" t="s">
        <v>95</v>
      </c>
      <c r="E31" s="13"/>
    </row>
    <row r="32" spans="1:5" x14ac:dyDescent="0.2">
      <c r="A32">
        <v>26</v>
      </c>
      <c r="B32">
        <v>7</v>
      </c>
      <c r="D32" s="13"/>
      <c r="E32" s="13"/>
    </row>
    <row r="33" spans="1:4" x14ac:dyDescent="0.2">
      <c r="A33">
        <v>25</v>
      </c>
    </row>
    <row r="34" spans="1:4" x14ac:dyDescent="0.2">
      <c r="A34">
        <v>24</v>
      </c>
    </row>
    <row r="35" spans="1:4" x14ac:dyDescent="0.2">
      <c r="A35">
        <v>25</v>
      </c>
    </row>
    <row r="36" spans="1:4" x14ac:dyDescent="0.2">
      <c r="A36">
        <v>25</v>
      </c>
    </row>
    <row r="37" spans="1:4" x14ac:dyDescent="0.2">
      <c r="A37">
        <v>26</v>
      </c>
      <c r="D37" t="s">
        <v>90</v>
      </c>
    </row>
    <row r="38" spans="1:4" x14ac:dyDescent="0.2">
      <c r="A38">
        <v>25</v>
      </c>
      <c r="D38">
        <f>A48*E2/(2*COS(E4))</f>
        <v>5.2239379311329266</v>
      </c>
    </row>
    <row r="39" spans="1:4" x14ac:dyDescent="0.2">
      <c r="A39">
        <v>25</v>
      </c>
    </row>
    <row r="40" spans="1:4" x14ac:dyDescent="0.2">
      <c r="A40">
        <v>26</v>
      </c>
    </row>
    <row r="41" spans="1:4" x14ac:dyDescent="0.2">
      <c r="A41">
        <v>26</v>
      </c>
      <c r="D41">
        <f>(2*7*COS(E4)/A48)*1000</f>
        <v>84.687070526516735</v>
      </c>
    </row>
    <row r="42" spans="1:4" x14ac:dyDescent="0.2">
      <c r="A42">
        <v>26</v>
      </c>
    </row>
    <row r="43" spans="1:4" x14ac:dyDescent="0.2">
      <c r="A43">
        <v>25</v>
      </c>
    </row>
    <row r="44" spans="1:4" x14ac:dyDescent="0.2">
      <c r="A44">
        <v>26</v>
      </c>
    </row>
    <row r="45" spans="1:4" x14ac:dyDescent="0.2">
      <c r="A45">
        <v>26</v>
      </c>
    </row>
    <row r="46" spans="1:4" x14ac:dyDescent="0.2">
      <c r="A46">
        <v>26</v>
      </c>
    </row>
    <row r="47" spans="1:4" x14ac:dyDescent="0.2">
      <c r="A47">
        <v>26</v>
      </c>
    </row>
    <row r="48" spans="1:4" x14ac:dyDescent="0.2">
      <c r="A48">
        <f>AVERAGE(A32:A47)</f>
        <v>25.5</v>
      </c>
      <c r="B48">
        <f>STDEV(A32:A47)</f>
        <v>0.63245553203367588</v>
      </c>
    </row>
    <row r="52" spans="1:5" x14ac:dyDescent="0.2">
      <c r="D52" s="14" t="s">
        <v>96</v>
      </c>
      <c r="E52" s="14"/>
    </row>
    <row r="53" spans="1:5" x14ac:dyDescent="0.2">
      <c r="A53" t="s">
        <v>94</v>
      </c>
      <c r="B53" t="s">
        <v>86</v>
      </c>
      <c r="D53" s="14"/>
      <c r="E53" s="14"/>
    </row>
    <row r="54" spans="1:5" x14ac:dyDescent="0.2">
      <c r="A54">
        <v>29</v>
      </c>
      <c r="B54">
        <v>7</v>
      </c>
    </row>
    <row r="55" spans="1:5" x14ac:dyDescent="0.2">
      <c r="A55">
        <v>30</v>
      </c>
    </row>
    <row r="56" spans="1:5" x14ac:dyDescent="0.2">
      <c r="A56">
        <v>29</v>
      </c>
    </row>
    <row r="57" spans="1:5" x14ac:dyDescent="0.2">
      <c r="A57">
        <v>29</v>
      </c>
      <c r="D57">
        <f>(2*7*COS(E4)/A66)*1000</f>
        <v>73.829753792347915</v>
      </c>
    </row>
    <row r="58" spans="1:5" x14ac:dyDescent="0.2">
      <c r="A58">
        <v>29</v>
      </c>
    </row>
    <row r="59" spans="1:5" x14ac:dyDescent="0.2">
      <c r="A59">
        <v>29</v>
      </c>
    </row>
    <row r="60" spans="1:5" x14ac:dyDescent="0.2">
      <c r="A60">
        <v>30</v>
      </c>
    </row>
    <row r="61" spans="1:5" x14ac:dyDescent="0.2">
      <c r="A61">
        <v>29</v>
      </c>
    </row>
    <row r="62" spans="1:5" x14ac:dyDescent="0.2">
      <c r="A62">
        <v>29</v>
      </c>
    </row>
    <row r="63" spans="1:5" x14ac:dyDescent="0.2">
      <c r="A63">
        <v>30</v>
      </c>
    </row>
    <row r="64" spans="1:5" x14ac:dyDescent="0.2">
      <c r="A64">
        <v>29</v>
      </c>
    </row>
    <row r="65" spans="1:5" x14ac:dyDescent="0.2">
      <c r="A65">
        <v>29</v>
      </c>
    </row>
    <row r="66" spans="1:5" x14ac:dyDescent="0.2">
      <c r="A66">
        <f>AVERAGE(A54:A65)</f>
        <v>29.25</v>
      </c>
      <c r="B66">
        <f>STDEV(A54:A65)</f>
        <v>0.45226701686664544</v>
      </c>
    </row>
    <row r="69" spans="1:5" x14ac:dyDescent="0.2">
      <c r="D69" s="15" t="s">
        <v>97</v>
      </c>
      <c r="E69" s="15"/>
    </row>
    <row r="70" spans="1:5" x14ac:dyDescent="0.2">
      <c r="D70" s="15"/>
      <c r="E70" s="15"/>
    </row>
    <row r="71" spans="1:5" x14ac:dyDescent="0.2">
      <c r="A71" t="s">
        <v>94</v>
      </c>
      <c r="B71" t="s">
        <v>86</v>
      </c>
    </row>
    <row r="72" spans="1:5" x14ac:dyDescent="0.2">
      <c r="A72">
        <v>31</v>
      </c>
      <c r="B72">
        <v>7</v>
      </c>
    </row>
    <row r="73" spans="1:5" x14ac:dyDescent="0.2">
      <c r="A73">
        <v>30</v>
      </c>
    </row>
    <row r="74" spans="1:5" x14ac:dyDescent="0.2">
      <c r="A74">
        <v>31</v>
      </c>
    </row>
    <row r="75" spans="1:5" x14ac:dyDescent="0.2">
      <c r="A75">
        <v>31</v>
      </c>
      <c r="D75">
        <f>(2*7*COS(E4)/A85)*1000</f>
        <v>70.184409698850743</v>
      </c>
    </row>
    <row r="76" spans="1:5" x14ac:dyDescent="0.2">
      <c r="A76">
        <v>31</v>
      </c>
    </row>
    <row r="77" spans="1:5" x14ac:dyDescent="0.2">
      <c r="A77">
        <v>30</v>
      </c>
    </row>
    <row r="78" spans="1:5" x14ac:dyDescent="0.2">
      <c r="A78">
        <v>31</v>
      </c>
    </row>
    <row r="79" spans="1:5" x14ac:dyDescent="0.2">
      <c r="A79">
        <v>31</v>
      </c>
    </row>
    <row r="80" spans="1:5" x14ac:dyDescent="0.2">
      <c r="A80">
        <v>31</v>
      </c>
    </row>
    <row r="81" spans="1:2" x14ac:dyDescent="0.2">
      <c r="A81">
        <v>31</v>
      </c>
    </row>
    <row r="82" spans="1:2" x14ac:dyDescent="0.2">
      <c r="A82">
        <v>30</v>
      </c>
    </row>
    <row r="83" spans="1:2" x14ac:dyDescent="0.2">
      <c r="A83">
        <v>31</v>
      </c>
    </row>
    <row r="84" spans="1:2" x14ac:dyDescent="0.2">
      <c r="A84">
        <v>31</v>
      </c>
    </row>
    <row r="85" spans="1:2" x14ac:dyDescent="0.2">
      <c r="A85">
        <f>AVERAGE(A72:A84)</f>
        <v>30.76923076923077</v>
      </c>
      <c r="B85">
        <f>STDEV(A72:A84)</f>
        <v>0.4385290096535146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Sheet1</vt:lpstr>
      <vt:lpstr>calibrazione micrometro</vt:lpstr>
      <vt:lpstr>laser verde</vt:lpstr>
      <vt:lpstr>rifrazione aria</vt:lpstr>
      <vt:lpstr>rifrazione vetro</vt:lpstr>
      <vt:lpstr>Esperienza virtuale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2022-03-17T12:18:45Z</dcterms:created>
  <dcterms:modified xsi:type="dcterms:W3CDTF">2022-03-28T10:41:05Z</dcterms:modified>
</cp:coreProperties>
</file>