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Hult\MBAN\Data Optimization, Mar-Apr 2022\"/>
    </mc:Choice>
  </mc:AlternateContent>
  <xr:revisionPtr revIDLastSave="0" documentId="13_ncr:1_{0BCBA085-FAB5-47EA-B5CA-39213499C29E}" xr6:coauthVersionLast="47" xr6:coauthVersionMax="47" xr10:uidLastSave="{00000000-0000-0000-0000-000000000000}"/>
  <bookViews>
    <workbookView xWindow="-120" yWindow="-120" windowWidth="20730" windowHeight="11040" activeTab="1" xr2:uid="{2BC1644B-7743-4658-B085-EB0BE28AC329}"/>
  </bookViews>
  <sheets>
    <sheet name="Answer Report 1" sheetId="8" r:id="rId1"/>
    <sheet name="Working" sheetId="2" r:id="rId2"/>
    <sheet name="Sheet1" sheetId="9" r:id="rId3"/>
  </sheets>
  <definedNames>
    <definedName name="solver_adj" localSheetId="1" hidden="1">Working!$F$12:$L$12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Working!$E$20:$E$27</definedName>
    <definedName name="solver_lhs2" localSheetId="1" hidden="1">Working!$F$12:$L$12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Working!$F$17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el2" localSheetId="1" hidden="1">5</definedName>
    <definedName name="solver_rhs1" localSheetId="1" hidden="1">Working!$G$20:$G$27</definedName>
    <definedName name="solver_rhs2" localSheetId="1" hidden="1">"binary"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2" l="1"/>
  <c r="S5" i="2"/>
  <c r="S6" i="2"/>
  <c r="S7" i="2"/>
  <c r="S8" i="2"/>
  <c r="S9" i="2"/>
  <c r="S3" i="2"/>
  <c r="O10" i="2"/>
  <c r="P10" i="2"/>
  <c r="O15" i="2"/>
  <c r="P9" i="2"/>
  <c r="P8" i="2"/>
  <c r="P7" i="2"/>
  <c r="P6" i="2"/>
  <c r="P5" i="2"/>
  <c r="P4" i="2"/>
  <c r="P3" i="2"/>
  <c r="N17" i="9"/>
  <c r="N16" i="9"/>
  <c r="N15" i="9"/>
  <c r="N14" i="9"/>
  <c r="N13" i="9"/>
  <c r="N12" i="9"/>
  <c r="N11" i="9"/>
  <c r="M17" i="9"/>
  <c r="M16" i="9"/>
  <c r="M15" i="9"/>
  <c r="M14" i="9"/>
  <c r="M13" i="9"/>
  <c r="M12" i="9"/>
  <c r="M11" i="9"/>
  <c r="L17" i="9"/>
  <c r="L16" i="9"/>
  <c r="L15" i="9"/>
  <c r="L14" i="9"/>
  <c r="L13" i="9"/>
  <c r="L12" i="9"/>
  <c r="L11" i="9"/>
  <c r="K17" i="9"/>
  <c r="K16" i="9"/>
  <c r="K15" i="9"/>
  <c r="K14" i="9"/>
  <c r="K13" i="9"/>
  <c r="K12" i="9"/>
  <c r="K11" i="9"/>
  <c r="I17" i="9"/>
  <c r="I16" i="9"/>
  <c r="I15" i="9"/>
  <c r="I14" i="9"/>
  <c r="I13" i="9"/>
  <c r="I12" i="9"/>
  <c r="I11" i="9"/>
  <c r="O5" i="9"/>
  <c r="N8" i="9"/>
  <c r="M8" i="9"/>
  <c r="M5" i="9"/>
  <c r="L5" i="9"/>
  <c r="K5" i="9"/>
  <c r="H8" i="9"/>
  <c r="G8" i="9"/>
  <c r="E27" i="2"/>
  <c r="F17" i="2"/>
  <c r="O16" i="2"/>
  <c r="G27" i="2" s="1"/>
  <c r="G17" i="2"/>
  <c r="E26" i="2" l="1"/>
  <c r="E25" i="2"/>
  <c r="E24" i="2"/>
  <c r="E23" i="2"/>
  <c r="E22" i="2"/>
  <c r="E21" i="2"/>
  <c r="E20" i="2"/>
</calcChain>
</file>

<file path=xl/sharedStrings.xml><?xml version="1.0" encoding="utf-8"?>
<sst xmlns="http://schemas.openxmlformats.org/spreadsheetml/2006/main" count="238" uniqueCount="156">
  <si>
    <t>Area</t>
  </si>
  <si>
    <t>School</t>
  </si>
  <si>
    <t>Harvard University</t>
  </si>
  <si>
    <t>Hult International Business School</t>
  </si>
  <si>
    <t>Northeastern University</t>
  </si>
  <si>
    <t>Boston University</t>
  </si>
  <si>
    <t>Suffolk University</t>
  </si>
  <si>
    <t>Berklee Collage of Music</t>
  </si>
  <si>
    <t>Emerson College</t>
  </si>
  <si>
    <t>0 - If we don’t build in School i</t>
  </si>
  <si>
    <t>1 - If we build in School i</t>
  </si>
  <si>
    <t>Objective</t>
  </si>
  <si>
    <t>Variable</t>
  </si>
  <si>
    <t>Minizing the number of stores to build</t>
  </si>
  <si>
    <t>Si</t>
  </si>
  <si>
    <t>st</t>
  </si>
  <si>
    <t>S3 + S4 + S5 + S6 + S7 &gt;= 1</t>
  </si>
  <si>
    <t>S</t>
  </si>
  <si>
    <t>S1 + S4 &gt;= 1</t>
  </si>
  <si>
    <t>S2 + S5 &gt;= 1</t>
  </si>
  <si>
    <t>S3 + S4+ S6 + S7 &gt;= 1</t>
  </si>
  <si>
    <t>S1 + S3 + S4 + S6 + S7 &gt;= 1</t>
  </si>
  <si>
    <t>S2 + S5 + S7 &gt;= 1</t>
  </si>
  <si>
    <t>S3 + S4 + S6 + S7 &gt;= 1</t>
  </si>
  <si>
    <t>&gt;=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</si>
  <si>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</si>
  <si>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</si>
  <si>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</si>
  <si>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</si>
  <si>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</si>
  <si>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</si>
  <si>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</si>
  <si>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</si>
  <si>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</si>
  <si>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</si>
  <si>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</si>
  <si>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</si>
  <si>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</si>
  <si>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</si>
  <si>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</si>
  <si>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</si>
  <si>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$F$12</t>
  </si>
  <si>
    <t>$G$12</t>
  </si>
  <si>
    <t>$H$12</t>
  </si>
  <si>
    <t>$I$12</t>
  </si>
  <si>
    <t>$J$12</t>
  </si>
  <si>
    <t>$K$12</t>
  </si>
  <si>
    <t>$L$12</t>
  </si>
  <si>
    <t>S1 + S4 &gt;= 1 st</t>
  </si>
  <si>
    <t>Binding</t>
  </si>
  <si>
    <t>$E$20</t>
  </si>
  <si>
    <t>S2 + S5 &gt;= 1 st</t>
  </si>
  <si>
    <t>$E$20&gt;=$G$20</t>
  </si>
  <si>
    <t>$E$21</t>
  </si>
  <si>
    <t>S3 + S4+ S6 + S7 &gt;= 1 st</t>
  </si>
  <si>
    <t>$E$21&gt;=$G$21</t>
  </si>
  <si>
    <t>$E$22</t>
  </si>
  <si>
    <t>S1 + S3 + S4 + S6 + S7 &gt;= 1 st</t>
  </si>
  <si>
    <t>$E$22&gt;=$G$22</t>
  </si>
  <si>
    <t>$E$23</t>
  </si>
  <si>
    <t>S2 + S5 + S7 &gt;= 1 st</t>
  </si>
  <si>
    <t>$E$23&gt;=$G$23</t>
  </si>
  <si>
    <t>$E$24</t>
  </si>
  <si>
    <t>S3 + S4 + S6 + S7 &gt;= 1 st</t>
  </si>
  <si>
    <t>$E$24&gt;=$G$24</t>
  </si>
  <si>
    <t>$E$25</t>
  </si>
  <si>
    <t>S3 + S4 + S5 + S6 + S7 &gt;= 1 st</t>
  </si>
  <si>
    <t>$E$25&gt;=$G$25</t>
  </si>
  <si>
    <t>$F$12:$L$12=Binary</t>
  </si>
  <si>
    <t>Binary</t>
  </si>
  <si>
    <t>Driving Time</t>
  </si>
  <si>
    <t>To achieve &lt;= 7 minis delivery time</t>
  </si>
  <si>
    <t>School Name</t>
  </si>
  <si>
    <t>delivery cost</t>
  </si>
  <si>
    <t>Average ordder cost</t>
  </si>
  <si>
    <t>Objective - Maximize profit</t>
  </si>
  <si>
    <t>Maximum capacity</t>
  </si>
  <si>
    <t>Total Yearly Demand</t>
  </si>
  <si>
    <t>Total monthly demand</t>
  </si>
  <si>
    <t>monthly Estimated demand</t>
  </si>
  <si>
    <t>Worksheet: [Group workv2.xlsx]Working</t>
  </si>
  <si>
    <t>Objective Cell (Max)</t>
  </si>
  <si>
    <t>$F$17</t>
  </si>
  <si>
    <t>$E$26</t>
  </si>
  <si>
    <t>$E$26&gt;=$G$26</t>
  </si>
  <si>
    <t>$E$27</t>
  </si>
  <si>
    <t>$E$27&gt;=$G$27</t>
  </si>
  <si>
    <t>Total startup cost</t>
  </si>
  <si>
    <t>Variable cost</t>
  </si>
  <si>
    <t>Fixed Yearly cost per 1000 capacity</t>
  </si>
  <si>
    <t>F12*Q3+G12*Q4+H12*Q5+I12*Q6+J12*Q7+K12*Q8+L12*Q9 &gt;= O16</t>
  </si>
  <si>
    <t>Report Created: 4/2/2022 10:06:53 PM</t>
  </si>
  <si>
    <t>Solution Time: 0.016 Seconds.</t>
  </si>
  <si>
    <t>Iterations: 14 Subproblems: 0</t>
  </si>
  <si>
    <t>Max Time Unlimited,  Iterations Unlimited, Precision 0.000001</t>
  </si>
  <si>
    <t>Max Subproblems Unlimited, Max Integer Sols Unlimited, Integer Tolerance 1%, Assume NonNegative</t>
  </si>
  <si>
    <t>Not Binding</t>
  </si>
  <si>
    <t>F12*Q3+G12*Q4+H12*Q5+I12*Q6+J12*Q7+K12*Q8+L12*Q9 &gt;= O16 st</t>
  </si>
  <si>
    <t>Per Year (4 year program)</t>
  </si>
  <si>
    <t>Total Student Body</t>
  </si>
  <si>
    <t>Estimated demand</t>
  </si>
  <si>
    <t>Harvard</t>
  </si>
  <si>
    <t>Typical Pizza Restaurant is 1800 SF</t>
  </si>
  <si>
    <t>Hult</t>
  </si>
  <si>
    <t>SF</t>
  </si>
  <si>
    <t>Price</t>
  </si>
  <si>
    <t>Our Hypothetical location</t>
  </si>
  <si>
    <t>Northeaster</t>
  </si>
  <si>
    <t>AVG price</t>
  </si>
  <si>
    <t>Annual Rent</t>
  </si>
  <si>
    <t>monthly Rent</t>
  </si>
  <si>
    <t>Monthly Break even</t>
  </si>
  <si>
    <t>our price (Below avg market)</t>
  </si>
  <si>
    <t>BE in pizza slices</t>
  </si>
  <si>
    <t>Boston U</t>
  </si>
  <si>
    <t>Average order size</t>
  </si>
  <si>
    <t>Suffolk</t>
  </si>
  <si>
    <t>Percent of students we need to capture to break even</t>
  </si>
  <si>
    <t>Berklee</t>
  </si>
  <si>
    <t>Min wage (Boston)</t>
  </si>
  <si>
    <t>Typical work week</t>
  </si>
  <si>
    <t># of employees</t>
  </si>
  <si>
    <t>Weekly Pay</t>
  </si>
  <si>
    <t>Monthly Pay</t>
  </si>
  <si>
    <t>AVG</t>
  </si>
  <si>
    <t>*This is undergrad Only* being conservative without using master / PHD student information</t>
  </si>
  <si>
    <t>Total Population of target market</t>
  </si>
  <si>
    <t>Montly</t>
  </si>
  <si>
    <t>Fixed cost</t>
  </si>
  <si>
    <t>Overhead</t>
  </si>
  <si>
    <t>raw food = $6</t>
  </si>
  <si>
    <t>Total costs</t>
  </si>
  <si>
    <t>EST Revenue</t>
  </si>
  <si>
    <t>EST Profit</t>
  </si>
  <si>
    <t>capacity</t>
  </si>
  <si>
    <t>Daily</t>
  </si>
  <si>
    <t>Restaurant Name</t>
  </si>
  <si>
    <t>Size</t>
  </si>
  <si>
    <t>Boston Pizza Kitchen</t>
  </si>
  <si>
    <t>L</t>
  </si>
  <si>
    <t>4corners Pizza</t>
  </si>
  <si>
    <t>santarpios pizza</t>
  </si>
  <si>
    <t>Regina Pizzeria</t>
  </si>
  <si>
    <t>Sals Pizza</t>
  </si>
  <si>
    <t>Picco Pizza &amp; Ice Cream</t>
  </si>
  <si>
    <t>TOTAL</t>
  </si>
  <si>
    <t>Ducali</t>
  </si>
  <si>
    <t>Per Location</t>
  </si>
  <si>
    <t>Demand</t>
  </si>
  <si>
    <t>Variable Cost</t>
  </si>
  <si>
    <t>Cv</t>
  </si>
  <si>
    <t>Delivery Cost</t>
  </si>
  <si>
    <t>Cd</t>
  </si>
  <si>
    <t>P</t>
  </si>
  <si>
    <t>price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</si>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</sst>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2"/>
      <color rgb="FFFBBC0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4" fillId="0" borderId="0" xfId="0" applyFont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Fill="1" applyBorder="1"/>
    <xf numFmtId="8" fontId="0" fillId="0" borderId="0" xfId="0" applyNumberFormat="1" applyBorder="1"/>
    <xf numFmtId="8" fontId="0" fillId="0" borderId="2" xfId="0" applyNumberFormat="1" applyFill="1" applyBorder="1" applyAlignment="1"/>
    <xf numFmtId="164" fontId="0" fillId="0" borderId="9" xfId="1" applyNumberFormat="1" applyFont="1" applyBorder="1"/>
    <xf numFmtId="164" fontId="0" fillId="0" borderId="3" xfId="0" applyNumberFormat="1" applyFill="1" applyBorder="1" applyAlignment="1"/>
    <xf numFmtId="0" fontId="0" fillId="2" borderId="5" xfId="0" applyFill="1" applyBorder="1"/>
    <xf numFmtId="0" fontId="0" fillId="2" borderId="0" xfId="0" applyFill="1" applyBorder="1"/>
    <xf numFmtId="0" fontId="0" fillId="0" borderId="0" xfId="0" applyFont="1"/>
    <xf numFmtId="0" fontId="5" fillId="0" borderId="0" xfId="0" applyFont="1"/>
    <xf numFmtId="0" fontId="5" fillId="0" borderId="0" xfId="0" applyFont="1" applyBorder="1"/>
    <xf numFmtId="0" fontId="6" fillId="3" borderId="0" xfId="0" applyFont="1" applyFill="1" applyBorder="1" applyAlignment="1"/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0" fillId="0" borderId="0" xfId="0" applyFont="1" applyBorder="1" applyAlignment="1"/>
    <xf numFmtId="0" fontId="0" fillId="0" borderId="0" xfId="0" applyFont="1" applyBorder="1"/>
    <xf numFmtId="0" fontId="6" fillId="0" borderId="0" xfId="0" applyFont="1" applyBorder="1" applyAlignment="1">
      <alignment horizontal="right"/>
    </xf>
    <xf numFmtId="0" fontId="0" fillId="0" borderId="0" xfId="0" applyFont="1" applyBorder="1" applyAlignment="1">
      <alignment vertical="center"/>
    </xf>
    <xf numFmtId="0" fontId="6" fillId="0" borderId="0" xfId="0" applyFont="1"/>
    <xf numFmtId="8" fontId="6" fillId="0" borderId="0" xfId="0" applyNumberFormat="1" applyFont="1" applyBorder="1" applyAlignment="1">
      <alignment horizontal="right"/>
    </xf>
    <xf numFmtId="4" fontId="0" fillId="0" borderId="0" xfId="0" applyNumberFormat="1" applyFont="1" applyBorder="1" applyAlignment="1">
      <alignment horizontal="right"/>
    </xf>
    <xf numFmtId="0" fontId="8" fillId="4" borderId="0" xfId="0" applyFont="1" applyFill="1" applyBorder="1" applyAlignment="1">
      <alignment vertical="center"/>
    </xf>
    <xf numFmtId="0" fontId="9" fillId="4" borderId="0" xfId="0" applyFont="1" applyFill="1" applyBorder="1" applyAlignment="1"/>
    <xf numFmtId="10" fontId="8" fillId="4" borderId="0" xfId="0" applyNumberFormat="1" applyFont="1" applyFill="1" applyBorder="1" applyAlignment="1">
      <alignment horizontal="right"/>
    </xf>
    <xf numFmtId="0" fontId="7" fillId="4" borderId="0" xfId="0" applyFont="1" applyFill="1" applyBorder="1" applyAlignment="1">
      <alignment horizontal="right"/>
    </xf>
    <xf numFmtId="0" fontId="7" fillId="4" borderId="0" xfId="0" applyFont="1" applyFill="1" applyBorder="1" applyAlignment="1"/>
    <xf numFmtId="1" fontId="6" fillId="0" borderId="0" xfId="0" applyNumberFormat="1" applyFont="1" applyBorder="1" applyAlignment="1">
      <alignment horizontal="right"/>
    </xf>
    <xf numFmtId="1" fontId="7" fillId="4" borderId="0" xfId="0" applyNumberFormat="1" applyFont="1" applyFill="1" applyBorder="1" applyAlignment="1">
      <alignment horizontal="right"/>
    </xf>
    <xf numFmtId="1" fontId="6" fillId="0" borderId="0" xfId="0" applyNumberFormat="1" applyFont="1" applyBorder="1" applyAlignment="1"/>
    <xf numFmtId="0" fontId="6" fillId="0" borderId="13" xfId="0" applyFont="1" applyBorder="1" applyAlignment="1"/>
    <xf numFmtId="0" fontId="6" fillId="0" borderId="13" xfId="0" applyFont="1" applyBorder="1" applyAlignment="1">
      <alignment horizontal="right"/>
    </xf>
    <xf numFmtId="0" fontId="10" fillId="4" borderId="13" xfId="0" applyFont="1" applyFill="1" applyBorder="1" applyAlignment="1"/>
    <xf numFmtId="0" fontId="0" fillId="0" borderId="13" xfId="0" applyFont="1" applyBorder="1" applyAlignment="1"/>
    <xf numFmtId="0" fontId="7" fillId="4" borderId="12" xfId="0" applyFont="1" applyFill="1" applyBorder="1" applyAlignment="1"/>
    <xf numFmtId="0" fontId="7" fillId="4" borderId="12" xfId="0" applyFont="1" applyFill="1" applyBorder="1" applyAlignment="1">
      <alignment horizontal="right"/>
    </xf>
    <xf numFmtId="0" fontId="6" fillId="0" borderId="12" xfId="0" applyFont="1" applyBorder="1" applyAlignment="1"/>
    <xf numFmtId="0" fontId="0" fillId="0" borderId="12" xfId="0" applyFont="1" applyBorder="1" applyAlignment="1"/>
    <xf numFmtId="0" fontId="0" fillId="0" borderId="0" xfId="0" applyAlignment="1">
      <alignment horizontal="right"/>
    </xf>
    <xf numFmtId="8" fontId="0" fillId="0" borderId="0" xfId="0" applyNumberFormat="1" applyAlignment="1">
      <alignment horizontal="right"/>
    </xf>
    <xf numFmtId="164" fontId="4" fillId="0" borderId="0" xfId="1" applyNumberFormat="1" applyFont="1" applyAlignment="1">
      <alignment horizontal="right" wrapText="1"/>
    </xf>
    <xf numFmtId="164" fontId="0" fillId="0" borderId="0" xfId="1" applyNumberFormat="1" applyFont="1"/>
    <xf numFmtId="0" fontId="7" fillId="4" borderId="0" xfId="0" applyFont="1" applyFill="1" applyBorder="1" applyAlignment="1"/>
    <xf numFmtId="4" fontId="4" fillId="0" borderId="0" xfId="0" applyNumberFormat="1" applyFont="1"/>
    <xf numFmtId="164" fontId="0" fillId="0" borderId="0" xfId="0" applyNumberFormat="1" applyFill="1"/>
    <xf numFmtId="0" fontId="0" fillId="0" borderId="0" xfId="0" applyFill="1" applyAlignment="1">
      <alignment horizontal="right"/>
    </xf>
    <xf numFmtId="0" fontId="3" fillId="5" borderId="0" xfId="2" applyAlignment="1">
      <alignment wrapText="1"/>
    </xf>
    <xf numFmtId="0" fontId="3" fillId="6" borderId="0" xfId="3" applyAlignment="1">
      <alignment wrapText="1"/>
    </xf>
  </cellXfs>
  <cellStyles count="4">
    <cellStyle name="20% - Accent4" xfId="2" builtinId="42"/>
    <cellStyle name="20% - Accent5" xfId="3" builtinId="46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DCA68-6265-4967-9545-885B409D22D6}">
  <dimension ref="A1:G40"/>
  <sheetViews>
    <sheetView showGridLines="0" workbookViewId="0"/>
  </sheetViews>
  <sheetFormatPr defaultRowHeight="15" x14ac:dyDescent="0.25"/>
  <cols>
    <col min="1" max="1" width="2.140625" customWidth="1"/>
    <col min="2" max="2" width="17" bestFit="1" customWidth="1"/>
    <col min="3" max="3" width="58" bestFit="1" customWidth="1"/>
    <col min="4" max="4" width="12.7109375" bestFit="1" customWidth="1"/>
    <col min="5" max="5" width="12.85546875" bestFit="1" customWidth="1"/>
    <col min="6" max="6" width="9.85546875" bestFit="1" customWidth="1"/>
    <col min="7" max="7" width="4.85546875" bestFit="1" customWidth="1"/>
  </cols>
  <sheetData>
    <row r="1" spans="1:5" x14ac:dyDescent="0.25">
      <c r="A1" s="1" t="s">
        <v>25</v>
      </c>
    </row>
    <row r="2" spans="1:5" x14ac:dyDescent="0.25">
      <c r="A2" s="1" t="s">
        <v>80</v>
      </c>
    </row>
    <row r="3" spans="1:5" x14ac:dyDescent="0.25">
      <c r="A3" s="1" t="s">
        <v>91</v>
      </c>
    </row>
    <row r="4" spans="1:5" x14ac:dyDescent="0.25">
      <c r="A4" s="1" t="s">
        <v>26</v>
      </c>
    </row>
    <row r="5" spans="1:5" x14ac:dyDescent="0.25">
      <c r="A5" s="1" t="s">
        <v>27</v>
      </c>
    </row>
    <row r="6" spans="1:5" x14ac:dyDescent="0.25">
      <c r="A6" s="1"/>
      <c r="B6" t="s">
        <v>28</v>
      </c>
    </row>
    <row r="7" spans="1:5" x14ac:dyDescent="0.25">
      <c r="A7" s="1"/>
      <c r="B7" t="s">
        <v>92</v>
      </c>
    </row>
    <row r="8" spans="1:5" x14ac:dyDescent="0.25">
      <c r="A8" s="1"/>
      <c r="B8" t="s">
        <v>93</v>
      </c>
    </row>
    <row r="9" spans="1:5" x14ac:dyDescent="0.25">
      <c r="A9" s="1" t="s">
        <v>29</v>
      </c>
    </row>
    <row r="10" spans="1:5" x14ac:dyDescent="0.25">
      <c r="B10" t="s">
        <v>94</v>
      </c>
    </row>
    <row r="11" spans="1:5" x14ac:dyDescent="0.25">
      <c r="B11" t="s">
        <v>95</v>
      </c>
    </row>
    <row r="14" spans="1:5" ht="15.75" thickBot="1" x14ac:dyDescent="0.3">
      <c r="A14" t="s">
        <v>81</v>
      </c>
    </row>
    <row r="15" spans="1:5" ht="15.75" thickBot="1" x14ac:dyDescent="0.3">
      <c r="B15" s="3" t="s">
        <v>30</v>
      </c>
      <c r="C15" s="3" t="s">
        <v>31</v>
      </c>
      <c r="D15" s="3" t="s">
        <v>32</v>
      </c>
      <c r="E15" s="3" t="s">
        <v>33</v>
      </c>
    </row>
    <row r="16" spans="1:5" ht="15.75" thickBot="1" x14ac:dyDescent="0.3">
      <c r="B16" s="2" t="s">
        <v>82</v>
      </c>
      <c r="C16" s="2" t="s">
        <v>13</v>
      </c>
      <c r="D16" s="19">
        <v>1217832</v>
      </c>
      <c r="E16" s="19">
        <v>507832</v>
      </c>
    </row>
    <row r="19" spans="1:7" ht="15.75" thickBot="1" x14ac:dyDescent="0.3">
      <c r="A19" t="s">
        <v>34</v>
      </c>
    </row>
    <row r="20" spans="1:7" ht="15.75" thickBot="1" x14ac:dyDescent="0.3">
      <c r="B20" s="3" t="s">
        <v>30</v>
      </c>
      <c r="C20" s="3" t="s">
        <v>31</v>
      </c>
      <c r="D20" s="3" t="s">
        <v>32</v>
      </c>
      <c r="E20" s="3" t="s">
        <v>33</v>
      </c>
      <c r="F20" s="3" t="s">
        <v>35</v>
      </c>
    </row>
    <row r="21" spans="1:7" x14ac:dyDescent="0.25">
      <c r="B21" s="4" t="s">
        <v>41</v>
      </c>
      <c r="C21" s="4" t="s">
        <v>17</v>
      </c>
      <c r="D21" s="6">
        <v>0</v>
      </c>
      <c r="E21" s="6">
        <v>0</v>
      </c>
      <c r="F21" s="4" t="s">
        <v>69</v>
      </c>
    </row>
    <row r="22" spans="1:7" x14ac:dyDescent="0.25">
      <c r="B22" s="4" t="s">
        <v>42</v>
      </c>
      <c r="C22" s="4" t="s">
        <v>17</v>
      </c>
      <c r="D22" s="6">
        <v>0</v>
      </c>
      <c r="E22" s="6">
        <v>0</v>
      </c>
      <c r="F22" s="4" t="s">
        <v>69</v>
      </c>
    </row>
    <row r="23" spans="1:7" x14ac:dyDescent="0.25">
      <c r="B23" s="4" t="s">
        <v>43</v>
      </c>
      <c r="C23" s="4" t="s">
        <v>17</v>
      </c>
      <c r="D23" s="6">
        <v>0</v>
      </c>
      <c r="E23" s="6">
        <v>0</v>
      </c>
      <c r="F23" s="4" t="s">
        <v>69</v>
      </c>
    </row>
    <row r="24" spans="1:7" x14ac:dyDescent="0.25">
      <c r="B24" s="4" t="s">
        <v>44</v>
      </c>
      <c r="C24" s="4" t="s">
        <v>17</v>
      </c>
      <c r="D24" s="6">
        <v>0</v>
      </c>
      <c r="E24" s="6">
        <v>1</v>
      </c>
      <c r="F24" s="4" t="s">
        <v>69</v>
      </c>
    </row>
    <row r="25" spans="1:7" x14ac:dyDescent="0.25">
      <c r="B25" s="4" t="s">
        <v>45</v>
      </c>
      <c r="C25" s="4" t="s">
        <v>17</v>
      </c>
      <c r="D25" s="6">
        <v>0</v>
      </c>
      <c r="E25" s="6">
        <v>1</v>
      </c>
      <c r="F25" s="4" t="s">
        <v>69</v>
      </c>
    </row>
    <row r="26" spans="1:7" x14ac:dyDescent="0.25">
      <c r="B26" s="4" t="s">
        <v>46</v>
      </c>
      <c r="C26" s="4" t="s">
        <v>17</v>
      </c>
      <c r="D26" s="6">
        <v>0</v>
      </c>
      <c r="E26" s="6">
        <v>0</v>
      </c>
      <c r="F26" s="4" t="s">
        <v>69</v>
      </c>
    </row>
    <row r="27" spans="1:7" ht="15.75" thickBot="1" x14ac:dyDescent="0.3">
      <c r="B27" s="2" t="s">
        <v>47</v>
      </c>
      <c r="C27" s="2" t="s">
        <v>17</v>
      </c>
      <c r="D27" s="5">
        <v>0</v>
      </c>
      <c r="E27" s="5">
        <v>0</v>
      </c>
      <c r="F27" s="2" t="s">
        <v>69</v>
      </c>
    </row>
    <row r="30" spans="1:7" ht="15.75" thickBot="1" x14ac:dyDescent="0.3">
      <c r="A30" t="s">
        <v>36</v>
      </c>
    </row>
    <row r="31" spans="1:7" ht="15.75" thickBot="1" x14ac:dyDescent="0.3">
      <c r="B31" s="3" t="s">
        <v>30</v>
      </c>
      <c r="C31" s="3" t="s">
        <v>31</v>
      </c>
      <c r="D31" s="3" t="s">
        <v>37</v>
      </c>
      <c r="E31" s="3" t="s">
        <v>38</v>
      </c>
      <c r="F31" s="3" t="s">
        <v>39</v>
      </c>
      <c r="G31" s="3" t="s">
        <v>40</v>
      </c>
    </row>
    <row r="32" spans="1:7" x14ac:dyDescent="0.25">
      <c r="B32" s="4" t="s">
        <v>50</v>
      </c>
      <c r="C32" s="4" t="s">
        <v>48</v>
      </c>
      <c r="D32" s="6">
        <v>1</v>
      </c>
      <c r="E32" s="4" t="s">
        <v>52</v>
      </c>
      <c r="F32" s="4" t="s">
        <v>49</v>
      </c>
      <c r="G32" s="6">
        <v>0</v>
      </c>
    </row>
    <row r="33" spans="2:7" x14ac:dyDescent="0.25">
      <c r="B33" s="4" t="s">
        <v>53</v>
      </c>
      <c r="C33" s="4" t="s">
        <v>51</v>
      </c>
      <c r="D33" s="6">
        <v>1</v>
      </c>
      <c r="E33" s="4" t="s">
        <v>55</v>
      </c>
      <c r="F33" s="4" t="s">
        <v>49</v>
      </c>
      <c r="G33" s="6">
        <v>0</v>
      </c>
    </row>
    <row r="34" spans="2:7" x14ac:dyDescent="0.25">
      <c r="B34" s="4" t="s">
        <v>56</v>
      </c>
      <c r="C34" s="4" t="s">
        <v>54</v>
      </c>
      <c r="D34" s="6">
        <v>1</v>
      </c>
      <c r="E34" s="4" t="s">
        <v>58</v>
      </c>
      <c r="F34" s="4" t="s">
        <v>49</v>
      </c>
      <c r="G34" s="6">
        <v>0</v>
      </c>
    </row>
    <row r="35" spans="2:7" x14ac:dyDescent="0.25">
      <c r="B35" s="4" t="s">
        <v>59</v>
      </c>
      <c r="C35" s="4" t="s">
        <v>57</v>
      </c>
      <c r="D35" s="6">
        <v>1</v>
      </c>
      <c r="E35" s="4" t="s">
        <v>61</v>
      </c>
      <c r="F35" s="4" t="s">
        <v>49</v>
      </c>
      <c r="G35" s="6">
        <v>0</v>
      </c>
    </row>
    <row r="36" spans="2:7" x14ac:dyDescent="0.25">
      <c r="B36" s="4" t="s">
        <v>62</v>
      </c>
      <c r="C36" s="4" t="s">
        <v>60</v>
      </c>
      <c r="D36" s="6">
        <v>1</v>
      </c>
      <c r="E36" s="4" t="s">
        <v>64</v>
      </c>
      <c r="F36" s="4" t="s">
        <v>49</v>
      </c>
      <c r="G36" s="6">
        <v>0</v>
      </c>
    </row>
    <row r="37" spans="2:7" x14ac:dyDescent="0.25">
      <c r="B37" s="4" t="s">
        <v>65</v>
      </c>
      <c r="C37" s="4" t="s">
        <v>63</v>
      </c>
      <c r="D37" s="6">
        <v>1</v>
      </c>
      <c r="E37" s="4" t="s">
        <v>67</v>
      </c>
      <c r="F37" s="4" t="s">
        <v>49</v>
      </c>
      <c r="G37" s="6">
        <v>0</v>
      </c>
    </row>
    <row r="38" spans="2:7" x14ac:dyDescent="0.25">
      <c r="B38" s="4" t="s">
        <v>83</v>
      </c>
      <c r="C38" s="4" t="s">
        <v>66</v>
      </c>
      <c r="D38" s="6">
        <v>2</v>
      </c>
      <c r="E38" s="4" t="s">
        <v>84</v>
      </c>
      <c r="F38" s="4" t="s">
        <v>96</v>
      </c>
      <c r="G38" s="6">
        <v>1</v>
      </c>
    </row>
    <row r="39" spans="2:7" x14ac:dyDescent="0.25">
      <c r="B39" s="4" t="s">
        <v>85</v>
      </c>
      <c r="C39" s="4" t="s">
        <v>97</v>
      </c>
      <c r="D39" s="21">
        <v>10000</v>
      </c>
      <c r="E39" s="4" t="s">
        <v>86</v>
      </c>
      <c r="F39" s="4" t="s">
        <v>96</v>
      </c>
      <c r="G39" s="21">
        <v>774</v>
      </c>
    </row>
    <row r="40" spans="2:7" ht="15.75" thickBot="1" x14ac:dyDescent="0.3">
      <c r="B40" s="2" t="s">
        <v>68</v>
      </c>
      <c r="C40" s="2"/>
      <c r="D40" s="2"/>
      <c r="E40" s="2"/>
      <c r="F40" s="2"/>
      <c r="G4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F1720-205E-47A7-A86F-4DA3676EC637}">
  <dimension ref="B1:U29"/>
  <sheetViews>
    <sheetView tabSelected="1" zoomScale="70" zoomScaleNormal="70" workbookViewId="0"/>
  </sheetViews>
  <sheetFormatPr defaultRowHeight="15" x14ac:dyDescent="0.25"/>
  <cols>
    <col min="1" max="1" width="2.5703125" customWidth="1"/>
    <col min="2" max="2" width="8.85546875" bestFit="1" customWidth="1"/>
    <col min="3" max="3" width="31.85546875" bestFit="1" customWidth="1"/>
    <col min="5" max="5" width="11.140625" bestFit="1" customWidth="1"/>
    <col min="6" max="6" width="15.85546875" customWidth="1"/>
    <col min="7" max="12" width="8.85546875" bestFit="1" customWidth="1"/>
    <col min="14" max="14" width="18.5703125" style="53" customWidth="1"/>
    <col min="15" max="15" width="15.28515625" bestFit="1" customWidth="1"/>
    <col min="16" max="16" width="15.28515625" customWidth="1"/>
    <col min="17" max="17" width="16.5703125" customWidth="1"/>
    <col min="18" max="19" width="9.85546875" customWidth="1"/>
    <col min="20" max="20" width="17.7109375" bestFit="1" customWidth="1"/>
    <col min="21" max="22" width="10.140625" bestFit="1" customWidth="1"/>
  </cols>
  <sheetData>
    <row r="1" spans="2:21" x14ac:dyDescent="0.25">
      <c r="D1" t="s">
        <v>70</v>
      </c>
    </row>
    <row r="2" spans="2:21" ht="45" x14ac:dyDescent="0.25">
      <c r="B2" t="s">
        <v>0</v>
      </c>
      <c r="C2" t="s">
        <v>1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N2" s="53" t="s">
        <v>72</v>
      </c>
      <c r="O2" s="61" t="s">
        <v>79</v>
      </c>
      <c r="P2" s="61" t="s">
        <v>155</v>
      </c>
      <c r="Q2" s="16" t="s">
        <v>89</v>
      </c>
      <c r="R2" s="62" t="s">
        <v>76</v>
      </c>
      <c r="S2" s="62" t="s">
        <v>155</v>
      </c>
      <c r="T2" t="s">
        <v>87</v>
      </c>
    </row>
    <row r="3" spans="2:21" x14ac:dyDescent="0.25">
      <c r="B3">
        <v>1</v>
      </c>
      <c r="C3" t="s">
        <v>2</v>
      </c>
      <c r="D3">
        <v>0</v>
      </c>
      <c r="E3">
        <v>11.2</v>
      </c>
      <c r="F3">
        <v>9.6</v>
      </c>
      <c r="G3">
        <v>3.9</v>
      </c>
      <c r="H3">
        <v>14.6</v>
      </c>
      <c r="I3">
        <v>10.199999999999999</v>
      </c>
      <c r="J3">
        <v>14.4</v>
      </c>
      <c r="N3" s="53" t="s">
        <v>2</v>
      </c>
      <c r="O3" s="55">
        <v>2088</v>
      </c>
      <c r="P3" s="55">
        <f>+O3*12</f>
        <v>25056</v>
      </c>
      <c r="Q3" s="55">
        <v>100000</v>
      </c>
      <c r="R3" s="55">
        <v>4000</v>
      </c>
      <c r="S3" s="55">
        <f>+R3*12</f>
        <v>48000</v>
      </c>
      <c r="T3" s="56">
        <v>400000</v>
      </c>
    </row>
    <row r="4" spans="2:21" x14ac:dyDescent="0.25">
      <c r="B4">
        <v>2</v>
      </c>
      <c r="C4" t="s">
        <v>3</v>
      </c>
      <c r="E4">
        <v>0</v>
      </c>
      <c r="F4">
        <v>9.1999999999999993</v>
      </c>
      <c r="G4">
        <v>8.4</v>
      </c>
      <c r="H4">
        <v>5</v>
      </c>
      <c r="I4">
        <v>7.8</v>
      </c>
      <c r="J4">
        <v>7.2</v>
      </c>
      <c r="N4" s="53" t="s">
        <v>3</v>
      </c>
      <c r="O4" s="55">
        <v>642</v>
      </c>
      <c r="P4" s="55">
        <f t="shared" ref="P4:P9" si="0">+O4*12</f>
        <v>7704</v>
      </c>
      <c r="Q4" s="55">
        <v>75000</v>
      </c>
      <c r="R4" s="55">
        <v>3000</v>
      </c>
      <c r="S4" s="55">
        <f t="shared" ref="S4:S9" si="1">+R4*12</f>
        <v>36000</v>
      </c>
      <c r="T4" s="56">
        <v>225000</v>
      </c>
    </row>
    <row r="5" spans="2:21" x14ac:dyDescent="0.25">
      <c r="B5">
        <v>3</v>
      </c>
      <c r="C5" t="s">
        <v>4</v>
      </c>
      <c r="F5">
        <v>0</v>
      </c>
      <c r="G5">
        <v>3</v>
      </c>
      <c r="H5">
        <v>9</v>
      </c>
      <c r="I5">
        <v>2.6</v>
      </c>
      <c r="J5">
        <v>6</v>
      </c>
      <c r="N5" s="53" t="s">
        <v>4</v>
      </c>
      <c r="O5" s="55">
        <v>1994</v>
      </c>
      <c r="P5" s="55">
        <f t="shared" si="0"/>
        <v>23928</v>
      </c>
      <c r="Q5" s="55">
        <v>50000</v>
      </c>
      <c r="R5" s="55">
        <v>5000</v>
      </c>
      <c r="S5" s="55">
        <f t="shared" si="1"/>
        <v>60000</v>
      </c>
      <c r="T5" s="56">
        <v>250000</v>
      </c>
    </row>
    <row r="6" spans="2:21" x14ac:dyDescent="0.25">
      <c r="B6">
        <v>4</v>
      </c>
      <c r="C6" t="s">
        <v>5</v>
      </c>
      <c r="G6">
        <v>0</v>
      </c>
      <c r="H6">
        <v>8.5</v>
      </c>
      <c r="I6">
        <v>0.2</v>
      </c>
      <c r="J6">
        <v>6.9</v>
      </c>
      <c r="N6" s="53" t="s">
        <v>5</v>
      </c>
      <c r="O6" s="55">
        <v>1687</v>
      </c>
      <c r="P6" s="55">
        <f t="shared" si="0"/>
        <v>20244</v>
      </c>
      <c r="Q6" s="55">
        <v>80000</v>
      </c>
      <c r="R6" s="55">
        <v>7000</v>
      </c>
      <c r="S6" s="55">
        <f t="shared" si="1"/>
        <v>84000</v>
      </c>
      <c r="T6" s="56">
        <v>560000</v>
      </c>
    </row>
    <row r="7" spans="2:21" x14ac:dyDescent="0.25">
      <c r="B7">
        <v>5</v>
      </c>
      <c r="C7" t="s">
        <v>6</v>
      </c>
      <c r="H7">
        <v>0</v>
      </c>
      <c r="I7">
        <v>7.7</v>
      </c>
      <c r="J7">
        <v>3.2</v>
      </c>
      <c r="N7" s="53" t="s">
        <v>6</v>
      </c>
      <c r="O7" s="55">
        <v>1759</v>
      </c>
      <c r="P7" s="55">
        <f t="shared" si="0"/>
        <v>21108</v>
      </c>
      <c r="Q7" s="55">
        <v>50000</v>
      </c>
      <c r="R7" s="55">
        <v>3000</v>
      </c>
      <c r="S7" s="55">
        <f t="shared" si="1"/>
        <v>36000</v>
      </c>
      <c r="T7" s="56">
        <v>150000</v>
      </c>
    </row>
    <row r="8" spans="2:21" x14ac:dyDescent="0.25">
      <c r="B8">
        <v>6</v>
      </c>
      <c r="C8" t="s">
        <v>7</v>
      </c>
      <c r="I8">
        <v>0</v>
      </c>
      <c r="J8">
        <v>6.2</v>
      </c>
      <c r="N8" s="53" t="s">
        <v>7</v>
      </c>
      <c r="O8" s="55">
        <v>600</v>
      </c>
      <c r="P8" s="55">
        <f t="shared" si="0"/>
        <v>7200</v>
      </c>
      <c r="Q8" s="55">
        <v>75000</v>
      </c>
      <c r="R8" s="55">
        <v>5000</v>
      </c>
      <c r="S8" s="55">
        <f t="shared" si="1"/>
        <v>60000</v>
      </c>
      <c r="T8" s="56">
        <v>375000</v>
      </c>
    </row>
    <row r="9" spans="2:21" x14ac:dyDescent="0.25">
      <c r="B9">
        <v>7</v>
      </c>
      <c r="C9" t="s">
        <v>8</v>
      </c>
      <c r="J9">
        <v>0</v>
      </c>
      <c r="N9" s="53" t="s">
        <v>8</v>
      </c>
      <c r="O9" s="55">
        <v>456</v>
      </c>
      <c r="P9" s="55">
        <f t="shared" si="0"/>
        <v>5472</v>
      </c>
      <c r="Q9" s="55">
        <v>50000</v>
      </c>
      <c r="R9" s="55">
        <v>7000</v>
      </c>
      <c r="S9" s="55">
        <f t="shared" si="1"/>
        <v>84000</v>
      </c>
      <c r="T9" s="56">
        <v>350000</v>
      </c>
    </row>
    <row r="10" spans="2:21" x14ac:dyDescent="0.25">
      <c r="O10" s="59">
        <f>SUM(O3:O9)</f>
        <v>9226</v>
      </c>
      <c r="P10" s="59">
        <f>SUM(P3:P9)</f>
        <v>110712</v>
      </c>
    </row>
    <row r="11" spans="2:21" x14ac:dyDescent="0.25">
      <c r="B11" t="s">
        <v>12</v>
      </c>
      <c r="E11" s="8"/>
      <c r="F11" s="9">
        <v>1</v>
      </c>
      <c r="G11" s="9">
        <v>2</v>
      </c>
      <c r="H11" s="9">
        <v>3</v>
      </c>
      <c r="I11" s="22">
        <v>4</v>
      </c>
      <c r="J11" s="22">
        <v>5</v>
      </c>
      <c r="K11" s="9">
        <v>6</v>
      </c>
      <c r="L11" s="10">
        <v>7</v>
      </c>
      <c r="M11" s="7"/>
      <c r="O11" s="58"/>
      <c r="P11" s="58"/>
    </row>
    <row r="12" spans="2:21" x14ac:dyDescent="0.25">
      <c r="B12" t="s">
        <v>14</v>
      </c>
      <c r="C12" t="s">
        <v>10</v>
      </c>
      <c r="E12" s="11" t="s">
        <v>17</v>
      </c>
      <c r="F12" s="7">
        <v>0</v>
      </c>
      <c r="G12" s="7">
        <v>0</v>
      </c>
      <c r="H12" s="7">
        <v>0</v>
      </c>
      <c r="I12" s="23">
        <v>1</v>
      </c>
      <c r="J12" s="23">
        <v>1</v>
      </c>
      <c r="K12" s="7">
        <v>0</v>
      </c>
      <c r="L12" s="12">
        <v>0</v>
      </c>
      <c r="M12" s="7"/>
      <c r="N12" s="53" t="s">
        <v>88</v>
      </c>
      <c r="O12" s="15">
        <v>10</v>
      </c>
      <c r="P12" s="15"/>
      <c r="T12" t="s">
        <v>153</v>
      </c>
      <c r="U12" t="s">
        <v>154</v>
      </c>
    </row>
    <row r="13" spans="2:21" x14ac:dyDescent="0.25">
      <c r="C13" t="s">
        <v>9</v>
      </c>
      <c r="E13" s="11"/>
      <c r="F13" s="7"/>
      <c r="G13" s="7"/>
      <c r="H13" s="7"/>
      <c r="I13" s="17"/>
      <c r="J13" s="17"/>
      <c r="K13" s="17"/>
      <c r="L13" s="12"/>
      <c r="M13" s="7"/>
      <c r="N13" s="53" t="s">
        <v>73</v>
      </c>
      <c r="O13" s="15">
        <v>4</v>
      </c>
      <c r="P13" s="15"/>
      <c r="T13" t="s">
        <v>148</v>
      </c>
      <c r="U13" t="s">
        <v>148</v>
      </c>
    </row>
    <row r="14" spans="2:21" x14ac:dyDescent="0.25">
      <c r="E14" s="11"/>
      <c r="F14" s="17"/>
      <c r="G14" s="17"/>
      <c r="H14" s="17"/>
      <c r="I14" s="17"/>
      <c r="J14" s="17"/>
      <c r="K14" s="17"/>
      <c r="L14" s="12"/>
      <c r="M14" s="7"/>
      <c r="N14" s="53" t="s">
        <v>74</v>
      </c>
      <c r="O14" s="15">
        <v>25</v>
      </c>
      <c r="P14" s="15"/>
      <c r="T14" t="s">
        <v>150</v>
      </c>
      <c r="U14" t="s">
        <v>149</v>
      </c>
    </row>
    <row r="15" spans="2:21" x14ac:dyDescent="0.25">
      <c r="E15" s="11"/>
      <c r="F15" s="7"/>
      <c r="G15" s="7"/>
      <c r="H15" s="7"/>
      <c r="I15" s="7"/>
      <c r="J15" s="7"/>
      <c r="K15" s="7"/>
      <c r="L15" s="12"/>
      <c r="M15" s="7"/>
      <c r="N15" s="60" t="s">
        <v>77</v>
      </c>
      <c r="O15" s="59">
        <f>SUM(O3:O9)*12</f>
        <v>110712</v>
      </c>
      <c r="T15" t="s">
        <v>152</v>
      </c>
      <c r="U15" t="s">
        <v>151</v>
      </c>
    </row>
    <row r="16" spans="2:21" x14ac:dyDescent="0.25">
      <c r="B16" t="s">
        <v>11</v>
      </c>
      <c r="E16" s="11" t="s">
        <v>75</v>
      </c>
      <c r="F16" s="7"/>
      <c r="G16" s="7"/>
      <c r="H16" s="7"/>
      <c r="I16" s="7"/>
      <c r="J16" s="7"/>
      <c r="K16" s="7"/>
      <c r="L16" s="12"/>
      <c r="M16" s="7"/>
      <c r="N16" s="53" t="s">
        <v>78</v>
      </c>
      <c r="O16">
        <f>SUM(O3:O9)</f>
        <v>9226</v>
      </c>
    </row>
    <row r="17" spans="2:14" x14ac:dyDescent="0.25">
      <c r="C17" t="s">
        <v>13</v>
      </c>
      <c r="E17" s="11"/>
      <c r="F17" s="18">
        <f>(O15*O14)-(O15*(O12+O13))-F12*T3-G12*T4-H12*T5-I12*T6-J12*T7-K12*T8-L12*T9</f>
        <v>507832</v>
      </c>
      <c r="G17" s="7" t="str">
        <f ca="1">+_xlfn.FORMULATEXT(F17)</f>
        <v>=(O15*O14)-(O15*(O12+O13))-F12*T3-G12*T4-H12*T5-I12*T6-J12*T7-K12*T8-L12*T9</v>
      </c>
      <c r="H17" s="7"/>
      <c r="I17" s="7"/>
      <c r="J17" s="7"/>
      <c r="K17" s="7"/>
      <c r="L17" s="12"/>
      <c r="M17" s="7"/>
    </row>
    <row r="18" spans="2:14" x14ac:dyDescent="0.25">
      <c r="C18" t="s">
        <v>71</v>
      </c>
      <c r="E18" s="11"/>
      <c r="F18" s="7"/>
      <c r="G18" s="7"/>
      <c r="H18" s="7"/>
      <c r="I18" s="7"/>
      <c r="J18" s="7"/>
      <c r="K18" s="7"/>
      <c r="L18" s="12"/>
      <c r="M18" s="7"/>
    </row>
    <row r="19" spans="2:14" x14ac:dyDescent="0.25">
      <c r="B19" t="s">
        <v>15</v>
      </c>
      <c r="E19" s="11" t="s">
        <v>15</v>
      </c>
      <c r="F19" s="7"/>
      <c r="G19" s="7"/>
      <c r="H19" s="7"/>
      <c r="I19" s="7"/>
      <c r="J19" s="7"/>
      <c r="K19" s="7"/>
      <c r="L19" s="12"/>
      <c r="M19" s="7"/>
    </row>
    <row r="20" spans="2:14" x14ac:dyDescent="0.25">
      <c r="B20">
        <v>1</v>
      </c>
      <c r="C20" t="s">
        <v>18</v>
      </c>
      <c r="E20" s="11">
        <f>F12+I12</f>
        <v>1</v>
      </c>
      <c r="F20" s="7" t="s">
        <v>24</v>
      </c>
      <c r="G20" s="7">
        <v>1</v>
      </c>
      <c r="H20" s="7"/>
      <c r="I20" s="7"/>
      <c r="J20" s="7"/>
      <c r="K20" s="7"/>
      <c r="L20" s="12"/>
      <c r="M20" s="7"/>
      <c r="N20" s="54"/>
    </row>
    <row r="21" spans="2:14" x14ac:dyDescent="0.25">
      <c r="B21">
        <v>2</v>
      </c>
      <c r="C21" t="s">
        <v>19</v>
      </c>
      <c r="E21" s="11">
        <f>G12+J12</f>
        <v>1</v>
      </c>
      <c r="F21" s="7" t="s">
        <v>24</v>
      </c>
      <c r="G21" s="7">
        <v>1</v>
      </c>
      <c r="H21" s="7"/>
      <c r="I21" s="7"/>
      <c r="J21" s="7"/>
      <c r="K21" s="7"/>
      <c r="L21" s="12"/>
      <c r="M21" s="7"/>
    </row>
    <row r="22" spans="2:14" x14ac:dyDescent="0.25">
      <c r="B22">
        <v>3</v>
      </c>
      <c r="C22" t="s">
        <v>20</v>
      </c>
      <c r="E22" s="11">
        <f>H12+I12+K12+L12</f>
        <v>1</v>
      </c>
      <c r="F22" s="7" t="s">
        <v>24</v>
      </c>
      <c r="G22" s="7">
        <v>1</v>
      </c>
      <c r="H22" s="7"/>
      <c r="I22" s="7"/>
      <c r="J22" s="7"/>
      <c r="K22" s="7"/>
      <c r="L22" s="12"/>
      <c r="M22" s="7"/>
    </row>
    <row r="23" spans="2:14" x14ac:dyDescent="0.25">
      <c r="B23">
        <v>4</v>
      </c>
      <c r="C23" t="s">
        <v>21</v>
      </c>
      <c r="E23" s="11">
        <f>F12+H12+I12+K12+L12</f>
        <v>1</v>
      </c>
      <c r="F23" s="7" t="s">
        <v>24</v>
      </c>
      <c r="G23" s="7">
        <v>1</v>
      </c>
      <c r="H23" s="7"/>
      <c r="I23" s="7"/>
      <c r="J23" s="7"/>
      <c r="K23" s="7"/>
      <c r="L23" s="12"/>
      <c r="M23" s="7"/>
    </row>
    <row r="24" spans="2:14" x14ac:dyDescent="0.25">
      <c r="B24">
        <v>5</v>
      </c>
      <c r="C24" t="s">
        <v>22</v>
      </c>
      <c r="E24" s="11">
        <f>G12+J12+L12</f>
        <v>1</v>
      </c>
      <c r="F24" s="7" t="s">
        <v>24</v>
      </c>
      <c r="G24" s="7">
        <v>1</v>
      </c>
      <c r="H24" s="7"/>
      <c r="I24" s="7"/>
      <c r="J24" s="7"/>
      <c r="K24" s="7"/>
      <c r="L24" s="12"/>
      <c r="M24" s="7"/>
    </row>
    <row r="25" spans="2:14" x14ac:dyDescent="0.25">
      <c r="B25">
        <v>6</v>
      </c>
      <c r="C25" t="s">
        <v>23</v>
      </c>
      <c r="E25" s="11">
        <f>H12+I12+K12+L12</f>
        <v>1</v>
      </c>
      <c r="F25" s="7" t="s">
        <v>24</v>
      </c>
      <c r="G25" s="7">
        <v>1</v>
      </c>
      <c r="H25" s="7"/>
      <c r="I25" s="7"/>
      <c r="J25" s="7"/>
      <c r="K25" s="7"/>
      <c r="L25" s="12"/>
      <c r="M25" s="7"/>
    </row>
    <row r="26" spans="2:14" x14ac:dyDescent="0.25">
      <c r="B26">
        <v>7</v>
      </c>
      <c r="C26" t="s">
        <v>16</v>
      </c>
      <c r="E26" s="11">
        <f>H12+I12+J12+K12+L12</f>
        <v>2</v>
      </c>
      <c r="F26" s="7" t="s">
        <v>24</v>
      </c>
      <c r="G26" s="7">
        <v>1</v>
      </c>
      <c r="H26" s="7"/>
      <c r="I26" s="7"/>
      <c r="J26" s="7"/>
      <c r="K26" s="7"/>
      <c r="L26" s="12"/>
      <c r="M26" s="7"/>
    </row>
    <row r="27" spans="2:14" x14ac:dyDescent="0.25">
      <c r="B27">
        <v>8</v>
      </c>
      <c r="C27" t="s">
        <v>90</v>
      </c>
      <c r="E27" s="20">
        <f>F12*R3+G12*R4+H12*R5+I12*R6+J12*R7+K12*R8+L12*R9</f>
        <v>10000</v>
      </c>
      <c r="F27" s="13" t="s">
        <v>24</v>
      </c>
      <c r="G27" s="13">
        <f>O16</f>
        <v>9226</v>
      </c>
      <c r="H27" s="13"/>
      <c r="I27" s="13"/>
      <c r="J27" s="13"/>
      <c r="K27" s="13"/>
      <c r="L27" s="14"/>
      <c r="M27" s="7"/>
    </row>
    <row r="28" spans="2:14" x14ac:dyDescent="0.25">
      <c r="E28" s="7"/>
      <c r="F28" s="7"/>
      <c r="G28" s="7"/>
      <c r="H28" s="7"/>
      <c r="I28" s="7"/>
      <c r="J28" s="7"/>
      <c r="K28" s="7"/>
      <c r="L28" s="7"/>
      <c r="M28" s="7"/>
    </row>
    <row r="29" spans="2:14" x14ac:dyDescent="0.25">
      <c r="F29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9240C-75AD-4E72-B2B6-83457E999F22}">
  <dimension ref="A1:BK31"/>
  <sheetViews>
    <sheetView zoomScale="60" zoomScaleNormal="60" workbookViewId="0">
      <selection activeCell="E16" sqref="E16"/>
    </sheetView>
  </sheetViews>
  <sheetFormatPr defaultRowHeight="15" x14ac:dyDescent="0.25"/>
  <cols>
    <col min="1" max="1" width="32.42578125" style="24" bestFit="1" customWidth="1"/>
    <col min="2" max="2" width="23.42578125" style="24" bestFit="1" customWidth="1"/>
    <col min="3" max="3" width="18.140625" style="24" bestFit="1" customWidth="1"/>
    <col min="4" max="4" width="17.5703125" style="24" bestFit="1" customWidth="1"/>
    <col min="5" max="5" width="9.7109375" style="24" bestFit="1" customWidth="1"/>
    <col min="6" max="6" width="14" style="24" bestFit="1" customWidth="1"/>
    <col min="7" max="7" width="16.5703125" style="24" bestFit="1" customWidth="1"/>
    <col min="8" max="8" width="19" style="24" bestFit="1" customWidth="1"/>
    <col min="9" max="9" width="13.5703125" style="24" bestFit="1" customWidth="1"/>
    <col min="10" max="10" width="25.5703125" style="24" bestFit="1" customWidth="1"/>
    <col min="11" max="11" width="18.42578125" style="24" bestFit="1" customWidth="1"/>
    <col min="12" max="12" width="16.28515625" style="24" bestFit="1" customWidth="1"/>
    <col min="13" max="13" width="14.42578125" style="24" bestFit="1" customWidth="1"/>
    <col min="14" max="14" width="13" style="24" bestFit="1" customWidth="1"/>
    <col min="15" max="15" width="18.85546875" style="24" bestFit="1" customWidth="1"/>
    <col min="16" max="16" width="9.140625" style="24"/>
    <col min="17" max="17" width="47.7109375" style="24" bestFit="1" customWidth="1"/>
    <col min="18" max="18" width="16.28515625" style="24" bestFit="1" customWidth="1"/>
    <col min="19" max="21" width="9.140625" style="24"/>
    <col min="22" max="16384" width="9.140625" style="25"/>
  </cols>
  <sheetData>
    <row r="1" spans="1:63" ht="15.75" x14ac:dyDescent="0.25">
      <c r="A1" s="27" t="s">
        <v>72</v>
      </c>
      <c r="B1" s="27" t="s">
        <v>98</v>
      </c>
      <c r="C1" s="27" t="s">
        <v>99</v>
      </c>
      <c r="D1" s="28" t="s">
        <v>100</v>
      </c>
      <c r="E1" s="29"/>
      <c r="F1" s="29"/>
      <c r="G1" s="29"/>
      <c r="H1" s="29"/>
      <c r="I1" s="29"/>
      <c r="J1" s="29"/>
      <c r="K1" s="29" t="s">
        <v>115</v>
      </c>
      <c r="L1" s="29"/>
      <c r="M1" s="29"/>
      <c r="N1" s="29"/>
      <c r="O1" s="29"/>
      <c r="P1" s="29"/>
      <c r="Q1" s="29"/>
      <c r="R1" s="30"/>
      <c r="S1" s="30"/>
      <c r="T1" s="30"/>
      <c r="U1" s="31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</row>
    <row r="2" spans="1:63" ht="25.5" customHeight="1" x14ac:dyDescent="0.25">
      <c r="A2" s="29" t="s">
        <v>101</v>
      </c>
      <c r="B2" s="32">
        <v>5222</v>
      </c>
      <c r="C2" s="32">
        <v>20888</v>
      </c>
      <c r="D2" s="32">
        <v>2088.8000000000002</v>
      </c>
      <c r="E2" s="32">
        <v>298.39999999999998</v>
      </c>
      <c r="F2" s="29"/>
      <c r="G2" s="57" t="s">
        <v>102</v>
      </c>
      <c r="H2" s="57"/>
      <c r="I2" s="57"/>
      <c r="J2" s="29"/>
      <c r="K2" s="32">
        <v>23</v>
      </c>
      <c r="L2" s="29"/>
      <c r="M2" s="29"/>
      <c r="N2" s="29"/>
      <c r="O2" s="29"/>
      <c r="P2" s="29"/>
      <c r="Q2" s="29"/>
      <c r="R2" s="30"/>
      <c r="S2" s="30"/>
      <c r="T2" s="30"/>
      <c r="U2" s="31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</row>
    <row r="3" spans="1:63" ht="15.75" x14ac:dyDescent="0.25">
      <c r="A3" s="29" t="s">
        <v>103</v>
      </c>
      <c r="B3" s="32">
        <v>1605</v>
      </c>
      <c r="C3" s="32">
        <v>6420</v>
      </c>
      <c r="D3" s="32">
        <v>642</v>
      </c>
      <c r="E3" s="29"/>
      <c r="F3" s="29"/>
      <c r="G3" s="27" t="s">
        <v>104</v>
      </c>
      <c r="H3" s="27" t="s">
        <v>105</v>
      </c>
      <c r="I3" s="29"/>
      <c r="J3" s="29" t="s">
        <v>106</v>
      </c>
      <c r="K3" s="29"/>
      <c r="L3" s="29"/>
      <c r="M3" s="29"/>
      <c r="N3" s="29"/>
      <c r="O3" s="29"/>
      <c r="P3" s="29"/>
      <c r="Q3" s="29"/>
      <c r="R3" s="30"/>
      <c r="S3" s="30"/>
      <c r="T3" s="30"/>
      <c r="U3" s="31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</row>
    <row r="4" spans="1:63" ht="15.75" x14ac:dyDescent="0.25">
      <c r="A4" s="29" t="s">
        <v>107</v>
      </c>
      <c r="B4" s="32">
        <v>4985</v>
      </c>
      <c r="C4" s="32">
        <v>19940</v>
      </c>
      <c r="D4" s="32">
        <v>1994</v>
      </c>
      <c r="E4" s="29"/>
      <c r="F4" s="29"/>
      <c r="G4" s="32">
        <v>1117</v>
      </c>
      <c r="H4" s="32">
        <v>55.55</v>
      </c>
      <c r="I4" s="29"/>
      <c r="J4" s="29" t="s">
        <v>104</v>
      </c>
      <c r="K4" s="29" t="s">
        <v>108</v>
      </c>
      <c r="L4" s="29" t="s">
        <v>109</v>
      </c>
      <c r="M4" s="29" t="s">
        <v>110</v>
      </c>
      <c r="N4" s="29"/>
      <c r="O4" s="28" t="s">
        <v>111</v>
      </c>
      <c r="P4" s="29"/>
      <c r="Q4" s="29" t="s">
        <v>112</v>
      </c>
      <c r="R4" s="33" t="s">
        <v>113</v>
      </c>
      <c r="S4" s="30"/>
      <c r="T4" s="30"/>
      <c r="U4" s="31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</row>
    <row r="5" spans="1:63" ht="15.75" x14ac:dyDescent="0.25">
      <c r="A5" s="29" t="s">
        <v>114</v>
      </c>
      <c r="B5" s="32">
        <v>4218</v>
      </c>
      <c r="C5" s="32">
        <v>16872</v>
      </c>
      <c r="D5" s="32">
        <v>1687.2</v>
      </c>
      <c r="E5" s="29"/>
      <c r="F5" s="34"/>
      <c r="G5" s="32">
        <v>1687</v>
      </c>
      <c r="H5" s="32">
        <v>48.68</v>
      </c>
      <c r="I5" s="29"/>
      <c r="J5" s="32">
        <v>1800</v>
      </c>
      <c r="K5" s="32">
        <f>+H8</f>
        <v>57.179999999999993</v>
      </c>
      <c r="L5" s="35">
        <f>+J5*K5</f>
        <v>102923.99999999999</v>
      </c>
      <c r="M5" s="35">
        <f>+L5/12</f>
        <v>8576.9999999999982</v>
      </c>
      <c r="N5" s="29"/>
      <c r="O5" s="35">
        <f>+M5+N8</f>
        <v>22257</v>
      </c>
      <c r="P5" s="29"/>
      <c r="Q5" s="32">
        <v>21</v>
      </c>
      <c r="R5" s="36">
        <v>1059.8599999999999</v>
      </c>
      <c r="S5" s="30"/>
      <c r="T5" s="30"/>
      <c r="U5" s="31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</row>
    <row r="6" spans="1:63" ht="15.75" x14ac:dyDescent="0.25">
      <c r="A6" s="29" t="s">
        <v>116</v>
      </c>
      <c r="B6" s="32">
        <v>4398</v>
      </c>
      <c r="C6" s="32">
        <v>17592</v>
      </c>
      <c r="D6" s="32">
        <v>1759.2</v>
      </c>
      <c r="E6" s="29"/>
      <c r="F6" s="34"/>
      <c r="G6" s="32">
        <v>2100</v>
      </c>
      <c r="H6" s="32">
        <v>59.92</v>
      </c>
      <c r="I6" s="29"/>
      <c r="J6" s="29"/>
      <c r="K6" s="29"/>
      <c r="L6" s="29"/>
      <c r="M6" s="29"/>
      <c r="N6" s="29"/>
      <c r="O6" s="29"/>
      <c r="P6" s="29"/>
      <c r="Q6" s="37" t="s">
        <v>117</v>
      </c>
      <c r="R6" s="38"/>
      <c r="S6" s="38"/>
      <c r="T6" s="30"/>
      <c r="U6" s="31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</row>
    <row r="7" spans="1:63" ht="15.75" x14ac:dyDescent="0.25">
      <c r="A7" s="29" t="s">
        <v>118</v>
      </c>
      <c r="B7" s="32">
        <v>1501</v>
      </c>
      <c r="C7" s="32">
        <v>6004</v>
      </c>
      <c r="D7" s="32">
        <v>600.4</v>
      </c>
      <c r="E7" s="29"/>
      <c r="F7" s="29"/>
      <c r="G7" s="32">
        <v>1160</v>
      </c>
      <c r="H7" s="32">
        <v>64.569999999999993</v>
      </c>
      <c r="I7" s="29"/>
      <c r="J7" s="29" t="s">
        <v>119</v>
      </c>
      <c r="K7" s="29" t="s">
        <v>120</v>
      </c>
      <c r="L7" s="29" t="s">
        <v>121</v>
      </c>
      <c r="M7" s="29" t="s">
        <v>122</v>
      </c>
      <c r="N7" s="29" t="s">
        <v>123</v>
      </c>
      <c r="O7" s="29"/>
      <c r="P7" s="29"/>
      <c r="Q7" s="39">
        <v>1.15E-2</v>
      </c>
      <c r="R7" s="30"/>
      <c r="S7" s="30"/>
      <c r="T7" s="30"/>
      <c r="U7" s="31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</row>
    <row r="8" spans="1:63" ht="15.75" x14ac:dyDescent="0.25">
      <c r="A8" s="29" t="s">
        <v>8</v>
      </c>
      <c r="B8" s="32">
        <v>1140</v>
      </c>
      <c r="C8" s="32">
        <v>4561</v>
      </c>
      <c r="D8" s="32">
        <v>456.1</v>
      </c>
      <c r="E8" s="29"/>
      <c r="F8" s="29"/>
      <c r="G8" s="40">
        <f>+AVERAGE(G4:G7)</f>
        <v>1516</v>
      </c>
      <c r="H8" s="40">
        <f>+AVERAGE(H4:H7)</f>
        <v>57.179999999999993</v>
      </c>
      <c r="I8" s="41" t="s">
        <v>124</v>
      </c>
      <c r="J8" s="32">
        <v>14.25</v>
      </c>
      <c r="K8" s="32">
        <v>40</v>
      </c>
      <c r="L8" s="32">
        <v>6</v>
      </c>
      <c r="M8" s="32">
        <f>+J8*K8*L8</f>
        <v>3420</v>
      </c>
      <c r="N8" s="32">
        <f>+M8*4</f>
        <v>13680</v>
      </c>
      <c r="O8" s="29"/>
      <c r="P8" s="29"/>
      <c r="Q8" s="29"/>
      <c r="R8" s="30"/>
      <c r="S8" s="30"/>
      <c r="T8" s="30"/>
      <c r="U8" s="31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</row>
    <row r="9" spans="1:63" ht="25.5" customHeight="1" x14ac:dyDescent="0.25">
      <c r="A9" s="57" t="s">
        <v>125</v>
      </c>
      <c r="B9" s="57"/>
      <c r="C9" s="57"/>
      <c r="D9" s="57"/>
      <c r="E9" s="57"/>
      <c r="F9" s="57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30"/>
      <c r="S9" s="30"/>
      <c r="T9" s="30"/>
      <c r="U9" s="31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</row>
    <row r="10" spans="1:63" ht="15.75" x14ac:dyDescent="0.25">
      <c r="A10" s="28" t="s">
        <v>126</v>
      </c>
      <c r="B10" s="29"/>
      <c r="C10" s="32">
        <v>92277</v>
      </c>
      <c r="D10" s="32">
        <v>9227.7000000000007</v>
      </c>
      <c r="E10" s="29" t="s">
        <v>127</v>
      </c>
      <c r="F10" s="29"/>
      <c r="G10" s="27" t="s">
        <v>72</v>
      </c>
      <c r="H10" s="27" t="s">
        <v>100</v>
      </c>
      <c r="I10" s="27" t="s">
        <v>128</v>
      </c>
      <c r="J10" s="27" t="s">
        <v>129</v>
      </c>
      <c r="K10" s="27" t="s">
        <v>130</v>
      </c>
      <c r="L10" s="27" t="s">
        <v>131</v>
      </c>
      <c r="M10" s="27" t="s">
        <v>132</v>
      </c>
      <c r="N10" s="27" t="s">
        <v>133</v>
      </c>
      <c r="O10" s="29" t="s">
        <v>134</v>
      </c>
      <c r="P10" s="29"/>
      <c r="Q10" s="29"/>
      <c r="R10" s="30"/>
      <c r="S10" s="30"/>
      <c r="T10" s="30"/>
      <c r="U10" s="31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</row>
    <row r="11" spans="1:63" ht="15.75" x14ac:dyDescent="0.25">
      <c r="A11" s="29"/>
      <c r="B11" s="29"/>
      <c r="C11" s="29"/>
      <c r="D11" s="32">
        <v>307.58999999999997</v>
      </c>
      <c r="E11" s="29" t="s">
        <v>135</v>
      </c>
      <c r="F11" s="29"/>
      <c r="G11" s="29" t="s">
        <v>101</v>
      </c>
      <c r="H11" s="42">
        <v>2088</v>
      </c>
      <c r="I11" s="42">
        <f>+$O$5</f>
        <v>22257</v>
      </c>
      <c r="J11" s="42">
        <v>100000</v>
      </c>
      <c r="K11" s="42">
        <f>+H11*6</f>
        <v>12528</v>
      </c>
      <c r="L11" s="42">
        <f>+I11+J11+K11</f>
        <v>134785</v>
      </c>
      <c r="M11" s="42">
        <f>+H11*$Q$5</f>
        <v>43848</v>
      </c>
      <c r="N11" s="42">
        <f>+M11-L11</f>
        <v>-90937</v>
      </c>
      <c r="O11" s="42">
        <v>4500</v>
      </c>
      <c r="P11" s="29"/>
      <c r="Q11" s="29"/>
      <c r="R11" s="30"/>
      <c r="S11" s="30"/>
      <c r="T11" s="30"/>
      <c r="U11" s="31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</row>
    <row r="12" spans="1:63" ht="15.75" x14ac:dyDescent="0.25">
      <c r="A12" s="27" t="s">
        <v>136</v>
      </c>
      <c r="B12" s="27" t="s">
        <v>105</v>
      </c>
      <c r="C12" s="27" t="s">
        <v>137</v>
      </c>
      <c r="D12" s="29"/>
      <c r="E12" s="29"/>
      <c r="F12" s="29"/>
      <c r="G12" s="29" t="s">
        <v>103</v>
      </c>
      <c r="H12" s="42">
        <v>642</v>
      </c>
      <c r="I12" s="42">
        <f t="shared" ref="I12:I17" si="0">+$O$5</f>
        <v>22257</v>
      </c>
      <c r="J12" s="42">
        <v>75000</v>
      </c>
      <c r="K12" s="42">
        <f t="shared" ref="K12:K17" si="1">+H12*6</f>
        <v>3852</v>
      </c>
      <c r="L12" s="42">
        <f t="shared" ref="L12:L17" si="2">+I12+J12+K12</f>
        <v>101109</v>
      </c>
      <c r="M12" s="42">
        <f t="shared" ref="M12:M17" si="3">+H12*$Q$5</f>
        <v>13482</v>
      </c>
      <c r="N12" s="42">
        <f t="shared" ref="N12:N17" si="4">+M12-L12</f>
        <v>-87627</v>
      </c>
      <c r="O12" s="42">
        <v>4000</v>
      </c>
      <c r="P12" s="29"/>
      <c r="Q12" s="29"/>
      <c r="R12" s="30"/>
      <c r="S12" s="30"/>
      <c r="T12" s="30"/>
      <c r="U12" s="31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</row>
    <row r="13" spans="1:63" ht="15.75" x14ac:dyDescent="0.25">
      <c r="A13" s="29" t="s">
        <v>138</v>
      </c>
      <c r="B13" s="32">
        <v>16.95</v>
      </c>
      <c r="C13" s="29" t="s">
        <v>139</v>
      </c>
      <c r="D13" s="29"/>
      <c r="E13" s="29"/>
      <c r="F13" s="29"/>
      <c r="G13" s="29" t="s">
        <v>107</v>
      </c>
      <c r="H13" s="42">
        <v>1994</v>
      </c>
      <c r="I13" s="42">
        <f t="shared" si="0"/>
        <v>22257</v>
      </c>
      <c r="J13" s="42">
        <v>50000</v>
      </c>
      <c r="K13" s="42">
        <f t="shared" si="1"/>
        <v>11964</v>
      </c>
      <c r="L13" s="42">
        <f t="shared" si="2"/>
        <v>84221</v>
      </c>
      <c r="M13" s="42">
        <f t="shared" si="3"/>
        <v>41874</v>
      </c>
      <c r="N13" s="42">
        <f t="shared" si="4"/>
        <v>-42347</v>
      </c>
      <c r="O13" s="42">
        <v>3000</v>
      </c>
      <c r="P13" s="29"/>
      <c r="Q13" s="29"/>
      <c r="R13" s="30"/>
      <c r="S13" s="30"/>
      <c r="T13" s="30"/>
      <c r="U13" s="31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</row>
    <row r="14" spans="1:63" ht="15.75" x14ac:dyDescent="0.25">
      <c r="A14" s="29" t="s">
        <v>140</v>
      </c>
      <c r="B14" s="32">
        <v>30</v>
      </c>
      <c r="C14" s="29" t="s">
        <v>139</v>
      </c>
      <c r="D14" s="29"/>
      <c r="E14" s="29"/>
      <c r="F14" s="29"/>
      <c r="G14" s="29" t="s">
        <v>114</v>
      </c>
      <c r="H14" s="42">
        <v>1687</v>
      </c>
      <c r="I14" s="42">
        <f t="shared" si="0"/>
        <v>22257</v>
      </c>
      <c r="J14" s="42">
        <v>80000</v>
      </c>
      <c r="K14" s="42">
        <f t="shared" si="1"/>
        <v>10122</v>
      </c>
      <c r="L14" s="42">
        <f t="shared" si="2"/>
        <v>112379</v>
      </c>
      <c r="M14" s="42">
        <f t="shared" si="3"/>
        <v>35427</v>
      </c>
      <c r="N14" s="42">
        <f t="shared" si="4"/>
        <v>-76952</v>
      </c>
      <c r="O14" s="42">
        <v>4500</v>
      </c>
      <c r="P14" s="29"/>
      <c r="Q14" s="29"/>
      <c r="R14" s="30"/>
      <c r="S14" s="30"/>
      <c r="T14" s="30"/>
      <c r="U14" s="31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</row>
    <row r="15" spans="1:63" ht="15.75" x14ac:dyDescent="0.25">
      <c r="A15" s="29" t="s">
        <v>141</v>
      </c>
      <c r="B15" s="32">
        <v>15.75</v>
      </c>
      <c r="C15" s="29" t="s">
        <v>139</v>
      </c>
      <c r="D15" s="29"/>
      <c r="E15" s="29"/>
      <c r="F15" s="29"/>
      <c r="G15" s="29" t="s">
        <v>116</v>
      </c>
      <c r="H15" s="42">
        <v>1759</v>
      </c>
      <c r="I15" s="42">
        <f t="shared" si="0"/>
        <v>22257</v>
      </c>
      <c r="J15" s="42">
        <v>50000</v>
      </c>
      <c r="K15" s="42">
        <f t="shared" si="1"/>
        <v>10554</v>
      </c>
      <c r="L15" s="42">
        <f t="shared" si="2"/>
        <v>82811</v>
      </c>
      <c r="M15" s="42">
        <f t="shared" si="3"/>
        <v>36939</v>
      </c>
      <c r="N15" s="42">
        <f t="shared" si="4"/>
        <v>-45872</v>
      </c>
      <c r="O15" s="42">
        <v>2000</v>
      </c>
      <c r="P15" s="29"/>
      <c r="Q15" s="29"/>
      <c r="R15" s="30"/>
      <c r="S15" s="30"/>
      <c r="T15" s="30"/>
      <c r="U15" s="31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</row>
    <row r="16" spans="1:63" ht="15.75" x14ac:dyDescent="0.25">
      <c r="A16" s="29" t="s">
        <v>142</v>
      </c>
      <c r="B16" s="32">
        <v>24.99</v>
      </c>
      <c r="C16" s="29" t="s">
        <v>139</v>
      </c>
      <c r="D16" s="29"/>
      <c r="E16" s="29"/>
      <c r="F16" s="29"/>
      <c r="G16" s="29" t="s">
        <v>118</v>
      </c>
      <c r="H16" s="42">
        <v>600</v>
      </c>
      <c r="I16" s="42">
        <f t="shared" si="0"/>
        <v>22257</v>
      </c>
      <c r="J16" s="42">
        <v>75000</v>
      </c>
      <c r="K16" s="42">
        <f t="shared" si="1"/>
        <v>3600</v>
      </c>
      <c r="L16" s="42">
        <f t="shared" si="2"/>
        <v>100857</v>
      </c>
      <c r="M16" s="42">
        <f t="shared" si="3"/>
        <v>12600</v>
      </c>
      <c r="N16" s="42">
        <f t="shared" si="4"/>
        <v>-88257</v>
      </c>
      <c r="O16" s="42">
        <v>4000</v>
      </c>
      <c r="P16" s="29"/>
      <c r="Q16" s="29"/>
      <c r="R16" s="30"/>
      <c r="S16" s="30"/>
      <c r="T16" s="30"/>
      <c r="U16" s="31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</row>
    <row r="17" spans="1:63" ht="15.75" x14ac:dyDescent="0.25">
      <c r="A17" s="29" t="s">
        <v>143</v>
      </c>
      <c r="B17" s="32">
        <v>21.99</v>
      </c>
      <c r="C17" s="29" t="s">
        <v>139</v>
      </c>
      <c r="D17" s="29"/>
      <c r="E17" s="29"/>
      <c r="F17" s="29"/>
      <c r="G17" s="29" t="s">
        <v>8</v>
      </c>
      <c r="H17" s="42">
        <v>456</v>
      </c>
      <c r="I17" s="42">
        <f t="shared" si="0"/>
        <v>22257</v>
      </c>
      <c r="J17" s="42">
        <v>50000</v>
      </c>
      <c r="K17" s="42">
        <f t="shared" si="1"/>
        <v>2736</v>
      </c>
      <c r="L17" s="42">
        <f t="shared" si="2"/>
        <v>74993</v>
      </c>
      <c r="M17" s="42">
        <f t="shared" si="3"/>
        <v>9576</v>
      </c>
      <c r="N17" s="42">
        <f t="shared" si="4"/>
        <v>-65417</v>
      </c>
      <c r="O17" s="42">
        <v>2000</v>
      </c>
      <c r="P17" s="29"/>
      <c r="Q17" s="29"/>
      <c r="R17" s="30"/>
      <c r="S17" s="30"/>
      <c r="T17" s="30"/>
      <c r="U17" s="31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</row>
    <row r="18" spans="1:63" ht="15.75" x14ac:dyDescent="0.25">
      <c r="A18" s="29" t="s">
        <v>144</v>
      </c>
      <c r="B18" s="32">
        <v>24.5</v>
      </c>
      <c r="C18" s="29" t="s">
        <v>139</v>
      </c>
      <c r="D18" s="29"/>
      <c r="E18" s="29"/>
      <c r="F18" s="29"/>
      <c r="G18" s="41" t="s">
        <v>145</v>
      </c>
      <c r="H18" s="43">
        <v>9226</v>
      </c>
      <c r="I18" s="43">
        <v>155799</v>
      </c>
      <c r="J18" s="43">
        <v>480000</v>
      </c>
      <c r="K18" s="43">
        <v>55356</v>
      </c>
      <c r="L18" s="43">
        <v>691155</v>
      </c>
      <c r="M18" s="43">
        <v>193746</v>
      </c>
      <c r="N18" s="43">
        <v>-497409</v>
      </c>
      <c r="O18" s="44"/>
      <c r="P18" s="29"/>
      <c r="Q18" s="29"/>
      <c r="R18" s="30"/>
      <c r="S18" s="30"/>
      <c r="T18" s="30"/>
      <c r="U18" s="31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</row>
    <row r="19" spans="1:63" ht="16.5" thickBot="1" x14ac:dyDescent="0.3">
      <c r="A19" s="45" t="s">
        <v>146</v>
      </c>
      <c r="B19" s="46">
        <v>27</v>
      </c>
      <c r="C19" s="45" t="s">
        <v>139</v>
      </c>
      <c r="D19" s="45"/>
      <c r="E19" s="45"/>
      <c r="F19" s="45"/>
      <c r="G19" s="45"/>
      <c r="H19" s="45"/>
      <c r="I19" s="47" t="s">
        <v>147</v>
      </c>
      <c r="J19" s="47" t="s">
        <v>147</v>
      </c>
      <c r="K19" s="45"/>
      <c r="L19" s="45"/>
      <c r="M19" s="45"/>
      <c r="N19" s="45"/>
      <c r="O19" s="45"/>
      <c r="P19" s="45"/>
      <c r="Q19" s="45"/>
      <c r="R19" s="48"/>
      <c r="S19" s="48"/>
      <c r="T19" s="48"/>
    </row>
    <row r="20" spans="1:63" ht="16.5" thickBot="1" x14ac:dyDescent="0.3">
      <c r="A20" s="49" t="s">
        <v>124</v>
      </c>
      <c r="B20" s="50">
        <v>23.03</v>
      </c>
      <c r="C20" s="49" t="s">
        <v>139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2"/>
      <c r="S20" s="52"/>
      <c r="T20" s="52"/>
    </row>
    <row r="21" spans="1:63" ht="15.75" x14ac:dyDescent="0.2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</row>
    <row r="22" spans="1:63" ht="15.75" x14ac:dyDescent="0.25">
      <c r="A22" s="27" t="s">
        <v>72</v>
      </c>
      <c r="B22" s="27" t="s">
        <v>99</v>
      </c>
      <c r="C22" s="28" t="s">
        <v>100</v>
      </c>
      <c r="D22" s="27" t="s">
        <v>128</v>
      </c>
      <c r="E22" s="27" t="s">
        <v>129</v>
      </c>
      <c r="F22" s="27" t="s">
        <v>130</v>
      </c>
      <c r="G22" s="27" t="s">
        <v>131</v>
      </c>
      <c r="H22" s="27" t="s">
        <v>132</v>
      </c>
      <c r="I22" s="27" t="s">
        <v>133</v>
      </c>
      <c r="J22" s="29" t="s">
        <v>134</v>
      </c>
      <c r="K22" s="34"/>
      <c r="L22" s="34"/>
      <c r="M22" s="34"/>
      <c r="N22" s="34"/>
      <c r="O22" s="34"/>
      <c r="P22" s="34"/>
      <c r="Q22" s="34"/>
    </row>
    <row r="23" spans="1:63" ht="15.75" x14ac:dyDescent="0.25">
      <c r="A23" s="29" t="s">
        <v>101</v>
      </c>
      <c r="B23" s="32">
        <v>20888</v>
      </c>
      <c r="C23" s="32">
        <v>2088.8000000000002</v>
      </c>
      <c r="D23" s="42">
        <v>22257</v>
      </c>
      <c r="E23" s="42">
        <v>100000</v>
      </c>
      <c r="F23" s="42">
        <v>12528</v>
      </c>
      <c r="G23" s="42">
        <v>134785</v>
      </c>
      <c r="H23" s="42">
        <v>43848</v>
      </c>
      <c r="I23" s="42">
        <v>-90937</v>
      </c>
      <c r="J23" s="42">
        <v>4500</v>
      </c>
      <c r="K23" s="34"/>
      <c r="L23" s="34"/>
      <c r="M23" s="34"/>
      <c r="N23" s="34"/>
      <c r="O23" s="34"/>
      <c r="P23" s="34"/>
      <c r="Q23" s="34"/>
    </row>
    <row r="24" spans="1:63" ht="15.75" x14ac:dyDescent="0.25">
      <c r="A24" s="29" t="s">
        <v>103</v>
      </c>
      <c r="B24" s="32">
        <v>6420</v>
      </c>
      <c r="C24" s="32">
        <v>642</v>
      </c>
      <c r="D24" s="42">
        <v>22257</v>
      </c>
      <c r="E24" s="42">
        <v>75000</v>
      </c>
      <c r="F24" s="42">
        <v>3852</v>
      </c>
      <c r="G24" s="42">
        <v>101109</v>
      </c>
      <c r="H24" s="42">
        <v>13482</v>
      </c>
      <c r="I24" s="42">
        <v>-87627</v>
      </c>
      <c r="J24" s="42">
        <v>4000</v>
      </c>
      <c r="K24" s="34"/>
      <c r="L24" s="34"/>
      <c r="M24" s="34"/>
      <c r="N24" s="34"/>
      <c r="O24" s="34"/>
      <c r="P24" s="34"/>
      <c r="Q24" s="34"/>
    </row>
    <row r="25" spans="1:63" ht="15.75" x14ac:dyDescent="0.25">
      <c r="A25" s="29" t="s">
        <v>107</v>
      </c>
      <c r="B25" s="32">
        <v>19940</v>
      </c>
      <c r="C25" s="32">
        <v>1994</v>
      </c>
      <c r="D25" s="42">
        <v>22257</v>
      </c>
      <c r="E25" s="42">
        <v>50000</v>
      </c>
      <c r="F25" s="42">
        <v>11964</v>
      </c>
      <c r="G25" s="42">
        <v>84221</v>
      </c>
      <c r="H25" s="42">
        <v>41874</v>
      </c>
      <c r="I25" s="42">
        <v>-42347</v>
      </c>
      <c r="J25" s="42">
        <v>3000</v>
      </c>
      <c r="K25" s="34"/>
      <c r="L25" s="34"/>
      <c r="M25" s="34"/>
      <c r="N25" s="34"/>
      <c r="O25" s="34"/>
      <c r="P25" s="34"/>
      <c r="Q25" s="34"/>
    </row>
    <row r="26" spans="1:63" ht="15.75" x14ac:dyDescent="0.25">
      <c r="A26" s="29" t="s">
        <v>114</v>
      </c>
      <c r="B26" s="32">
        <v>16872</v>
      </c>
      <c r="C26" s="32">
        <v>1687.2</v>
      </c>
      <c r="D26" s="42">
        <v>22257</v>
      </c>
      <c r="E26" s="42">
        <v>80000</v>
      </c>
      <c r="F26" s="42">
        <v>10122</v>
      </c>
      <c r="G26" s="42">
        <v>112379</v>
      </c>
      <c r="H26" s="42">
        <v>35427</v>
      </c>
      <c r="I26" s="42">
        <v>-76952</v>
      </c>
      <c r="J26" s="42">
        <v>4500</v>
      </c>
      <c r="K26" s="34"/>
      <c r="L26" s="34"/>
      <c r="M26" s="34"/>
      <c r="N26" s="34"/>
      <c r="O26" s="34"/>
      <c r="P26" s="34"/>
      <c r="Q26" s="34"/>
    </row>
    <row r="27" spans="1:63" ht="15.75" x14ac:dyDescent="0.25">
      <c r="A27" s="29" t="s">
        <v>116</v>
      </c>
      <c r="B27" s="32">
        <v>17592</v>
      </c>
      <c r="C27" s="32">
        <v>1759.2</v>
      </c>
      <c r="D27" s="42">
        <v>22257</v>
      </c>
      <c r="E27" s="42">
        <v>50000</v>
      </c>
      <c r="F27" s="42">
        <v>10554</v>
      </c>
      <c r="G27" s="42">
        <v>82811</v>
      </c>
      <c r="H27" s="42">
        <v>36939</v>
      </c>
      <c r="I27" s="42">
        <v>-45872</v>
      </c>
      <c r="J27" s="42">
        <v>2000</v>
      </c>
      <c r="K27" s="34"/>
      <c r="L27" s="34"/>
      <c r="M27" s="34"/>
      <c r="N27" s="34"/>
      <c r="O27" s="34"/>
      <c r="P27" s="34"/>
      <c r="Q27" s="34"/>
    </row>
    <row r="28" spans="1:63" ht="15.75" x14ac:dyDescent="0.25">
      <c r="A28" s="29" t="s">
        <v>118</v>
      </c>
      <c r="B28" s="32">
        <v>6004</v>
      </c>
      <c r="C28" s="32">
        <v>600.4</v>
      </c>
      <c r="D28" s="42">
        <v>22257</v>
      </c>
      <c r="E28" s="42">
        <v>75000</v>
      </c>
      <c r="F28" s="42">
        <v>3600</v>
      </c>
      <c r="G28" s="42">
        <v>100857</v>
      </c>
      <c r="H28" s="42">
        <v>12600</v>
      </c>
      <c r="I28" s="42">
        <v>-88257</v>
      </c>
      <c r="J28" s="42">
        <v>4000</v>
      </c>
      <c r="K28" s="34"/>
      <c r="L28" s="34"/>
      <c r="M28" s="34"/>
      <c r="N28" s="34"/>
      <c r="O28" s="34"/>
      <c r="P28" s="34"/>
      <c r="Q28" s="34"/>
    </row>
    <row r="29" spans="1:63" ht="15.75" x14ac:dyDescent="0.25">
      <c r="A29" s="29" t="s">
        <v>8</v>
      </c>
      <c r="B29" s="32">
        <v>4561</v>
      </c>
      <c r="C29" s="32">
        <v>456.1</v>
      </c>
      <c r="D29" s="42">
        <v>22257</v>
      </c>
      <c r="E29" s="42">
        <v>50000</v>
      </c>
      <c r="F29" s="42">
        <v>2736</v>
      </c>
      <c r="G29" s="42">
        <v>74993</v>
      </c>
      <c r="H29" s="42">
        <v>9576</v>
      </c>
      <c r="I29" s="42">
        <v>-65417</v>
      </c>
      <c r="J29" s="42">
        <v>2000</v>
      </c>
      <c r="K29" s="34"/>
      <c r="L29" s="34"/>
      <c r="M29" s="34"/>
      <c r="N29" s="34"/>
      <c r="O29" s="34"/>
      <c r="P29" s="34"/>
      <c r="Q29" s="34"/>
    </row>
    <row r="30" spans="1:63" ht="15.75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</row>
    <row r="31" spans="1:63" ht="15.75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</row>
  </sheetData>
  <mergeCells count="2">
    <mergeCell ref="G2:I2"/>
    <mergeCell ref="A9:F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Working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USER</cp:lastModifiedBy>
  <dcterms:created xsi:type="dcterms:W3CDTF">2022-03-27T00:18:13Z</dcterms:created>
  <dcterms:modified xsi:type="dcterms:W3CDTF">2022-04-03T14:45:12Z</dcterms:modified>
</cp:coreProperties>
</file>